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2" r:id="rId19"/>
    <sheet name="历史" sheetId="81" r:id="rId20"/>
    <sheet name="成本法" sheetId="68" r:id="rId21"/>
    <sheet name="成本法 (元)" sheetId="69" state="hidden" r:id="rId22"/>
    <sheet name="假设开发法" sheetId="12" state="hidden" r:id="rId23"/>
    <sheet name="基准地价修正" sheetId="43" r:id="rId24"/>
    <sheet name="收益法厂房" sheetId="15" r:id="rId25"/>
    <sheet name="收益法 (元)" sheetId="67" state="hidden" r:id="rId26"/>
    <sheet name="收益法-酒店模型" sheetId="77" state="hidden" r:id="rId27"/>
    <sheet name="收益法办公" sheetId="80"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7">收益法办公!$A$1:$F$43,收益法办公!$H$3:$M$29,收益法办公!$A$46:$F$71,收益法办公!$I$46:$N$65</definedName>
    <definedName name="_xlnm.Print_Area" localSheetId="24">收益法厂房!$A$1:$F$43,收益法厂房!$H$3:$M$29,收益法厂房!$A$46:$F$71,收益法厂房!$I$46:$N$65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7" i="1" l="1"/>
  <c r="N21" i="1"/>
  <c r="N20" i="1"/>
  <c r="P20" i="1"/>
  <c r="C14" i="74" l="1"/>
  <c r="B14" i="74"/>
  <c r="C6" i="68"/>
  <c r="G84" i="43"/>
  <c r="G85" i="43"/>
  <c r="G86" i="43"/>
  <c r="G87" i="43"/>
  <c r="G88" i="43"/>
  <c r="G89" i="43"/>
  <c r="G90" i="43"/>
  <c r="G83" i="43"/>
  <c r="D33" i="43"/>
  <c r="Q72" i="80"/>
  <c r="Q59" i="80"/>
  <c r="K59" i="80"/>
  <c r="P61" i="80" s="1"/>
  <c r="F59" i="80"/>
  <c r="Q58" i="80"/>
  <c r="J52" i="80"/>
  <c r="Q51" i="80" s="1"/>
  <c r="J50" i="80"/>
  <c r="J49" i="80"/>
  <c r="M47" i="80"/>
  <c r="D46" i="80"/>
  <c r="F34" i="80"/>
  <c r="F62" i="80" s="1"/>
  <c r="F33" i="80"/>
  <c r="F61" i="80" s="1"/>
  <c r="F32" i="80"/>
  <c r="F60" i="80" s="1"/>
  <c r="F31" i="80"/>
  <c r="F28" i="80"/>
  <c r="C28" i="80"/>
  <c r="D24" i="80"/>
  <c r="F23" i="80"/>
  <c r="D23" i="80"/>
  <c r="D22" i="80"/>
  <c r="F21" i="80"/>
  <c r="M20" i="80"/>
  <c r="F20" i="80"/>
  <c r="M19" i="80"/>
  <c r="M18" i="80"/>
  <c r="F18" i="80"/>
  <c r="M17" i="80"/>
  <c r="F17" i="80"/>
  <c r="F15" i="80"/>
  <c r="G1" i="80"/>
  <c r="J52" i="15"/>
  <c r="J49" i="15"/>
  <c r="AL7" i="1"/>
  <c r="AM7" i="1"/>
  <c r="AK7" i="1"/>
  <c r="Y7" i="1"/>
  <c r="Y6" i="1"/>
  <c r="N7" i="1"/>
  <c r="N6" i="1"/>
  <c r="P21" i="1"/>
  <c r="I7" i="1"/>
  <c r="J7" i="1"/>
  <c r="H7" i="1"/>
  <c r="B59" i="1"/>
  <c r="F20" i="6"/>
  <c r="F19" i="6"/>
  <c r="I14" i="3"/>
  <c r="C60" i="78"/>
  <c r="D60" i="78" s="1"/>
  <c r="D53" i="78"/>
  <c r="D52" i="78"/>
  <c r="D51" i="78" s="1"/>
  <c r="B51" i="78"/>
  <c r="B56" i="78" s="1"/>
  <c r="L48" i="80"/>
  <c r="F38" i="80"/>
  <c r="M6" i="80"/>
  <c r="M29" i="80"/>
  <c r="J51" i="80" l="1"/>
  <c r="L56" i="80" s="1"/>
  <c r="F66" i="80"/>
  <c r="J57" i="80"/>
  <c r="J55" i="80" s="1"/>
  <c r="J58" i="80" s="1"/>
  <c r="Q50" i="80" s="1"/>
  <c r="I54" i="80"/>
  <c r="P74" i="80"/>
  <c r="J53" i="80"/>
  <c r="B55" i="78"/>
  <c r="D55" i="78" s="1"/>
  <c r="C51" i="78"/>
  <c r="C56" i="78" s="1"/>
  <c r="C58" i="78" s="1"/>
  <c r="B62" i="78"/>
  <c r="B54" i="78"/>
  <c r="D54" i="78" s="1"/>
  <c r="D56" i="78" s="1"/>
  <c r="M23" i="80"/>
  <c r="F37" i="80"/>
  <c r="M27" i="80"/>
  <c r="M26" i="80"/>
  <c r="F26" i="80"/>
  <c r="J15" i="80"/>
  <c r="F43" i="80"/>
  <c r="F13" i="80"/>
  <c r="M28" i="80"/>
  <c r="M8" i="80"/>
  <c r="M22" i="80"/>
  <c r="F6" i="80"/>
  <c r="F9" i="80"/>
  <c r="M24" i="80"/>
  <c r="L47" i="80"/>
  <c r="F8" i="80"/>
  <c r="F16" i="80"/>
  <c r="C14" i="80"/>
  <c r="C76" i="80"/>
  <c r="M9" i="80"/>
  <c r="F36" i="80"/>
  <c r="F40" i="80"/>
  <c r="F7" i="80"/>
  <c r="F42" i="80"/>
  <c r="L60" i="80" l="1"/>
  <c r="Q66" i="80" s="1"/>
  <c r="L57" i="80"/>
  <c r="F51" i="80"/>
  <c r="C18" i="80"/>
  <c r="C15" i="80"/>
  <c r="C6" i="80"/>
  <c r="C27" i="80"/>
  <c r="F64" i="80"/>
  <c r="Q71" i="80"/>
  <c r="M7" i="80"/>
  <c r="J6" i="80" s="1"/>
  <c r="F50" i="80"/>
  <c r="F71" i="80"/>
  <c r="L58" i="80"/>
  <c r="M59" i="80"/>
  <c r="N59" i="80"/>
  <c r="L59" i="80"/>
  <c r="F65" i="80"/>
  <c r="F68" i="80"/>
  <c r="F1" i="80"/>
  <c r="Q52" i="80"/>
  <c r="D58" i="78"/>
  <c r="D62" i="78" s="1"/>
  <c r="C62" i="78" s="1"/>
  <c r="C17" i="80"/>
  <c r="C16" i="80"/>
  <c r="Q57" i="80" l="1"/>
  <c r="J19" i="80"/>
  <c r="J18" i="80"/>
  <c r="C19" i="80"/>
  <c r="Q60" i="80"/>
  <c r="Q73" i="80"/>
  <c r="C32" i="80"/>
  <c r="C33" i="80"/>
  <c r="Q61" i="80"/>
  <c r="Q74" i="80"/>
  <c r="C49" i="80"/>
  <c r="G14" i="73"/>
  <c r="F14" i="73"/>
  <c r="E14" i="73"/>
  <c r="C20" i="80" l="1"/>
  <c r="C26" i="80" s="1"/>
  <c r="C6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N28" i="79" s="1"/>
  <c r="M43" i="79"/>
  <c r="L43" i="79"/>
  <c r="I43" i="79"/>
  <c r="AB42" i="79"/>
  <c r="AA42" i="79"/>
  <c r="Z42" i="79"/>
  <c r="N42" i="79"/>
  <c r="M42" i="79"/>
  <c r="L42" i="79"/>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2" i="79" l="1"/>
  <c r="U44" i="79"/>
  <c r="AD32" i="79"/>
  <c r="AD31" i="79"/>
  <c r="U40" i="79"/>
  <c r="AD45"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B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F71" i="71"/>
  <c r="F70" i="71" s="1"/>
  <c r="Q70" i="71"/>
  <c r="P70" i="71"/>
  <c r="O70" i="71"/>
  <c r="N70" i="71"/>
  <c r="Q69" i="71"/>
  <c r="P69" i="71"/>
  <c r="O69" i="71"/>
  <c r="N69" i="71"/>
  <c r="D69" i="71"/>
  <c r="F68" i="71"/>
  <c r="F67" i="71" s="1"/>
  <c r="V68" i="71"/>
  <c r="E68" i="71"/>
  <c r="P68" i="71" s="1"/>
  <c r="C68" i="71"/>
  <c r="O68" i="71" s="1"/>
  <c r="B68" i="71"/>
  <c r="S68" i="71" s="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C51" i="71" s="1"/>
  <c r="N50" i="71"/>
  <c r="Q49" i="71"/>
  <c r="F50" i="71" s="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F46" i="71"/>
  <c r="F47" i="71" s="1"/>
  <c r="Q45" i="71"/>
  <c r="P45" i="71"/>
  <c r="E46" i="71" s="1"/>
  <c r="E47" i="71" s="1"/>
  <c r="E48" i="71"/>
  <c r="U48" i="71" s="1"/>
  <c r="O45" i="71"/>
  <c r="C46" i="71"/>
  <c r="D46" i="71" s="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4" i="71" s="1"/>
  <c r="X39" i="71"/>
  <c r="Q38" i="71"/>
  <c r="AB38" i="71" s="1"/>
  <c r="P38" i="71"/>
  <c r="O38" i="71"/>
  <c r="Y38" i="71" s="1"/>
  <c r="Z38" i="71" s="1"/>
  <c r="N38" i="71"/>
  <c r="F38" i="71"/>
  <c r="Q37" i="71"/>
  <c r="P37" i="71"/>
  <c r="O37" i="71"/>
  <c r="Y35" i="71" s="1"/>
  <c r="Z35" i="71" s="1"/>
  <c r="N37" i="71"/>
  <c r="B38" i="71" s="1"/>
  <c r="D37" i="71"/>
  <c r="Q36" i="71"/>
  <c r="P36" i="71"/>
  <c r="O36" i="71"/>
  <c r="N36" i="71"/>
  <c r="Q35" i="71"/>
  <c r="AB31" i="71" s="1"/>
  <c r="AB35" i="71"/>
  <c r="P35" i="71"/>
  <c r="AA35" i="71" s="1"/>
  <c r="O35" i="71"/>
  <c r="N35" i="71"/>
  <c r="Q34" i="71"/>
  <c r="P34" i="71"/>
  <c r="O34" i="71"/>
  <c r="N34" i="71"/>
  <c r="Q33" i="71"/>
  <c r="F34" i="71" s="1"/>
  <c r="F35" i="71" s="1"/>
  <c r="F36" i="71" s="1"/>
  <c r="V36" i="71" s="1"/>
  <c r="P33" i="71"/>
  <c r="O33" i="71"/>
  <c r="N33" i="71"/>
  <c r="X31" i="71" s="1"/>
  <c r="D33" i="71"/>
  <c r="Q32" i="71"/>
  <c r="AB32" i="71" s="1"/>
  <c r="P32" i="71"/>
  <c r="AA30" i="71" s="1"/>
  <c r="O32" i="71"/>
  <c r="N32" i="71"/>
  <c r="Q31" i="71"/>
  <c r="P31" i="71"/>
  <c r="O31" i="71"/>
  <c r="N31" i="71"/>
  <c r="Q30" i="71"/>
  <c r="P30" i="71"/>
  <c r="O30" i="71"/>
  <c r="Y30" i="71" s="1"/>
  <c r="Z30" i="71" s="1"/>
  <c r="N30" i="71"/>
  <c r="Q29" i="71"/>
  <c r="F30" i="71" s="1"/>
  <c r="F31" i="71" s="1"/>
  <c r="F32" i="71" s="1"/>
  <c r="V32" i="71" s="1"/>
  <c r="P29" i="71"/>
  <c r="E30" i="71" s="1"/>
  <c r="E31" i="71" s="1"/>
  <c r="E32" i="71" s="1"/>
  <c r="U32" i="71" s="1"/>
  <c r="O29" i="71"/>
  <c r="C30" i="71" s="1"/>
  <c r="N29" i="71"/>
  <c r="B30" i="71" s="1"/>
  <c r="B31" i="71" s="1"/>
  <c r="B32" i="71" s="1"/>
  <c r="S32" i="71" s="1"/>
  <c r="D29" i="71"/>
  <c r="O28" i="71"/>
  <c r="N28" i="71"/>
  <c r="B39" i="71"/>
  <c r="B40" i="71" s="1"/>
  <c r="S40" i="71" s="1"/>
  <c r="E38" i="71"/>
  <c r="E39" i="71"/>
  <c r="E40" i="71"/>
  <c r="U40" i="71" s="1"/>
  <c r="AA37" i="71"/>
  <c r="N68" i="71"/>
  <c r="E34" i="71"/>
  <c r="C34" i="71"/>
  <c r="D34" i="71" s="1"/>
  <c r="X36" i="71"/>
  <c r="C38" i="71"/>
  <c r="D38" i="71" s="1"/>
  <c r="Y37" i="71"/>
  <c r="Z37" i="71" s="1"/>
  <c r="C28" i="71"/>
  <c r="B28" i="71"/>
  <c r="B27" i="71" s="1"/>
  <c r="C47" i="71"/>
  <c r="D47" i="71" s="1"/>
  <c r="D50" i="71"/>
  <c r="P28" i="71"/>
  <c r="E28" i="71" s="1"/>
  <c r="U68" i="71"/>
  <c r="E67" i="71"/>
  <c r="E66" i="71" s="1"/>
  <c r="Q28" i="71"/>
  <c r="C59" i="71"/>
  <c r="D58" i="71"/>
  <c r="D62" i="71"/>
  <c r="T68" i="71"/>
  <c r="D68" i="71"/>
  <c r="C67" i="71"/>
  <c r="D67" i="71" s="1"/>
  <c r="Q68" i="71"/>
  <c r="C71" i="71"/>
  <c r="D71" i="71" s="1"/>
  <c r="E71" i="71"/>
  <c r="E70" i="71"/>
  <c r="D76" i="71"/>
  <c r="E79" i="71"/>
  <c r="E78" i="71" s="1"/>
  <c r="D80" i="71"/>
  <c r="C87" i="71"/>
  <c r="C86" i="71" s="1"/>
  <c r="D86" i="71" s="1"/>
  <c r="T28" i="71"/>
  <c r="C27" i="71"/>
  <c r="C26" i="71" s="1"/>
  <c r="D26" i="71" s="1"/>
  <c r="S28" i="71"/>
  <c r="F28" i="71"/>
  <c r="F27" i="71"/>
  <c r="F26" i="71" s="1"/>
  <c r="D28" i="71"/>
  <c r="U28" i="71"/>
  <c r="C60" i="71"/>
  <c r="D59" i="71"/>
  <c r="P67"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H25" i="40"/>
  <c r="AB25" i="40" s="1"/>
  <c r="J25" i="40"/>
  <c r="H29" i="39"/>
  <c r="AB29" i="39" s="1"/>
  <c r="J29" i="39"/>
  <c r="AC29" i="39" s="1"/>
  <c r="J18" i="36"/>
  <c r="AC18" i="36" s="1"/>
  <c r="F68" i="35"/>
  <c r="H18" i="35"/>
  <c r="AB18" i="35" s="1"/>
  <c r="G68" i="35"/>
  <c r="J18" i="35"/>
  <c r="AC18" i="35" s="1"/>
  <c r="H21" i="37"/>
  <c r="F21" i="37"/>
  <c r="AA21" i="37" s="1"/>
  <c r="H21" i="34"/>
  <c r="AB21" i="34" s="1"/>
  <c r="H21" i="33"/>
  <c r="U21" i="33" s="1"/>
  <c r="F21" i="33"/>
  <c r="AA21" i="33" s="1"/>
  <c r="H1" i="69"/>
  <c r="AC25" i="40"/>
  <c r="W25" i="40"/>
  <c r="U25" i="40"/>
  <c r="W18" i="36"/>
  <c r="AB21" i="37"/>
  <c r="U21" i="37"/>
  <c r="U21" i="34"/>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L103" i="3" s="1"/>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A98" i="3" s="1"/>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L93" i="3" s="1"/>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L79" i="3" s="1"/>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L69" i="3" s="1"/>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A43" i="3" s="1"/>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A22" i="3" s="1"/>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L158" i="3" s="1"/>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L156" i="3" s="1"/>
  <c r="AZ156" i="3" s="1"/>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A149" i="3" s="1"/>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L269" i="3" s="1"/>
  <c r="BO269" i="3"/>
  <c r="BN269" i="3"/>
  <c r="BM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AZ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A217" i="3" s="1"/>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A329" i="3" s="1"/>
  <c r="AZ329" i="3" s="1"/>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A327" i="3" s="1"/>
  <c r="BG327" i="3"/>
  <c r="BF327" i="3"/>
  <c r="BE327" i="3"/>
  <c r="BD327" i="3"/>
  <c r="BC327" i="3"/>
  <c r="BB327" i="3"/>
  <c r="AX327" i="3"/>
  <c r="AW327" i="3"/>
  <c r="AV327" i="3"/>
  <c r="AC327" i="3"/>
  <c r="H327" i="3"/>
  <c r="BT326" i="3"/>
  <c r="BS326" i="3"/>
  <c r="BR326" i="3"/>
  <c r="BQ326" i="3"/>
  <c r="BP326" i="3"/>
  <c r="BL326" i="3" s="1"/>
  <c r="AZ326" i="3" s="1"/>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L321" i="3" s="1"/>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A320" i="3" s="1"/>
  <c r="BI320" i="3"/>
  <c r="BH320" i="3"/>
  <c r="BG320" i="3"/>
  <c r="BF320" i="3"/>
  <c r="BE320" i="3"/>
  <c r="BD320" i="3"/>
  <c r="BC320" i="3"/>
  <c r="BB320" i="3"/>
  <c r="AX320" i="3"/>
  <c r="AW320" i="3"/>
  <c r="AV320" i="3"/>
  <c r="AC320" i="3"/>
  <c r="H320" i="3"/>
  <c r="BT319" i="3"/>
  <c r="BS319" i="3"/>
  <c r="BR319" i="3"/>
  <c r="BL319" i="3" s="1"/>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A318" i="3" s="1"/>
  <c r="AZ318" i="3" s="1"/>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A400" i="3" s="1"/>
  <c r="BG400" i="3"/>
  <c r="BF400" i="3"/>
  <c r="BE400" i="3"/>
  <c r="BD400" i="3"/>
  <c r="BC400" i="3"/>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J87" i="21"/>
  <c r="I87" i="21"/>
  <c r="H87" i="21"/>
  <c r="G87" i="21"/>
  <c r="F87" i="21"/>
  <c r="E87" i="21"/>
  <c r="D87" i="21"/>
  <c r="X7" i="43"/>
  <c r="R26" i="31"/>
  <c r="R27" i="31"/>
  <c r="R28" i="31"/>
  <c r="R29" i="31"/>
  <c r="R30" i="31"/>
  <c r="R31" i="31"/>
  <c r="R32" i="31"/>
  <c r="R33" i="31"/>
  <c r="R34" i="31"/>
  <c r="R35" i="31"/>
  <c r="S35" i="31" s="1"/>
  <c r="R36" i="31"/>
  <c r="R37" i="31"/>
  <c r="R38" i="31"/>
  <c r="R39" i="31"/>
  <c r="R40" i="31"/>
  <c r="R41" i="31"/>
  <c r="R42" i="31"/>
  <c r="R43" i="31"/>
  <c r="R44" i="31"/>
  <c r="R45" i="31"/>
  <c r="R46" i="31"/>
  <c r="R47" i="31"/>
  <c r="R48" i="31"/>
  <c r="R49" i="31"/>
  <c r="R50" i="31"/>
  <c r="R51" i="31"/>
  <c r="S51" i="31" s="1"/>
  <c r="R52" i="31"/>
  <c r="R53" i="31"/>
  <c r="R54" i="31"/>
  <c r="R55" i="31"/>
  <c r="R56" i="31"/>
  <c r="R57" i="31"/>
  <c r="R58" i="31"/>
  <c r="R59" i="31"/>
  <c r="R60" i="31"/>
  <c r="R61" i="31"/>
  <c r="R62" i="31"/>
  <c r="R63" i="31"/>
  <c r="R64" i="31"/>
  <c r="R65" i="31"/>
  <c r="R66" i="31"/>
  <c r="R67" i="31"/>
  <c r="S67" i="31" s="1"/>
  <c r="R68" i="31"/>
  <c r="R69" i="31"/>
  <c r="R70" i="31"/>
  <c r="R71" i="31"/>
  <c r="R72" i="31"/>
  <c r="R73" i="31"/>
  <c r="R74" i="31"/>
  <c r="R75" i="31"/>
  <c r="R76" i="31"/>
  <c r="R77" i="31"/>
  <c r="R78" i="31"/>
  <c r="R79" i="31"/>
  <c r="R80" i="31"/>
  <c r="R81" i="31"/>
  <c r="R82" i="31"/>
  <c r="R83" i="31"/>
  <c r="S83" i="31" s="1"/>
  <c r="R84" i="31"/>
  <c r="R85" i="31"/>
  <c r="R86" i="31"/>
  <c r="R87" i="31"/>
  <c r="R88" i="31"/>
  <c r="R89" i="31"/>
  <c r="R90" i="31"/>
  <c r="R91" i="31"/>
  <c r="R92" i="31"/>
  <c r="R93" i="31"/>
  <c r="R94" i="31"/>
  <c r="R95" i="31"/>
  <c r="R96" i="31"/>
  <c r="R97" i="31"/>
  <c r="R98" i="31"/>
  <c r="R99" i="31"/>
  <c r="S99" i="31" s="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S131" i="31" s="1"/>
  <c r="R132" i="31"/>
  <c r="R133" i="31"/>
  <c r="R134" i="31"/>
  <c r="R135" i="31"/>
  <c r="R136" i="31"/>
  <c r="R137" i="31"/>
  <c r="R138" i="31"/>
  <c r="R139" i="31"/>
  <c r="R140" i="31"/>
  <c r="R141" i="31"/>
  <c r="R142" i="31"/>
  <c r="R143" i="31"/>
  <c r="R144" i="31"/>
  <c r="R145" i="31"/>
  <c r="R146" i="31"/>
  <c r="R147" i="31"/>
  <c r="S147" i="31" s="1"/>
  <c r="R148" i="31"/>
  <c r="R149" i="31"/>
  <c r="R150" i="31"/>
  <c r="R151" i="31"/>
  <c r="R152" i="31"/>
  <c r="R153" i="31"/>
  <c r="R154" i="31"/>
  <c r="R155" i="31"/>
  <c r="R156" i="31"/>
  <c r="R157" i="31"/>
  <c r="R158" i="31"/>
  <c r="R159" i="31"/>
  <c r="R160" i="31"/>
  <c r="R161" i="31"/>
  <c r="R162" i="31"/>
  <c r="R163" i="31"/>
  <c r="S163" i="31" s="1"/>
  <c r="R164" i="31"/>
  <c r="R165" i="31"/>
  <c r="R166" i="31"/>
  <c r="R167" i="31"/>
  <c r="R168" i="31"/>
  <c r="R169" i="31"/>
  <c r="R170" i="31"/>
  <c r="R171" i="31"/>
  <c r="R172" i="31"/>
  <c r="R173" i="31"/>
  <c r="R174" i="31"/>
  <c r="R175" i="31"/>
  <c r="R176" i="31"/>
  <c r="R177" i="31"/>
  <c r="R178" i="31"/>
  <c r="R179" i="31"/>
  <c r="S179" i="31" s="1"/>
  <c r="R180" i="31"/>
  <c r="R181" i="31"/>
  <c r="R182" i="31"/>
  <c r="R183" i="31"/>
  <c r="R184" i="31"/>
  <c r="R185" i="31"/>
  <c r="R186" i="31"/>
  <c r="R187" i="31"/>
  <c r="R188" i="31"/>
  <c r="R189" i="31"/>
  <c r="R190" i="31"/>
  <c r="R191" i="31"/>
  <c r="R192" i="31"/>
  <c r="R193" i="31"/>
  <c r="R194" i="31"/>
  <c r="R195" i="31"/>
  <c r="S195" i="31" s="1"/>
  <c r="R196" i="31"/>
  <c r="R197" i="31"/>
  <c r="R198" i="31"/>
  <c r="R199" i="31"/>
  <c r="R200" i="31"/>
  <c r="R201" i="31"/>
  <c r="R202" i="31"/>
  <c r="R203" i="31"/>
  <c r="R204" i="31"/>
  <c r="R205" i="31"/>
  <c r="R206" i="31"/>
  <c r="R207" i="31"/>
  <c r="R208" i="31"/>
  <c r="R209" i="31"/>
  <c r="R210" i="31"/>
  <c r="R211" i="31"/>
  <c r="S211" i="31" s="1"/>
  <c r="R212" i="31"/>
  <c r="R213" i="31"/>
  <c r="R214" i="31"/>
  <c r="R215" i="31"/>
  <c r="R216" i="31"/>
  <c r="R217" i="31"/>
  <c r="R218" i="31"/>
  <c r="R219" i="31"/>
  <c r="R220" i="31"/>
  <c r="R221" i="31"/>
  <c r="R222" i="31"/>
  <c r="R223" i="31"/>
  <c r="R224" i="31"/>
  <c r="R225" i="31"/>
  <c r="R226" i="31"/>
  <c r="R227" i="31"/>
  <c r="S227" i="31" s="1"/>
  <c r="R228" i="31"/>
  <c r="R229" i="31"/>
  <c r="R230" i="31"/>
  <c r="R231" i="31"/>
  <c r="R232" i="31"/>
  <c r="R233" i="31"/>
  <c r="R234" i="31"/>
  <c r="R235" i="31"/>
  <c r="R236" i="31"/>
  <c r="R237" i="31"/>
  <c r="R238" i="31"/>
  <c r="R239" i="31"/>
  <c r="R240" i="31"/>
  <c r="R241" i="31"/>
  <c r="R242" i="31"/>
  <c r="R243" i="31"/>
  <c r="S243" i="31" s="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S368" i="31" s="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R437" i="31"/>
  <c r="R438" i="31"/>
  <c r="R439" i="31"/>
  <c r="R440" i="31"/>
  <c r="R441" i="31"/>
  <c r="R442" i="31"/>
  <c r="R443" i="31"/>
  <c r="R444" i="31"/>
  <c r="R445" i="31"/>
  <c r="R446" i="31"/>
  <c r="R447" i="31"/>
  <c r="R448" i="31"/>
  <c r="S448" i="31" s="1"/>
  <c r="R449" i="31"/>
  <c r="R450" i="31"/>
  <c r="R451" i="31"/>
  <c r="R452" i="31"/>
  <c r="R453" i="31"/>
  <c r="R454" i="31"/>
  <c r="R455" i="31"/>
  <c r="R456" i="31"/>
  <c r="R457" i="31"/>
  <c r="R458" i="31"/>
  <c r="R459" i="31"/>
  <c r="R460" i="31"/>
  <c r="R461" i="31"/>
  <c r="R462" i="31"/>
  <c r="R463" i="31"/>
  <c r="R464" i="31"/>
  <c r="S464" i="31" s="1"/>
  <c r="R465" i="31"/>
  <c r="R466" i="31"/>
  <c r="R467" i="31"/>
  <c r="R468" i="31"/>
  <c r="R469" i="31"/>
  <c r="R470" i="31"/>
  <c r="R471" i="31"/>
  <c r="R472" i="31"/>
  <c r="R473" i="31"/>
  <c r="R474" i="31"/>
  <c r="R475" i="31"/>
  <c r="R476" i="31"/>
  <c r="R477" i="31"/>
  <c r="R478" i="31"/>
  <c r="R479" i="31"/>
  <c r="R480" i="31"/>
  <c r="S480" i="31" s="1"/>
  <c r="R481" i="31"/>
  <c r="R482" i="31"/>
  <c r="R483" i="31"/>
  <c r="R484" i="31"/>
  <c r="R485" i="31"/>
  <c r="R486" i="31"/>
  <c r="R487" i="31"/>
  <c r="R488" i="31"/>
  <c r="R489" i="31"/>
  <c r="R490" i="31"/>
  <c r="R491" i="31"/>
  <c r="R492" i="31"/>
  <c r="R493" i="31"/>
  <c r="R494" i="31"/>
  <c r="R495" i="31"/>
  <c r="R496" i="31"/>
  <c r="S496" i="31" s="1"/>
  <c r="R497" i="31"/>
  <c r="R498" i="31"/>
  <c r="R499" i="31"/>
  <c r="R500" i="31"/>
  <c r="R501" i="31"/>
  <c r="R502" i="31"/>
  <c r="R503" i="31"/>
  <c r="R504" i="31"/>
  <c r="R505" i="31"/>
  <c r="R506" i="31"/>
  <c r="R507" i="31"/>
  <c r="R508" i="3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L14"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A14"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8" i="31"/>
  <c r="S406" i="31"/>
  <c r="S404" i="31"/>
  <c r="S402" i="31"/>
  <c r="S398" i="31"/>
  <c r="S396" i="31"/>
  <c r="S394" i="31"/>
  <c r="S392" i="31"/>
  <c r="S390" i="31"/>
  <c r="S388" i="31"/>
  <c r="S386" i="31"/>
  <c r="S382" i="31"/>
  <c r="S380" i="31"/>
  <c r="S378" i="31"/>
  <c r="S376" i="31"/>
  <c r="S374" i="31"/>
  <c r="S372" i="31"/>
  <c r="S370"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2" i="31"/>
  <c r="S241" i="31"/>
  <c r="S240" i="31"/>
  <c r="S239" i="31"/>
  <c r="S238" i="31"/>
  <c r="S237" i="31"/>
  <c r="S236" i="31"/>
  <c r="S235" i="31"/>
  <c r="S234" i="31"/>
  <c r="S233" i="31"/>
  <c r="S232" i="31"/>
  <c r="S231" i="31"/>
  <c r="S230" i="31"/>
  <c r="S229" i="31"/>
  <c r="S228" i="31"/>
  <c r="S226" i="31"/>
  <c r="S225" i="31"/>
  <c r="S224" i="31"/>
  <c r="S223" i="31"/>
  <c r="S429" i="31"/>
  <c r="S428" i="31"/>
  <c r="S427" i="31"/>
  <c r="S426" i="31"/>
  <c r="S425" i="31"/>
  <c r="S222" i="31"/>
  <c r="S221" i="31"/>
  <c r="S220" i="31"/>
  <c r="S219" i="31"/>
  <c r="S218" i="31"/>
  <c r="S217" i="31"/>
  <c r="S216" i="31"/>
  <c r="S215" i="31"/>
  <c r="S214" i="31"/>
  <c r="S213" i="31"/>
  <c r="S212" i="31"/>
  <c r="S210" i="31"/>
  <c r="S209" i="31"/>
  <c r="S208" i="31"/>
  <c r="S207" i="31"/>
  <c r="S206" i="31"/>
  <c r="S205" i="31"/>
  <c r="S204" i="31"/>
  <c r="S203" i="31"/>
  <c r="S202" i="31"/>
  <c r="S201" i="31"/>
  <c r="S200" i="31"/>
  <c r="S199" i="31"/>
  <c r="S198" i="31"/>
  <c r="S197" i="31"/>
  <c r="S196" i="31"/>
  <c r="S194" i="31"/>
  <c r="S193" i="31"/>
  <c r="S192" i="31"/>
  <c r="S191" i="31"/>
  <c r="S190" i="31"/>
  <c r="S189" i="31"/>
  <c r="S188" i="31"/>
  <c r="S187" i="31"/>
  <c r="S186" i="31"/>
  <c r="S185" i="31"/>
  <c r="S184" i="31"/>
  <c r="S183" i="31"/>
  <c r="S182" i="31"/>
  <c r="S181" i="31"/>
  <c r="S180" i="31"/>
  <c r="S178" i="31"/>
  <c r="S177" i="31"/>
  <c r="S176" i="31"/>
  <c r="S175" i="31"/>
  <c r="S174" i="31"/>
  <c r="S173" i="31"/>
  <c r="S172" i="31"/>
  <c r="S171" i="31"/>
  <c r="S170" i="31"/>
  <c r="S169" i="31"/>
  <c r="S168" i="31"/>
  <c r="S167" i="31"/>
  <c r="S166" i="31"/>
  <c r="S165" i="31"/>
  <c r="S164" i="31"/>
  <c r="S162" i="31"/>
  <c r="S161" i="31"/>
  <c r="S160" i="31"/>
  <c r="S159" i="31"/>
  <c r="S158" i="31"/>
  <c r="S157" i="31"/>
  <c r="S156" i="31"/>
  <c r="S155" i="31"/>
  <c r="S154" i="31"/>
  <c r="S153" i="31"/>
  <c r="S152" i="31"/>
  <c r="S151" i="31"/>
  <c r="S150" i="31"/>
  <c r="S149" i="31"/>
  <c r="S148" i="31"/>
  <c r="S146" i="31"/>
  <c r="S145" i="31"/>
  <c r="S144" i="31"/>
  <c r="S143" i="31"/>
  <c r="S142" i="31"/>
  <c r="S141" i="31"/>
  <c r="S140" i="31"/>
  <c r="S139" i="31"/>
  <c r="S138" i="31"/>
  <c r="S137" i="31"/>
  <c r="S136" i="31"/>
  <c r="S135" i="31"/>
  <c r="S134" i="31"/>
  <c r="S133" i="31"/>
  <c r="S132" i="31"/>
  <c r="S130" i="31"/>
  <c r="S129" i="31"/>
  <c r="S128" i="31"/>
  <c r="S127" i="31"/>
  <c r="S126" i="31"/>
  <c r="S125" i="31"/>
  <c r="S124" i="31"/>
  <c r="S123" i="31"/>
  <c r="S497" i="31"/>
  <c r="S495" i="31"/>
  <c r="S494" i="31"/>
  <c r="S493" i="31"/>
  <c r="S492" i="31"/>
  <c r="S491" i="31"/>
  <c r="S490" i="31"/>
  <c r="S489" i="31"/>
  <c r="S488" i="31"/>
  <c r="S487" i="31"/>
  <c r="S486" i="31"/>
  <c r="S485" i="31"/>
  <c r="S484" i="31"/>
  <c r="S483" i="31"/>
  <c r="S482" i="31"/>
  <c r="S481"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3" i="31"/>
  <c r="S462" i="31"/>
  <c r="S461" i="31"/>
  <c r="S460" i="31"/>
  <c r="S459" i="31"/>
  <c r="S458" i="31"/>
  <c r="S457" i="31"/>
  <c r="S456" i="31"/>
  <c r="S455" i="31"/>
  <c r="S454" i="31"/>
  <c r="S453" i="31"/>
  <c r="S452" i="31"/>
  <c r="S451" i="31"/>
  <c r="S450" i="31"/>
  <c r="S54" i="31"/>
  <c r="S53" i="31"/>
  <c r="S52" i="31"/>
  <c r="S50" i="31"/>
  <c r="S49" i="31"/>
  <c r="S48" i="31"/>
  <c r="S47" i="31"/>
  <c r="S46" i="31"/>
  <c r="S45" i="31"/>
  <c r="S44" i="31"/>
  <c r="S43" i="31"/>
  <c r="S42" i="31"/>
  <c r="S41" i="31"/>
  <c r="S40" i="31"/>
  <c r="S39" i="31"/>
  <c r="S38" i="31"/>
  <c r="S37" i="31"/>
  <c r="S36" i="31"/>
  <c r="S34" i="31"/>
  <c r="S33" i="31"/>
  <c r="S32" i="31"/>
  <c r="S77" i="31"/>
  <c r="S76" i="31"/>
  <c r="S75" i="31"/>
  <c r="S74" i="31"/>
  <c r="S73" i="31"/>
  <c r="S72" i="31"/>
  <c r="S71" i="31"/>
  <c r="S70" i="31"/>
  <c r="S69" i="31"/>
  <c r="S68"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2" i="31"/>
  <c r="S81" i="31"/>
  <c r="S80" i="31"/>
  <c r="S79" i="31"/>
  <c r="S78" i="31"/>
  <c r="S31" i="31"/>
  <c r="S30" i="31"/>
  <c r="S29" i="31"/>
  <c r="S98" i="31"/>
  <c r="S100" i="31"/>
  <c r="S101" i="31"/>
  <c r="S102" i="31"/>
  <c r="S103" i="31"/>
  <c r="S104" i="31"/>
  <c r="S105" i="31"/>
  <c r="S106" i="31"/>
  <c r="S107" i="31"/>
  <c r="S108" i="31"/>
  <c r="S109" i="31"/>
  <c r="S110" i="31"/>
  <c r="S111" i="31"/>
  <c r="S445" i="31"/>
  <c r="S446" i="31"/>
  <c r="S447" i="31"/>
  <c r="S449" i="31"/>
  <c r="S507" i="31"/>
  <c r="S508" i="31"/>
  <c r="S509" i="31"/>
  <c r="S510" i="31"/>
  <c r="S511"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AZ494" i="3" s="1"/>
  <c r="BP494" i="3"/>
  <c r="BQ494" i="3"/>
  <c r="BR494" i="3"/>
  <c r="BS494" i="3"/>
  <c r="BT494" i="3"/>
  <c r="H495" i="3"/>
  <c r="AC495" i="3"/>
  <c r="BB495" i="3"/>
  <c r="BC495" i="3"/>
  <c r="BD495" i="3"/>
  <c r="BE495" i="3"/>
  <c r="BF495" i="3"/>
  <c r="BG495" i="3"/>
  <c r="BH495" i="3"/>
  <c r="BI495" i="3"/>
  <c r="BJ495" i="3"/>
  <c r="BA495" i="3" s="1"/>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L496" i="3" s="1"/>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A498" i="3" s="1"/>
  <c r="BM498" i="3"/>
  <c r="BN498" i="3"/>
  <c r="BO498" i="3"/>
  <c r="BP498" i="3"/>
  <c r="BQ498" i="3"/>
  <c r="BL498" i="3" s="1"/>
  <c r="BR498" i="3"/>
  <c r="BS498" i="3"/>
  <c r="BT498" i="3"/>
  <c r="H499" i="3"/>
  <c r="AC499" i="3"/>
  <c r="BB499" i="3"/>
  <c r="BC499" i="3"/>
  <c r="BD499" i="3"/>
  <c r="BE499" i="3"/>
  <c r="BF499" i="3"/>
  <c r="BG499" i="3"/>
  <c r="BH499" i="3"/>
  <c r="BI499" i="3"/>
  <c r="BJ499" i="3"/>
  <c r="BK499" i="3"/>
  <c r="BM499" i="3"/>
  <c r="BL499" i="3" s="1"/>
  <c r="AZ499" i="3" s="1"/>
  <c r="BN499" i="3"/>
  <c r="BO499" i="3"/>
  <c r="BP499" i="3"/>
  <c r="BR499" i="3"/>
  <c r="BS499" i="3"/>
  <c r="BT499" i="3"/>
  <c r="H500" i="3"/>
  <c r="AC500" i="3"/>
  <c r="BB500" i="3"/>
  <c r="BC500" i="3"/>
  <c r="BD500" i="3"/>
  <c r="BE500" i="3"/>
  <c r="BF500" i="3"/>
  <c r="BG500" i="3"/>
  <c r="BH500" i="3"/>
  <c r="BI500" i="3"/>
  <c r="BA500" i="3" s="1"/>
  <c r="AZ500" i="3" s="1"/>
  <c r="BJ500" i="3"/>
  <c r="BK500" i="3"/>
  <c r="BM500" i="3"/>
  <c r="BN500" i="3"/>
  <c r="BO500" i="3"/>
  <c r="BP500" i="3"/>
  <c r="BQ500" i="3"/>
  <c r="BR500" i="3"/>
  <c r="BS500" i="3"/>
  <c r="BT500" i="3"/>
  <c r="H501" i="3"/>
  <c r="G501" i="3" s="1"/>
  <c r="AC501" i="3"/>
  <c r="BB501" i="3"/>
  <c r="BC501" i="3"/>
  <c r="BD501" i="3"/>
  <c r="BE501" i="3"/>
  <c r="BE5"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L502" i="3" s="1"/>
  <c r="AZ502" i="3" s="1"/>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A504" i="3" s="1"/>
  <c r="AZ504" i="3" s="1"/>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A507" i="3" s="1"/>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L510" i="3" s="1"/>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L516" i="3" s="1"/>
  <c r="BT516" i="3"/>
  <c r="H517" i="3"/>
  <c r="AC517" i="3"/>
  <c r="BB517" i="3"/>
  <c r="BC517" i="3"/>
  <c r="BD517" i="3"/>
  <c r="BE517" i="3"/>
  <c r="BF517" i="3"/>
  <c r="BG517" i="3"/>
  <c r="BH517" i="3"/>
  <c r="BI517" i="3"/>
  <c r="BA517" i="3" s="1"/>
  <c r="BJ517" i="3"/>
  <c r="BK517" i="3"/>
  <c r="BM517" i="3"/>
  <c r="BN517" i="3"/>
  <c r="BO517" i="3"/>
  <c r="BL517" i="3" s="1"/>
  <c r="BP517" i="3"/>
  <c r="BR517" i="3"/>
  <c r="BS517" i="3"/>
  <c r="BT517" i="3"/>
  <c r="H518" i="3"/>
  <c r="AC518" i="3"/>
  <c r="BB518" i="3"/>
  <c r="BC518" i="3"/>
  <c r="BD518" i="3"/>
  <c r="BE518" i="3"/>
  <c r="BF518" i="3"/>
  <c r="BG518" i="3"/>
  <c r="BH518" i="3"/>
  <c r="BI518" i="3"/>
  <c r="BJ518" i="3"/>
  <c r="BK518" i="3"/>
  <c r="BA518" i="3" s="1"/>
  <c r="AZ518" i="3" s="1"/>
  <c r="BM518" i="3"/>
  <c r="BN518" i="3"/>
  <c r="BO518" i="3"/>
  <c r="BP518" i="3"/>
  <c r="BQ518" i="3"/>
  <c r="BR518" i="3"/>
  <c r="BS518" i="3"/>
  <c r="BT518" i="3"/>
  <c r="H519" i="3"/>
  <c r="AC519" i="3"/>
  <c r="BB519" i="3"/>
  <c r="BC519" i="3"/>
  <c r="BD519" i="3"/>
  <c r="BE519" i="3"/>
  <c r="BF519" i="3"/>
  <c r="BG519" i="3"/>
  <c r="BA519" i="3" s="1"/>
  <c r="BH519" i="3"/>
  <c r="BI519" i="3"/>
  <c r="BJ519" i="3"/>
  <c r="BK519" i="3"/>
  <c r="BM519" i="3"/>
  <c r="BN519" i="3"/>
  <c r="BO519" i="3"/>
  <c r="BP519" i="3"/>
  <c r="BR519" i="3"/>
  <c r="BS519" i="3"/>
  <c r="BT519" i="3"/>
  <c r="H520" i="3"/>
  <c r="AC520" i="3"/>
  <c r="BB520" i="3"/>
  <c r="BC520" i="3"/>
  <c r="BD520" i="3"/>
  <c r="BA520" i="3" s="1"/>
  <c r="AZ520" i="3" s="1"/>
  <c r="BE520" i="3"/>
  <c r="BF520" i="3"/>
  <c r="BG520" i="3"/>
  <c r="BH520" i="3"/>
  <c r="BI520" i="3"/>
  <c r="BJ520" i="3"/>
  <c r="BK520" i="3"/>
  <c r="BM520" i="3"/>
  <c r="BN520" i="3"/>
  <c r="BO520" i="3"/>
  <c r="BP520" i="3"/>
  <c r="BL520" i="3" s="1"/>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A522" i="3" s="1"/>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L524" i="3" s="1"/>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L526" i="3" s="1"/>
  <c r="BR526" i="3"/>
  <c r="BS526" i="3"/>
  <c r="BT526" i="3"/>
  <c r="H527" i="3"/>
  <c r="AC527" i="3"/>
  <c r="BB527" i="3"/>
  <c r="BC527" i="3"/>
  <c r="BD527" i="3"/>
  <c r="BE527" i="3"/>
  <c r="BF527" i="3"/>
  <c r="BG527" i="3"/>
  <c r="BA527" i="3" s="1"/>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AZ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A532" i="3" s="1"/>
  <c r="AZ532" i="3" s="1"/>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A534" i="3" s="1"/>
  <c r="AZ534" i="3" s="1"/>
  <c r="BE534" i="3"/>
  <c r="BF534" i="3"/>
  <c r="BG534" i="3"/>
  <c r="BH534" i="3"/>
  <c r="BI534" i="3"/>
  <c r="BJ534" i="3"/>
  <c r="BK534" i="3"/>
  <c r="BM534" i="3"/>
  <c r="BN534" i="3"/>
  <c r="BO534" i="3"/>
  <c r="BP534" i="3"/>
  <c r="BL534" i="3" s="1"/>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A536" i="3" s="1"/>
  <c r="BI536" i="3"/>
  <c r="BJ536" i="3"/>
  <c r="BK536" i="3"/>
  <c r="BM536" i="3"/>
  <c r="BN536" i="3"/>
  <c r="BL536" i="3" s="1"/>
  <c r="BO536" i="3"/>
  <c r="BP536" i="3"/>
  <c r="BQ536" i="3"/>
  <c r="BR536" i="3"/>
  <c r="BS536" i="3"/>
  <c r="BT536" i="3"/>
  <c r="H537" i="3"/>
  <c r="AC537" i="3"/>
  <c r="BB537" i="3"/>
  <c r="BC537" i="3"/>
  <c r="BD537" i="3"/>
  <c r="BE537" i="3"/>
  <c r="BF537" i="3"/>
  <c r="BG537" i="3"/>
  <c r="BH537" i="3"/>
  <c r="BI537" i="3"/>
  <c r="BA537" i="3" s="1"/>
  <c r="AZ537" i="3" s="1"/>
  <c r="BJ537" i="3"/>
  <c r="BK537" i="3"/>
  <c r="BM537" i="3"/>
  <c r="BN537" i="3"/>
  <c r="BO537" i="3"/>
  <c r="BP537" i="3"/>
  <c r="BR537" i="3"/>
  <c r="BS537" i="3"/>
  <c r="BT537" i="3"/>
  <c r="H538" i="3"/>
  <c r="AC538" i="3"/>
  <c r="BB538" i="3"/>
  <c r="BC538" i="3"/>
  <c r="BD538" i="3"/>
  <c r="BE538" i="3"/>
  <c r="BF538" i="3"/>
  <c r="BA538" i="3" s="1"/>
  <c r="AZ538" i="3" s="1"/>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A540" i="3" s="1"/>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A543" i="3" s="1"/>
  <c r="AZ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A545" i="3" s="1"/>
  <c r="BI545" i="3"/>
  <c r="BJ545" i="3"/>
  <c r="BK545" i="3"/>
  <c r="BM545" i="3"/>
  <c r="BN545" i="3"/>
  <c r="BL545" i="3" s="1"/>
  <c r="BO545" i="3"/>
  <c r="BP545" i="3"/>
  <c r="BR545" i="3"/>
  <c r="BS545" i="3"/>
  <c r="BT545" i="3"/>
  <c r="H546" i="3"/>
  <c r="AC546" i="3"/>
  <c r="BB546" i="3"/>
  <c r="BC546" i="3"/>
  <c r="BD546" i="3"/>
  <c r="BE546" i="3"/>
  <c r="BF546" i="3"/>
  <c r="BG546" i="3"/>
  <c r="BH546" i="3"/>
  <c r="BI546" i="3"/>
  <c r="BJ546" i="3"/>
  <c r="BA546" i="3" s="1"/>
  <c r="AZ546" i="3" s="1"/>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AZ549" i="3" s="1"/>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G553" i="3" s="1"/>
  <c r="AC553" i="3"/>
  <c r="BB553" i="3"/>
  <c r="BC553" i="3"/>
  <c r="BD553" i="3"/>
  <c r="BE553" i="3"/>
  <c r="BF553" i="3"/>
  <c r="BG553" i="3"/>
  <c r="BH553" i="3"/>
  <c r="BI553" i="3"/>
  <c r="BJ553" i="3"/>
  <c r="BK553" i="3"/>
  <c r="BA553" i="3" s="1"/>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A556" i="3" s="1"/>
  <c r="BF556" i="3"/>
  <c r="BG556" i="3"/>
  <c r="BH556" i="3"/>
  <c r="BI556" i="3"/>
  <c r="BJ556" i="3"/>
  <c r="BK556" i="3"/>
  <c r="BM556" i="3"/>
  <c r="BN556" i="3"/>
  <c r="BO556" i="3"/>
  <c r="BP556" i="3"/>
  <c r="BQ556" i="3"/>
  <c r="BL556" i="3" s="1"/>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BL560" i="3" s="1"/>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A563" i="3" s="1"/>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A568" i="3" s="1"/>
  <c r="AZ568" i="3" s="1"/>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L578" i="3" s="1"/>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BL582" i="3" s="1"/>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H13" i="40" s="1"/>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c r="F8" i="40"/>
  <c r="AA8"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H26" i="37" s="1"/>
  <c r="D79" i="37"/>
  <c r="E79" i="37" s="1"/>
  <c r="D75" i="37"/>
  <c r="E75" i="37"/>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c r="G64" i="36"/>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c r="J22" i="36"/>
  <c r="AC22" i="36"/>
  <c r="Q20" i="36"/>
  <c r="Z20" i="36" s="1"/>
  <c r="Q16" i="36"/>
  <c r="Z16" i="36" s="1"/>
  <c r="Q14" i="36"/>
  <c r="Z14" i="36" s="1"/>
  <c r="Q13" i="36"/>
  <c r="Z13" i="36"/>
  <c r="Q12" i="36"/>
  <c r="Z12" i="36" s="1"/>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c r="AB36" i="35" s="1"/>
  <c r="B99" i="35"/>
  <c r="B97" i="35"/>
  <c r="H34" i="35" s="1"/>
  <c r="AB34" i="35" s="1"/>
  <c r="B77" i="35"/>
  <c r="B75" i="35"/>
  <c r="J24" i="35" s="1"/>
  <c r="AC24" i="35"/>
  <c r="B73" i="35"/>
  <c r="J23" i="35" s="1"/>
  <c r="AC23" i="35" s="1"/>
  <c r="H23" i="35"/>
  <c r="U23" i="35" s="1"/>
  <c r="B57" i="35"/>
  <c r="B61" i="35"/>
  <c r="B59" i="35"/>
  <c r="F12" i="35" s="1"/>
  <c r="B131" i="34"/>
  <c r="B129" i="34"/>
  <c r="B127" i="34"/>
  <c r="B99" i="34"/>
  <c r="B97" i="34"/>
  <c r="B95" i="34"/>
  <c r="B93" i="34"/>
  <c r="B75" i="34"/>
  <c r="B73" i="34"/>
  <c r="J13" i="34" s="1"/>
  <c r="B71" i="34"/>
  <c r="J12" i="34" s="1"/>
  <c r="W12" i="34" s="1"/>
  <c r="B130" i="33"/>
  <c r="B128" i="33"/>
  <c r="B126" i="33"/>
  <c r="B98" i="33"/>
  <c r="B96" i="33"/>
  <c r="B94" i="33"/>
  <c r="B74" i="33"/>
  <c r="B72" i="33"/>
  <c r="B70" i="33"/>
  <c r="H12" i="33" s="1"/>
  <c r="U12" i="33" s="1"/>
  <c r="J12" i="33"/>
  <c r="W12" i="33" s="1"/>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s="1"/>
  <c r="Q30" i="35"/>
  <c r="Z30" i="35" s="1"/>
  <c r="Q29" i="35"/>
  <c r="Z29" i="35" s="1"/>
  <c r="Q28" i="35"/>
  <c r="Z28" i="35"/>
  <c r="J28" i="35"/>
  <c r="AC28" i="35" s="1"/>
  <c r="H28" i="35"/>
  <c r="AB28" i="35" s="1"/>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c r="Q43" i="34"/>
  <c r="Z43" i="34" s="1"/>
  <c r="Q42" i="34"/>
  <c r="Z42" i="34" s="1"/>
  <c r="Q41" i="34"/>
  <c r="Z41" i="34" s="1"/>
  <c r="Q40" i="34"/>
  <c r="Z40" i="34" s="1"/>
  <c r="Q39" i="34"/>
  <c r="Z39" i="34" s="1"/>
  <c r="H39" i="34"/>
  <c r="AB39" i="34"/>
  <c r="Q38" i="34"/>
  <c r="Z38" i="34"/>
  <c r="Q37" i="34"/>
  <c r="Z37" i="34"/>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c r="Q13" i="34"/>
  <c r="Z13" i="34"/>
  <c r="Q12" i="34"/>
  <c r="Z12" i="34"/>
  <c r="H12" i="34"/>
  <c r="F12" i="34"/>
  <c r="S12" i="34" s="1"/>
  <c r="Q11" i="34"/>
  <c r="Z11" i="34" s="1"/>
  <c r="Q10" i="34"/>
  <c r="Z10" i="34"/>
  <c r="F10" i="34"/>
  <c r="AA10" i="34" s="1"/>
  <c r="Q9" i="34"/>
  <c r="Z9" i="34"/>
  <c r="J9" i="34"/>
  <c r="J8" i="34"/>
  <c r="AC8" i="34" s="1"/>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c r="H38" i="33"/>
  <c r="AB38" i="33"/>
  <c r="F38" i="33"/>
  <c r="Q37" i="33"/>
  <c r="Z37" i="33" s="1"/>
  <c r="Q36" i="33"/>
  <c r="Z36" i="33" s="1"/>
  <c r="Q35" i="33"/>
  <c r="Z35" i="33"/>
  <c r="H35" i="33"/>
  <c r="AB35" i="33" s="1"/>
  <c r="Q34" i="33"/>
  <c r="Z34" i="33"/>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AB31" i="21" s="1"/>
  <c r="B96" i="21"/>
  <c r="J30" i="21" s="1"/>
  <c r="B94" i="21"/>
  <c r="J29" i="21"/>
  <c r="AC29" i="21"/>
  <c r="B92" i="21"/>
  <c r="H28" i="21" s="1"/>
  <c r="AB28" i="21" s="1"/>
  <c r="B90" i="21"/>
  <c r="J27" i="21"/>
  <c r="W27" i="21"/>
  <c r="B74" i="21"/>
  <c r="B72" i="21"/>
  <c r="H13" i="21"/>
  <c r="B70" i="21"/>
  <c r="F12"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c r="Q26" i="21"/>
  <c r="Z26" i="21"/>
  <c r="Q27" i="21"/>
  <c r="Z27" i="21" s="1"/>
  <c r="Q28" i="21"/>
  <c r="Z28" i="21"/>
  <c r="Q29" i="21"/>
  <c r="Z29" i="21" s="1"/>
  <c r="Q30" i="21"/>
  <c r="Z30" i="21"/>
  <c r="Q31" i="21"/>
  <c r="Z31" i="21"/>
  <c r="Q32" i="21"/>
  <c r="Z32" i="21"/>
  <c r="Q33" i="21"/>
  <c r="Z33" i="21"/>
  <c r="Q34" i="21"/>
  <c r="Z34" i="21"/>
  <c r="J35" i="21"/>
  <c r="W35" i="21" s="1"/>
  <c r="Q35" i="21"/>
  <c r="Z35" i="21"/>
  <c r="Q36" i="21"/>
  <c r="Z36" i="21" s="1"/>
  <c r="Q37" i="21"/>
  <c r="Z37" i="21"/>
  <c r="J38" i="21"/>
  <c r="W38" i="21"/>
  <c r="Q38" i="21"/>
  <c r="Z38" i="21"/>
  <c r="J39" i="21"/>
  <c r="AC39" i="21"/>
  <c r="Q39" i="21"/>
  <c r="Z39" i="21"/>
  <c r="H40" i="21"/>
  <c r="AB40" i="21" s="1"/>
  <c r="Q40" i="21"/>
  <c r="Z40" i="21"/>
  <c r="Q41" i="21"/>
  <c r="Z41" i="21" s="1"/>
  <c r="Q42" i="21"/>
  <c r="Z42" i="21"/>
  <c r="J43" i="21"/>
  <c r="AC43" i="2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A585" i="3" s="1"/>
  <c r="BM585" i="3"/>
  <c r="BN585" i="3"/>
  <c r="BO585" i="3"/>
  <c r="BP585" i="3"/>
  <c r="BQ585" i="3"/>
  <c r="BR585" i="3"/>
  <c r="BS585" i="3"/>
  <c r="BT585" i="3"/>
  <c r="BB586" i="3"/>
  <c r="BC586" i="3"/>
  <c r="BD586" i="3"/>
  <c r="BE586" i="3"/>
  <c r="BF586" i="3"/>
  <c r="BG586" i="3"/>
  <c r="BH586" i="3"/>
  <c r="BI586" i="3"/>
  <c r="BA586" i="3" s="1"/>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E5" i="6" s="1"/>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U34" i="21" s="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J34" i="21"/>
  <c r="W34" i="21"/>
  <c r="H36" i="21"/>
  <c r="F35" i="21"/>
  <c r="AA35" i="21"/>
  <c r="J10" i="21"/>
  <c r="AC10" i="21" s="1"/>
  <c r="H26" i="21"/>
  <c r="AB26" i="21" s="1"/>
  <c r="AB19" i="21"/>
  <c r="J19" i="21"/>
  <c r="W19" i="21" s="1"/>
  <c r="J26" i="21"/>
  <c r="W26" i="21" s="1"/>
  <c r="F26" i="21"/>
  <c r="S26" i="21"/>
  <c r="S41" i="21"/>
  <c r="AA41" i="21"/>
  <c r="F45" i="39"/>
  <c r="S45" i="39" s="1"/>
  <c r="J45" i="39"/>
  <c r="W45" i="39" s="1"/>
  <c r="F36" i="39"/>
  <c r="H36" i="39"/>
  <c r="AB36" i="39"/>
  <c r="F35" i="39"/>
  <c r="J36" i="39"/>
  <c r="AC36"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C27" i="35"/>
  <c r="W28" i="35"/>
  <c r="U34" i="35"/>
  <c r="F36" i="34"/>
  <c r="J35" i="34"/>
  <c r="U34" i="34"/>
  <c r="H39" i="33"/>
  <c r="AB39" i="33" s="1"/>
  <c r="S40" i="33"/>
  <c r="W33" i="33"/>
  <c r="S27" i="35"/>
  <c r="F11" i="40"/>
  <c r="AA11" i="40" s="1"/>
  <c r="H11" i="40"/>
  <c r="AB11" i="40"/>
  <c r="AA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H19" i="39"/>
  <c r="AB19" i="39" s="1"/>
  <c r="F19" i="39"/>
  <c r="H17" i="39"/>
  <c r="AB17" i="39" s="1"/>
  <c r="F17" i="39"/>
  <c r="AA17" i="39" s="1"/>
  <c r="J23" i="40"/>
  <c r="AC23" i="40" s="1"/>
  <c r="F21" i="40"/>
  <c r="AA21" i="40"/>
  <c r="J21" i="40"/>
  <c r="W21" i="40"/>
  <c r="H42" i="39"/>
  <c r="AB42" i="39" s="1"/>
  <c r="J34" i="39"/>
  <c r="AC34" i="39" s="1"/>
  <c r="J31" i="39"/>
  <c r="H27" i="39"/>
  <c r="U27" i="39" s="1"/>
  <c r="J19" i="39"/>
  <c r="AC19" i="39" s="1"/>
  <c r="J17" i="39"/>
  <c r="J27" i="39"/>
  <c r="AC27" i="39"/>
  <c r="F27" i="39"/>
  <c r="F11" i="21"/>
  <c r="S11" i="21" s="1"/>
  <c r="S40" i="21"/>
  <c r="C25" i="39"/>
  <c r="H11" i="39"/>
  <c r="S40" i="39"/>
  <c r="C15" i="39"/>
  <c r="H32" i="33"/>
  <c r="AB32" i="33"/>
  <c r="H11" i="21"/>
  <c r="U11" i="21" s="1"/>
  <c r="J11" i="21"/>
  <c r="W11" i="21" s="1"/>
  <c r="H37" i="40"/>
  <c r="U37" i="40"/>
  <c r="H36" i="40"/>
  <c r="AB36" i="40" s="1"/>
  <c r="F35" i="40"/>
  <c r="S35" i="40" s="1"/>
  <c r="AA35" i="40"/>
  <c r="H23" i="40"/>
  <c r="AB23" i="40" s="1"/>
  <c r="H17" i="40"/>
  <c r="U17" i="40" s="1"/>
  <c r="J15" i="40"/>
  <c r="J11" i="40"/>
  <c r="AB8" i="39"/>
  <c r="AC12" i="34"/>
  <c r="AB12" i="35"/>
  <c r="W32" i="40"/>
  <c r="F37" i="39"/>
  <c r="AA37" i="39" s="1"/>
  <c r="J34" i="36"/>
  <c r="W34" i="36" s="1"/>
  <c r="U30" i="36"/>
  <c r="J30" i="35"/>
  <c r="W30" i="35" s="1"/>
  <c r="H30" i="35"/>
  <c r="AB30" i="35" s="1"/>
  <c r="F22" i="35"/>
  <c r="AA22" i="35" s="1"/>
  <c r="H10" i="35"/>
  <c r="U10" i="35" s="1"/>
  <c r="F33" i="36"/>
  <c r="W30" i="36"/>
  <c r="H16" i="36"/>
  <c r="AB16" i="36"/>
  <c r="J29" i="36"/>
  <c r="AC29" i="36" s="1"/>
  <c r="F24" i="36"/>
  <c r="AA24" i="36"/>
  <c r="F34" i="36"/>
  <c r="S34" i="36" s="1"/>
  <c r="F14" i="35"/>
  <c r="AA14" i="35" s="1"/>
  <c r="F23" i="35"/>
  <c r="AA23" i="35" s="1"/>
  <c r="J32" i="35"/>
  <c r="AC32" i="35" s="1"/>
  <c r="J16" i="35"/>
  <c r="AC16" i="35"/>
  <c r="H16" i="35"/>
  <c r="U16" i="35"/>
  <c r="F16" i="35"/>
  <c r="S16" i="35"/>
  <c r="H14" i="35"/>
  <c r="AB14" i="35"/>
  <c r="J29" i="35"/>
  <c r="H33" i="35"/>
  <c r="J20" i="35"/>
  <c r="W20" i="35" s="1"/>
  <c r="F35" i="37"/>
  <c r="S35" i="37" s="1"/>
  <c r="J34" i="37"/>
  <c r="W34" i="37"/>
  <c r="AB34" i="37"/>
  <c r="J33" i="37"/>
  <c r="AC33" i="37" s="1"/>
  <c r="H40" i="34"/>
  <c r="U40" i="34"/>
  <c r="E114" i="34"/>
  <c r="H36" i="34"/>
  <c r="F37" i="34"/>
  <c r="AA37" i="34" s="1"/>
  <c r="S35" i="34"/>
  <c r="F28" i="34"/>
  <c r="AA28" i="34" s="1"/>
  <c r="F25" i="34"/>
  <c r="S25" i="34" s="1"/>
  <c r="H23" i="34"/>
  <c r="AB23" i="34" s="1"/>
  <c r="J23" i="34"/>
  <c r="F19" i="34"/>
  <c r="H17" i="34"/>
  <c r="U17" i="34" s="1"/>
  <c r="F15" i="34"/>
  <c r="AA15" i="34" s="1"/>
  <c r="J15" i="34"/>
  <c r="H15" i="34"/>
  <c r="AB15" i="34" s="1"/>
  <c r="W8" i="34"/>
  <c r="J28" i="34"/>
  <c r="W28" i="34"/>
  <c r="F41" i="33"/>
  <c r="E113" i="33"/>
  <c r="F32" i="33"/>
  <c r="AA32" i="33" s="1"/>
  <c r="J19" i="33"/>
  <c r="AC19" i="33"/>
  <c r="J15" i="33"/>
  <c r="AC15" i="33" s="1"/>
  <c r="F11" i="33"/>
  <c r="AA11" i="33" s="1"/>
  <c r="U40" i="33"/>
  <c r="W40" i="33"/>
  <c r="F37" i="40"/>
  <c r="AA37" i="40"/>
  <c r="F36" i="40"/>
  <c r="AA36" i="40" s="1"/>
  <c r="H28" i="40"/>
  <c r="U28" i="40" s="1"/>
  <c r="F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AA23" i="34"/>
  <c r="J19" i="34"/>
  <c r="AC19" i="34" s="1"/>
  <c r="F17" i="34"/>
  <c r="AA17" i="34" s="1"/>
  <c r="J17" i="34"/>
  <c r="W17" i="34" s="1"/>
  <c r="AB17" i="34"/>
  <c r="F113" i="33"/>
  <c r="G113" i="33"/>
  <c r="H113" i="33"/>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c r="J44" i="34"/>
  <c r="F44" i="34"/>
  <c r="S44" i="34" s="1"/>
  <c r="J10" i="35"/>
  <c r="AC10" i="35" s="1"/>
  <c r="J14" i="21"/>
  <c r="W14" i="21"/>
  <c r="F14" i="21"/>
  <c r="S14" i="21" s="1"/>
  <c r="H14" i="21"/>
  <c r="U14" i="21" s="1"/>
  <c r="F28" i="21"/>
  <c r="AA28" i="21" s="1"/>
  <c r="J28" i="21"/>
  <c r="H30" i="21"/>
  <c r="AC30" i="21"/>
  <c r="J44" i="21"/>
  <c r="H44" i="21"/>
  <c r="U44" i="21" s="1"/>
  <c r="F44" i="21"/>
  <c r="AA44" i="21" s="1"/>
  <c r="H46" i="21"/>
  <c r="U46" i="21" s="1"/>
  <c r="J46" i="21"/>
  <c r="F46" i="21"/>
  <c r="AA46" i="21"/>
  <c r="E119" i="21"/>
  <c r="F119" i="21" s="1"/>
  <c r="G119" i="21" s="1"/>
  <c r="H119" i="21" s="1"/>
  <c r="I119" i="21" s="1"/>
  <c r="J119" i="21" s="1"/>
  <c r="K119" i="21" s="1"/>
  <c r="L119" i="21" s="1"/>
  <c r="M119" i="21" s="1"/>
  <c r="H26" i="33"/>
  <c r="AB26" i="33" s="1"/>
  <c r="H28" i="33"/>
  <c r="U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AB29" i="21" s="1"/>
  <c r="U29" i="21"/>
  <c r="J31" i="21"/>
  <c r="AC31" i="21" s="1"/>
  <c r="F31" i="21"/>
  <c r="S31" i="21"/>
  <c r="F45" i="21"/>
  <c r="AA45" i="21" s="1"/>
  <c r="F27" i="33"/>
  <c r="AA27" i="33"/>
  <c r="J13" i="33"/>
  <c r="H13" i="33"/>
  <c r="U13" i="33" s="1"/>
  <c r="F13" i="33"/>
  <c r="S13" i="33" s="1"/>
  <c r="J29" i="33"/>
  <c r="H29" i="33"/>
  <c r="U29" i="33" s="1"/>
  <c r="F29" i="33"/>
  <c r="S29" i="33" s="1"/>
  <c r="J31" i="33"/>
  <c r="W31" i="33"/>
  <c r="H31" i="33"/>
  <c r="F31" i="33"/>
  <c r="H45" i="33"/>
  <c r="AB45" i="33" s="1"/>
  <c r="U45" i="33"/>
  <c r="J45" i="33"/>
  <c r="W45" i="33" s="1"/>
  <c r="F45" i="33"/>
  <c r="AA45" i="33"/>
  <c r="H14" i="34"/>
  <c r="H30" i="34"/>
  <c r="F30" i="34"/>
  <c r="S30" i="34" s="1"/>
  <c r="J30" i="34"/>
  <c r="H32" i="34"/>
  <c r="H46" i="34"/>
  <c r="AB46" i="34" s="1"/>
  <c r="U46" i="34"/>
  <c r="F46" i="34"/>
  <c r="J46" i="34"/>
  <c r="H11" i="35"/>
  <c r="AB11" i="35" s="1"/>
  <c r="J11" i="35"/>
  <c r="W11" i="35" s="1"/>
  <c r="AC11" i="35"/>
  <c r="F11" i="35"/>
  <c r="S11" i="35" s="1"/>
  <c r="J26" i="36"/>
  <c r="H28" i="36"/>
  <c r="U28"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s="1"/>
  <c r="F30" i="33"/>
  <c r="J30" i="33"/>
  <c r="H44" i="33"/>
  <c r="J44" i="33"/>
  <c r="F44" i="33"/>
  <c r="J46" i="33"/>
  <c r="AC46" i="33" s="1"/>
  <c r="F46" i="33"/>
  <c r="AA46" i="33" s="1"/>
  <c r="H46" i="33"/>
  <c r="AB46" i="33"/>
  <c r="H13" i="34"/>
  <c r="U13" i="34" s="1"/>
  <c r="F13" i="34"/>
  <c r="AA13" i="34" s="1"/>
  <c r="J29" i="34"/>
  <c r="F29" i="34"/>
  <c r="S29" i="34"/>
  <c r="H29" i="34"/>
  <c r="AB29" i="34" s="1"/>
  <c r="J31" i="34"/>
  <c r="H31" i="34"/>
  <c r="F31" i="34"/>
  <c r="S31" i="34" s="1"/>
  <c r="H45" i="34"/>
  <c r="U45" i="34" s="1"/>
  <c r="J45" i="34"/>
  <c r="W45" i="34"/>
  <c r="F45" i="34"/>
  <c r="S45" i="34" s="1"/>
  <c r="H47" i="34"/>
  <c r="U47" i="34" s="1"/>
  <c r="F47" i="34"/>
  <c r="S47" i="34" s="1"/>
  <c r="J47" i="34"/>
  <c r="AC47" i="34" s="1"/>
  <c r="F13" i="35"/>
  <c r="J13" i="35"/>
  <c r="AC13" i="35"/>
  <c r="H13" i="35"/>
  <c r="U13" i="35" s="1"/>
  <c r="J25" i="35"/>
  <c r="J35" i="35"/>
  <c r="AC35" i="35" s="1"/>
  <c r="F35" i="35"/>
  <c r="H35" i="35"/>
  <c r="J25" i="36"/>
  <c r="W25" i="36" s="1"/>
  <c r="F25" i="36"/>
  <c r="S25" i="36" s="1"/>
  <c r="H25" i="36"/>
  <c r="AB25" i="36"/>
  <c r="H13" i="37"/>
  <c r="AB13" i="37" s="1"/>
  <c r="S13" i="37"/>
  <c r="J13" i="37"/>
  <c r="W13" i="37" s="1"/>
  <c r="F28" i="37"/>
  <c r="AA28" i="37" s="1"/>
  <c r="J28" i="37"/>
  <c r="AC28" i="37" s="1"/>
  <c r="H28" i="37"/>
  <c r="H38" i="37"/>
  <c r="J38" i="37"/>
  <c r="AC38" i="37" s="1"/>
  <c r="F38" i="37"/>
  <c r="S38" i="37"/>
  <c r="F43" i="39"/>
  <c r="AA43" i="39" s="1"/>
  <c r="H43" i="39"/>
  <c r="J14" i="39"/>
  <c r="AC14" i="39" s="1"/>
  <c r="F14" i="39"/>
  <c r="H14" i="39"/>
  <c r="AB14" i="39"/>
  <c r="F12" i="40"/>
  <c r="H30" i="40"/>
  <c r="AB30" i="40" s="1"/>
  <c r="H33" i="40"/>
  <c r="U33" i="40"/>
  <c r="J35" i="40"/>
  <c r="AC35" i="40"/>
  <c r="J37" i="40"/>
  <c r="AC37" i="40"/>
  <c r="U13" i="40"/>
  <c r="J13" i="40"/>
  <c r="W13" i="40" s="1"/>
  <c r="F13" i="40"/>
  <c r="AA13" i="40" s="1"/>
  <c r="F14" i="37"/>
  <c r="AA14" i="37" s="1"/>
  <c r="S14" i="37"/>
  <c r="F27" i="37"/>
  <c r="AA27" i="37" s="1"/>
  <c r="F13" i="39"/>
  <c r="J13" i="39"/>
  <c r="W13" i="39" s="1"/>
  <c r="H13" i="39"/>
  <c r="H14" i="40"/>
  <c r="AB14" i="40"/>
  <c r="J14" i="40"/>
  <c r="W14" i="40" s="1"/>
  <c r="F14" i="40"/>
  <c r="AA14" i="40"/>
  <c r="J14" i="37"/>
  <c r="U46" i="33"/>
  <c r="AA14" i="33"/>
  <c r="J36" i="37"/>
  <c r="AC36" i="37" s="1"/>
  <c r="J10" i="36"/>
  <c r="AC10" i="36" s="1"/>
  <c r="S11" i="36"/>
  <c r="S45" i="33"/>
  <c r="F17" i="21"/>
  <c r="AA17" i="21" s="1"/>
  <c r="H17" i="21"/>
  <c r="AB17" i="21" s="1"/>
  <c r="F15" i="21"/>
  <c r="S15" i="21" s="1"/>
  <c r="J41" i="39"/>
  <c r="W41" i="39" s="1"/>
  <c r="U36" i="39"/>
  <c r="G540" i="3"/>
  <c r="G536" i="3"/>
  <c r="G532" i="3"/>
  <c r="G531" i="3"/>
  <c r="G528" i="3"/>
  <c r="G527" i="3"/>
  <c r="G523" i="3"/>
  <c r="G518" i="3"/>
  <c r="G514" i="3"/>
  <c r="G510" i="3"/>
  <c r="G508" i="3"/>
  <c r="G504" i="3"/>
  <c r="G500" i="3"/>
  <c r="G496" i="3"/>
  <c r="G584" i="3"/>
  <c r="G576" i="3"/>
  <c r="G572" i="3"/>
  <c r="G568" i="3"/>
  <c r="G564" i="3"/>
  <c r="G560" i="3"/>
  <c r="G554" i="3"/>
  <c r="G550" i="3"/>
  <c r="BL584" i="3"/>
  <c r="BL580" i="3"/>
  <c r="BL576" i="3"/>
  <c r="BL572" i="3"/>
  <c r="BL568" i="3"/>
  <c r="BL564" i="3"/>
  <c r="BL554" i="3"/>
  <c r="BL546" i="3"/>
  <c r="BL542" i="3"/>
  <c r="BL538" i="3"/>
  <c r="BL522" i="3"/>
  <c r="AZ522" i="3" s="1"/>
  <c r="BL506" i="3"/>
  <c r="BL574" i="3"/>
  <c r="BL566" i="3"/>
  <c r="BL562" i="3"/>
  <c r="G533" i="3"/>
  <c r="BL532" i="3"/>
  <c r="G529" i="3"/>
  <c r="BL528" i="3"/>
  <c r="G525" i="3"/>
  <c r="BL518" i="3"/>
  <c r="BL514" i="3"/>
  <c r="BL504" i="3"/>
  <c r="BL500" i="3"/>
  <c r="BA584" i="3"/>
  <c r="BA582" i="3"/>
  <c r="AZ582" i="3" s="1"/>
  <c r="BA580" i="3"/>
  <c r="AZ580" i="3" s="1"/>
  <c r="BA578" i="3"/>
  <c r="BA576" i="3"/>
  <c r="AZ576" i="3" s="1"/>
  <c r="BA574" i="3"/>
  <c r="BA572" i="3"/>
  <c r="BA564" i="3"/>
  <c r="AZ564" i="3" s="1"/>
  <c r="BA562" i="3"/>
  <c r="BA560" i="3"/>
  <c r="AZ560" i="3" s="1"/>
  <c r="BA558" i="3"/>
  <c r="AZ558" i="3" s="1"/>
  <c r="BA554" i="3"/>
  <c r="AZ554" i="3"/>
  <c r="BA552" i="3"/>
  <c r="AZ552" i="3"/>
  <c r="BA544" i="3"/>
  <c r="BA530" i="3"/>
  <c r="BA528" i="3"/>
  <c r="AZ528" i="3" s="1"/>
  <c r="BA526" i="3"/>
  <c r="BA514" i="3"/>
  <c r="AZ514" i="3" s="1"/>
  <c r="BA512" i="3"/>
  <c r="BA508" i="3"/>
  <c r="BA494" i="3"/>
  <c r="BA583" i="3"/>
  <c r="BA575" i="3"/>
  <c r="AZ575" i="3" s="1"/>
  <c r="BA573" i="3"/>
  <c r="BA571" i="3"/>
  <c r="AZ571" i="3" s="1"/>
  <c r="BA569" i="3"/>
  <c r="BA567" i="3"/>
  <c r="BA565" i="3"/>
  <c r="AZ565" i="3" s="1"/>
  <c r="BA555" i="3"/>
  <c r="BA549" i="3"/>
  <c r="BA535" i="3"/>
  <c r="BA531" i="3"/>
  <c r="BA513" i="3"/>
  <c r="BA503" i="3"/>
  <c r="BA499" i="3"/>
  <c r="BA497" i="3"/>
  <c r="BA493" i="3"/>
  <c r="G583" i="3"/>
  <c r="G581" i="3"/>
  <c r="G579" i="3"/>
  <c r="G577" i="3"/>
  <c r="G575" i="3"/>
  <c r="G573" i="3"/>
  <c r="G571" i="3"/>
  <c r="G569" i="3"/>
  <c r="G567" i="3"/>
  <c r="G565" i="3"/>
  <c r="G563" i="3"/>
  <c r="G561" i="3"/>
  <c r="BL558" i="3"/>
  <c r="BA557" i="3"/>
  <c r="AC557" i="3"/>
  <c r="G557" i="3" s="1"/>
  <c r="BQ557" i="3"/>
  <c r="BQ583" i="3"/>
  <c r="BQ581" i="3"/>
  <c r="BL581" i="3"/>
  <c r="BQ579" i="3"/>
  <c r="BL579" i="3"/>
  <c r="BQ577" i="3"/>
  <c r="BL577" i="3" s="1"/>
  <c r="AZ577" i="3" s="1"/>
  <c r="BQ575" i="3"/>
  <c r="BQ573" i="3"/>
  <c r="BL573" i="3" s="1"/>
  <c r="BQ571" i="3"/>
  <c r="BL571" i="3"/>
  <c r="BQ569" i="3"/>
  <c r="BL569" i="3" s="1"/>
  <c r="AZ569" i="3" s="1"/>
  <c r="BQ567" i="3"/>
  <c r="BL567" i="3" s="1"/>
  <c r="BQ565" i="3"/>
  <c r="BL565" i="3" s="1"/>
  <c r="BQ563" i="3"/>
  <c r="BQ561" i="3"/>
  <c r="BQ559" i="3"/>
  <c r="BL559" i="3" s="1"/>
  <c r="AZ559" i="3"/>
  <c r="G559" i="3"/>
  <c r="G555" i="3"/>
  <c r="G549" i="3"/>
  <c r="G547" i="3"/>
  <c r="G545" i="3"/>
  <c r="G543" i="3"/>
  <c r="G541" i="3"/>
  <c r="G539" i="3"/>
  <c r="G537" i="3"/>
  <c r="BQ555" i="3"/>
  <c r="BL555" i="3"/>
  <c r="BQ553" i="3"/>
  <c r="BL553" i="3" s="1"/>
  <c r="BQ551" i="3"/>
  <c r="BL551" i="3"/>
  <c r="BQ549" i="3"/>
  <c r="BQ547" i="3"/>
  <c r="BQ545" i="3"/>
  <c r="BQ543" i="3"/>
  <c r="BL543" i="3" s="1"/>
  <c r="BQ541" i="3"/>
  <c r="BL541" i="3" s="1"/>
  <c r="BQ539" i="3"/>
  <c r="BQ537" i="3"/>
  <c r="BL537" i="3"/>
  <c r="BQ535" i="3"/>
  <c r="BQ533" i="3"/>
  <c r="BL533" i="3" s="1"/>
  <c r="BQ531" i="3"/>
  <c r="BL531" i="3" s="1"/>
  <c r="AZ531" i="3" s="1"/>
  <c r="BQ529" i="3"/>
  <c r="BL529" i="3" s="1"/>
  <c r="BQ527" i="3"/>
  <c r="BQ525" i="3"/>
  <c r="BL525" i="3"/>
  <c r="BQ523" i="3"/>
  <c r="BL523" i="3" s="1"/>
  <c r="BA521" i="3"/>
  <c r="AC521" i="3"/>
  <c r="BQ521" i="3"/>
  <c r="G519" i="3"/>
  <c r="G517" i="3"/>
  <c r="G515" i="3"/>
  <c r="G513" i="3"/>
  <c r="G511" i="3"/>
  <c r="BQ519" i="3"/>
  <c r="BQ517" i="3"/>
  <c r="BQ515" i="3"/>
  <c r="BL515" i="3" s="1"/>
  <c r="BQ513" i="3"/>
  <c r="BQ511" i="3"/>
  <c r="BL511" i="3" s="1"/>
  <c r="AC509" i="3"/>
  <c r="BQ509" i="3"/>
  <c r="BL509" i="3"/>
  <c r="G505" i="3"/>
  <c r="G503" i="3"/>
  <c r="G499" i="3"/>
  <c r="G497" i="3"/>
  <c r="G495" i="3"/>
  <c r="BQ507" i="3"/>
  <c r="BQ505" i="3"/>
  <c r="BL505" i="3" s="1"/>
  <c r="BQ503" i="3"/>
  <c r="BQ501" i="3"/>
  <c r="BL501" i="3"/>
  <c r="BQ499" i="3"/>
  <c r="BQ497" i="3"/>
  <c r="BQ495" i="3"/>
  <c r="BL495" i="3" s="1"/>
  <c r="BQ493" i="3"/>
  <c r="BL493" i="3" s="1"/>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U32" i="33"/>
  <c r="F39" i="33"/>
  <c r="S39" i="33" s="1"/>
  <c r="AA39"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c r="H24" i="35"/>
  <c r="U24" i="35" s="1"/>
  <c r="AB24" i="35"/>
  <c r="H23" i="37"/>
  <c r="U23" i="37" s="1"/>
  <c r="J32" i="37"/>
  <c r="AC32" i="37"/>
  <c r="F36" i="37"/>
  <c r="AA36" i="37" s="1"/>
  <c r="F37" i="37"/>
  <c r="AA37" i="37"/>
  <c r="F31" i="40"/>
  <c r="AA31" i="40" s="1"/>
  <c r="H31" i="40"/>
  <c r="U31" i="40" s="1"/>
  <c r="F32" i="40"/>
  <c r="S32" i="40"/>
  <c r="H32" i="40"/>
  <c r="AB32" i="40"/>
  <c r="J36" i="40"/>
  <c r="AC36" i="40" s="1"/>
  <c r="W36" i="40"/>
  <c r="H19" i="37"/>
  <c r="AB19" i="37" s="1"/>
  <c r="H42" i="33"/>
  <c r="AB42" i="33" s="1"/>
  <c r="J43" i="33"/>
  <c r="S28" i="31"/>
  <c r="S27" i="31"/>
  <c r="S26" i="31"/>
  <c r="U14" i="40"/>
  <c r="W23" i="35"/>
  <c r="W47" i="34"/>
  <c r="AC36" i="34"/>
  <c r="AA13" i="33"/>
  <c r="AC31" i="33"/>
  <c r="AC45" i="33"/>
  <c r="U11" i="33"/>
  <c r="U19"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S11" i="39" s="1"/>
  <c r="AA11" i="39"/>
  <c r="G4" i="4"/>
  <c r="I4" i="4"/>
  <c r="A2" i="9"/>
  <c r="F61" i="43"/>
  <c r="H64" i="43" s="1"/>
  <c r="G546" i="3"/>
  <c r="G524" i="3"/>
  <c r="G303" i="3"/>
  <c r="BL304" i="3"/>
  <c r="G305" i="3"/>
  <c r="BL306" i="3"/>
  <c r="AZ306" i="3" s="1"/>
  <c r="BA308" i="3"/>
  <c r="BA309" i="3"/>
  <c r="AZ309" i="3" s="1"/>
  <c r="BL309" i="3"/>
  <c r="G310" i="3"/>
  <c r="BA311" i="3"/>
  <c r="G319" i="3"/>
  <c r="BL320" i="3"/>
  <c r="G321" i="3"/>
  <c r="BA324" i="3"/>
  <c r="BL325" i="3"/>
  <c r="G326"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AZ116" i="3"/>
  <c r="G117" i="3"/>
  <c r="BA119" i="3"/>
  <c r="BL120" i="3"/>
  <c r="AZ120" i="3" s="1"/>
  <c r="G121" i="3"/>
  <c r="BA123" i="3"/>
  <c r="BL124" i="3"/>
  <c r="G125" i="3"/>
  <c r="BA127" i="3"/>
  <c r="AZ127" i="3" s="1"/>
  <c r="BL128" i="3"/>
  <c r="G129" i="3"/>
  <c r="BA131" i="3"/>
  <c r="BL132" i="3"/>
  <c r="G133" i="3"/>
  <c r="BA135" i="3"/>
  <c r="AZ135" i="3" s="1"/>
  <c r="BL136" i="3"/>
  <c r="G137" i="3"/>
  <c r="BA139" i="3"/>
  <c r="BL140" i="3"/>
  <c r="G141" i="3"/>
  <c r="BA143" i="3"/>
  <c r="BL144" i="3"/>
  <c r="G145" i="3"/>
  <c r="BA147" i="3"/>
  <c r="BL148" i="3"/>
  <c r="AZ148" i="3" s="1"/>
  <c r="G149" i="3"/>
  <c r="BA151" i="3"/>
  <c r="BL152" i="3"/>
  <c r="G153" i="3"/>
  <c r="BA155" i="3"/>
  <c r="G157" i="3"/>
  <c r="BA159" i="3"/>
  <c r="BL160" i="3"/>
  <c r="G161" i="3"/>
  <c r="BA163" i="3"/>
  <c r="AZ163" i="3"/>
  <c r="BL164" i="3"/>
  <c r="G165" i="3"/>
  <c r="BA167" i="3"/>
  <c r="BL168" i="3"/>
  <c r="G169" i="3"/>
  <c r="BA171" i="3"/>
  <c r="BL172" i="3"/>
  <c r="G173" i="3"/>
  <c r="BA175" i="3"/>
  <c r="AZ175" i="3"/>
  <c r="BL176" i="3"/>
  <c r="G177" i="3"/>
  <c r="BA179" i="3"/>
  <c r="BL180" i="3"/>
  <c r="G181" i="3"/>
  <c r="BA183" i="3"/>
  <c r="BL184" i="3"/>
  <c r="G185" i="3"/>
  <c r="BA187" i="3"/>
  <c r="BL188" i="3"/>
  <c r="G189" i="3"/>
  <c r="BA191" i="3"/>
  <c r="BL192" i="3"/>
  <c r="G193" i="3"/>
  <c r="BA195" i="3"/>
  <c r="AZ195" i="3"/>
  <c r="BL196" i="3"/>
  <c r="G197" i="3"/>
  <c r="BA199" i="3"/>
  <c r="BL200" i="3"/>
  <c r="G201" i="3"/>
  <c r="BA203" i="3"/>
  <c r="BL204" i="3"/>
  <c r="AZ204" i="3" s="1"/>
  <c r="AZ168" i="3"/>
  <c r="G534" i="3"/>
  <c r="G530" i="3"/>
  <c r="G522" i="3"/>
  <c r="G516" i="3"/>
  <c r="G506" i="3"/>
  <c r="G498" i="3"/>
  <c r="G494" i="3"/>
  <c r="G16" i="3"/>
  <c r="G15" i="3"/>
  <c r="BA304" i="3"/>
  <c r="AZ304" i="3" s="1"/>
  <c r="BA305" i="3"/>
  <c r="AZ305" i="3" s="1"/>
  <c r="BL305" i="3"/>
  <c r="G306" i="3"/>
  <c r="G309" i="3"/>
  <c r="BL310" i="3"/>
  <c r="BA312" i="3"/>
  <c r="BA313" i="3"/>
  <c r="BL313" i="3"/>
  <c r="G314" i="3"/>
  <c r="G317" i="3"/>
  <c r="BL318" i="3"/>
  <c r="AZ320" i="3"/>
  <c r="G322" i="3"/>
  <c r="G325" i="3"/>
  <c r="BA328" i="3"/>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AZ390" i="3" s="1"/>
  <c r="G391" i="3"/>
  <c r="G394" i="3"/>
  <c r="BA16" i="3"/>
  <c r="BL303" i="3"/>
  <c r="G304" i="3"/>
  <c r="BA306" i="3"/>
  <c r="BL307" i="3"/>
  <c r="G308" i="3"/>
  <c r="BA310" i="3"/>
  <c r="AZ310" i="3"/>
  <c r="BL311" i="3"/>
  <c r="AZ311" i="3" s="1"/>
  <c r="G312" i="3"/>
  <c r="BA314" i="3"/>
  <c r="BL315" i="3"/>
  <c r="G316" i="3"/>
  <c r="G320" i="3"/>
  <c r="BA322" i="3"/>
  <c r="BL323" i="3"/>
  <c r="BA326" i="3"/>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269" i="3"/>
  <c r="BA379" i="3"/>
  <c r="BL380" i="3"/>
  <c r="AZ380" i="3" s="1"/>
  <c r="G381" i="3"/>
  <c r="BA383" i="3"/>
  <c r="AZ383" i="3" s="1"/>
  <c r="BL384" i="3"/>
  <c r="G385" i="3"/>
  <c r="BA387" i="3"/>
  <c r="AZ387" i="3" s="1"/>
  <c r="BL388" i="3"/>
  <c r="G389" i="3"/>
  <c r="BA391" i="3"/>
  <c r="BL392" i="3"/>
  <c r="G393" i="3"/>
  <c r="AC5" i="3"/>
  <c r="AZ506" i="3"/>
  <c r="G548" i="3"/>
  <c r="G538" i="3"/>
  <c r="G520" i="3"/>
  <c r="G502" i="3"/>
  <c r="G17" i="3"/>
  <c r="BA17" i="3"/>
  <c r="BT5" i="3"/>
  <c r="AZ356" i="3"/>
  <c r="BA15" i="3"/>
  <c r="BB5" i="3"/>
  <c r="AZ392" i="3"/>
  <c r="G509" i="3"/>
  <c r="U36" i="40"/>
  <c r="F83" i="43"/>
  <c r="H85" i="43" s="1"/>
  <c r="F50" i="43"/>
  <c r="H54" i="43" s="1"/>
  <c r="F72" i="43"/>
  <c r="H75" i="43" s="1"/>
  <c r="U17" i="39"/>
  <c r="S14" i="35"/>
  <c r="U43" i="21"/>
  <c r="U35" i="21"/>
  <c r="AC35" i="21"/>
  <c r="AZ563" i="3"/>
  <c r="W37" i="37"/>
  <c r="W44" i="34"/>
  <c r="AC44" i="34"/>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AC14" i="35"/>
  <c r="H20" i="35"/>
  <c r="U20" i="35" s="1"/>
  <c r="F20" i="35"/>
  <c r="AB23" i="35"/>
  <c r="AB29" i="36"/>
  <c r="U29" i="36"/>
  <c r="H32" i="37"/>
  <c r="AB32" i="37" s="1"/>
  <c r="H27" i="40"/>
  <c r="U27" i="40" s="1"/>
  <c r="J27" i="40"/>
  <c r="AC27" i="40"/>
  <c r="F27" i="40"/>
  <c r="S27" i="40"/>
  <c r="J30" i="40"/>
  <c r="W30" i="40" s="1"/>
  <c r="F30" i="40"/>
  <c r="S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AA23" i="39"/>
  <c r="H27" i="36"/>
  <c r="U27" i="36" s="1"/>
  <c r="F27" i="36"/>
  <c r="AA27" i="36" s="1"/>
  <c r="H33" i="34"/>
  <c r="U33" i="34" s="1"/>
  <c r="F32" i="37"/>
  <c r="AA32" i="37"/>
  <c r="F20" i="36"/>
  <c r="AA20" i="36" s="1"/>
  <c r="J33" i="34"/>
  <c r="AC33" i="34" s="1"/>
  <c r="H23" i="39"/>
  <c r="U23" i="39" s="1"/>
  <c r="D48" i="9"/>
  <c r="M52" i="9" s="1"/>
  <c r="K9" i="1"/>
  <c r="M9" i="1" s="1"/>
  <c r="D93" i="9"/>
  <c r="K6" i="1"/>
  <c r="AP6" i="1" s="1"/>
  <c r="W27" i="34"/>
  <c r="AC27" i="34"/>
  <c r="AB34" i="36"/>
  <c r="U34" i="36"/>
  <c r="AB33" i="36"/>
  <c r="U33" i="36"/>
  <c r="AC12" i="39"/>
  <c r="W12" i="39"/>
  <c r="AC39" i="40"/>
  <c r="W39" i="40"/>
  <c r="AC12" i="33"/>
  <c r="U30" i="33"/>
  <c r="AA47" i="34"/>
  <c r="W28" i="37"/>
  <c r="F12" i="33"/>
  <c r="H12" i="39"/>
  <c r="F39" i="40"/>
  <c r="AZ250" i="3"/>
  <c r="AZ286" i="3"/>
  <c r="B12" i="1"/>
  <c r="E12" i="1" s="1"/>
  <c r="B10" i="1"/>
  <c r="E10" i="1" s="1"/>
  <c r="AZ88" i="3"/>
  <c r="K12" i="1"/>
  <c r="M12" i="1" s="1"/>
  <c r="S13" i="1"/>
  <c r="AR13" i="1" s="1"/>
  <c r="R13" i="1"/>
  <c r="J51" i="67"/>
  <c r="C42" i="1"/>
  <c r="AA34" i="33"/>
  <c r="B41" i="1"/>
  <c r="F52" i="9" s="1"/>
  <c r="AB37" i="40"/>
  <c r="U35" i="40"/>
  <c r="AA32" i="40"/>
  <c r="S17" i="40"/>
  <c r="AC17" i="40"/>
  <c r="AB27"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5" i="39"/>
  <c r="S9" i="39"/>
  <c r="U14" i="39"/>
  <c r="AC13" i="39"/>
  <c r="S23" i="36"/>
  <c r="U13" i="36"/>
  <c r="AA34" i="36"/>
  <c r="AA22" i="36"/>
  <c r="W14" i="36"/>
  <c r="AB14" i="36"/>
  <c r="U22" i="36"/>
  <c r="S16" i="36"/>
  <c r="AA25" i="36"/>
  <c r="S24" i="36"/>
  <c r="U23" i="36"/>
  <c r="U16" i="36"/>
  <c r="S14" i="36"/>
  <c r="S23" i="35"/>
  <c r="W24" i="35"/>
  <c r="AB13" i="35"/>
  <c r="U29" i="35"/>
  <c r="U28" i="35"/>
  <c r="AB27" i="35"/>
  <c r="U36" i="35"/>
  <c r="U32" i="35"/>
  <c r="AA33" i="35"/>
  <c r="AC30" i="35"/>
  <c r="S32" i="35"/>
  <c r="AA36" i="35"/>
  <c r="S28" i="35"/>
  <c r="AB16" i="35"/>
  <c r="AC20" i="35"/>
  <c r="S22" i="35"/>
  <c r="U14" i="35"/>
  <c r="AA11" i="35"/>
  <c r="AC9" i="35"/>
  <c r="W9" i="35"/>
  <c r="AC12" i="35"/>
  <c r="W13" i="35"/>
  <c r="F9" i="35"/>
  <c r="S9" i="35" s="1"/>
  <c r="H9" i="35"/>
  <c r="U9" i="35" s="1"/>
  <c r="AB40" i="37"/>
  <c r="S25" i="37"/>
  <c r="AC29" i="37"/>
  <c r="U29" i="37"/>
  <c r="S32" i="37"/>
  <c r="W30" i="37"/>
  <c r="S36" i="37"/>
  <c r="AA38" i="37"/>
  <c r="U32" i="37"/>
  <c r="W38" i="37"/>
  <c r="AC35" i="37"/>
  <c r="S30" i="37"/>
  <c r="S37" i="37"/>
  <c r="J17" i="37"/>
  <c r="W17" i="37" s="1"/>
  <c r="G73" i="37"/>
  <c r="F17" i="37"/>
  <c r="AA17" i="37" s="1"/>
  <c r="AB17" i="37"/>
  <c r="F75" i="37"/>
  <c r="F19" i="37"/>
  <c r="S19" i="37" s="1"/>
  <c r="F79" i="37"/>
  <c r="F23" i="37"/>
  <c r="S23" i="37" s="1"/>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W42" i="33"/>
  <c r="AA35" i="33"/>
  <c r="S27"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S46" i="33"/>
  <c r="F91" i="33"/>
  <c r="H27" i="33"/>
  <c r="F87" i="33"/>
  <c r="H25" i="33"/>
  <c r="U25" i="33" s="1"/>
  <c r="F25" i="33"/>
  <c r="S25" i="33" s="1"/>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A43" i="21"/>
  <c r="S39" i="21"/>
  <c r="AA38" i="21"/>
  <c r="AA36" i="21"/>
  <c r="AC40" i="21"/>
  <c r="J15" i="21"/>
  <c r="F77" i="21"/>
  <c r="G77" i="21" s="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AB13" i="40"/>
  <c r="U15" i="40"/>
  <c r="AB17" i="40"/>
  <c r="U8" i="40"/>
  <c r="S8" i="40"/>
  <c r="U42" i="39"/>
  <c r="U41" i="39"/>
  <c r="W25" i="39"/>
  <c r="AC25" i="39"/>
  <c r="U13" i="39"/>
  <c r="AB13" i="39"/>
  <c r="AA13" i="39"/>
  <c r="S13" i="39"/>
  <c r="S14" i="39"/>
  <c r="AA14" i="39"/>
  <c r="U43" i="39"/>
  <c r="AB43" i="39"/>
  <c r="AB11" i="39"/>
  <c r="U11" i="39"/>
  <c r="AA27" i="39"/>
  <c r="S27" i="39"/>
  <c r="W17" i="39"/>
  <c r="AC17" i="39"/>
  <c r="W31" i="39"/>
  <c r="AC31" i="39"/>
  <c r="S23" i="39"/>
  <c r="AA45" i="39"/>
  <c r="AB39" i="39"/>
  <c r="W34" i="39"/>
  <c r="S8" i="39"/>
  <c r="AC25" i="36"/>
  <c r="W29" i="36"/>
  <c r="AC20" i="36"/>
  <c r="U25" i="36"/>
  <c r="AB28" i="36"/>
  <c r="AA13" i="36"/>
  <c r="W9" i="36"/>
  <c r="W22" i="36"/>
  <c r="W23" i="36"/>
  <c r="AB20" i="35"/>
  <c r="S24" i="35"/>
  <c r="W35" i="35"/>
  <c r="AA16" i="35"/>
  <c r="AA35" i="37"/>
  <c r="W36" i="37"/>
  <c r="S27" i="37"/>
  <c r="S28" i="37"/>
  <c r="W32" i="37"/>
  <c r="U36" i="37"/>
  <c r="S40" i="37"/>
  <c r="AB37" i="37"/>
  <c r="AC34" i="37"/>
  <c r="AA31" i="37"/>
  <c r="U19" i="37"/>
  <c r="AA29" i="37"/>
  <c r="U8" i="37"/>
  <c r="AA40" i="34"/>
  <c r="AB40" i="34"/>
  <c r="U19" i="34"/>
  <c r="W19" i="34"/>
  <c r="AB33" i="34"/>
  <c r="AC45" i="34"/>
  <c r="AA31" i="34"/>
  <c r="AA30" i="34"/>
  <c r="AB45" i="34"/>
  <c r="AB47" i="34"/>
  <c r="U25" i="34"/>
  <c r="W33"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AC9" i="21" s="1"/>
  <c r="J32" i="21"/>
  <c r="W32" i="21" s="1"/>
  <c r="F32" i="21"/>
  <c r="S32" i="21" s="1"/>
  <c r="AA31" i="21"/>
  <c r="U17" i="21"/>
  <c r="W29" i="21"/>
  <c r="S19" i="21"/>
  <c r="S9" i="21"/>
  <c r="AA9" i="21"/>
  <c r="K141" i="21"/>
  <c r="K143" i="21"/>
  <c r="U27" i="21"/>
  <c r="AB25" i="21"/>
  <c r="AB44" i="21"/>
  <c r="W13" i="21"/>
  <c r="W42" i="21"/>
  <c r="AC45" i="21"/>
  <c r="F10" i="21"/>
  <c r="AA10" i="21" s="1"/>
  <c r="W25" i="21"/>
  <c r="W31" i="21"/>
  <c r="S27" i="21"/>
  <c r="S17" i="21"/>
  <c r="AA15" i="21"/>
  <c r="AC27" i="21"/>
  <c r="AC26" i="21"/>
  <c r="S28" i="21"/>
  <c r="AC34"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W19" i="37" s="1"/>
  <c r="G75" i="37"/>
  <c r="AA23" i="37"/>
  <c r="J23" i="37"/>
  <c r="W23" i="37" s="1"/>
  <c r="G79" i="37"/>
  <c r="J10" i="37"/>
  <c r="W10" i="37" s="1"/>
  <c r="H11" i="37"/>
  <c r="AB11" i="37" s="1"/>
  <c r="G70" i="34"/>
  <c r="H11" i="34"/>
  <c r="U11" i="34" s="1"/>
  <c r="J10" i="34"/>
  <c r="AC10" i="34" s="1"/>
  <c r="AB41" i="33"/>
  <c r="W35" i="33"/>
  <c r="J36" i="33"/>
  <c r="W36" i="33" s="1"/>
  <c r="H36" i="33"/>
  <c r="U36" i="33" s="1"/>
  <c r="S36" i="33"/>
  <c r="U27" i="33"/>
  <c r="AB27" i="33"/>
  <c r="G91" i="33"/>
  <c r="H91" i="33"/>
  <c r="I91" i="33"/>
  <c r="J91" i="33" s="1"/>
  <c r="K91" i="33" s="1"/>
  <c r="L91" i="33" s="1"/>
  <c r="M91" i="33" s="1"/>
  <c r="J27" i="33"/>
  <c r="AB25" i="33"/>
  <c r="G87" i="33"/>
  <c r="H87" i="33"/>
  <c r="I87" i="33" s="1"/>
  <c r="J87" i="33" s="1"/>
  <c r="K87" i="33" s="1"/>
  <c r="L87" i="33" s="1"/>
  <c r="M87" i="33" s="1"/>
  <c r="J25" i="33"/>
  <c r="W25" i="33" s="1"/>
  <c r="F23" i="33"/>
  <c r="G85" i="33"/>
  <c r="AA19" i="33"/>
  <c r="H19" i="33"/>
  <c r="G81" i="33"/>
  <c r="H17" i="33"/>
  <c r="U17" i="33" s="1"/>
  <c r="F17" i="33"/>
  <c r="S17" i="33" s="1"/>
  <c r="S37" i="21"/>
  <c r="J23" i="21"/>
  <c r="AC23" i="21" s="1"/>
  <c r="F85" i="21"/>
  <c r="G85" i="21" s="1"/>
  <c r="H23" i="21"/>
  <c r="S13" i="21"/>
  <c r="AP7" i="1"/>
  <c r="AB45" i="21"/>
  <c r="AB9" i="21"/>
  <c r="U9" i="21"/>
  <c r="AA32" i="21"/>
  <c r="W9" i="21"/>
  <c r="AB32" i="21"/>
  <c r="U32" i="21"/>
  <c r="U32" i="39"/>
  <c r="AC32" i="39"/>
  <c r="J63" i="37"/>
  <c r="K63" i="37" s="1"/>
  <c r="L63" i="37" s="1"/>
  <c r="M63" i="37" s="1"/>
  <c r="J11" i="37"/>
  <c r="AC11" i="37" s="1"/>
  <c r="H70" i="34"/>
  <c r="I70" i="34" s="1"/>
  <c r="J70" i="34" s="1"/>
  <c r="K70" i="34" s="1"/>
  <c r="L70" i="34" s="1"/>
  <c r="M70" i="34" s="1"/>
  <c r="J11" i="34"/>
  <c r="W11" i="34" s="1"/>
  <c r="AA17" i="33"/>
  <c r="U23" i="21"/>
  <c r="AB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67"/>
  <c r="F6" i="15"/>
  <c r="F4" i="73"/>
  <c r="B9" i="76"/>
  <c r="F3" i="73"/>
  <c r="B7" i="76"/>
  <c r="D6" i="73"/>
  <c r="F37" i="67"/>
  <c r="F40" i="67"/>
  <c r="F8" i="67"/>
  <c r="E2" i="69"/>
  <c r="F5" i="73"/>
  <c r="M9" i="67"/>
  <c r="L47" i="15"/>
  <c r="B13" i="76"/>
  <c r="F16" i="67"/>
  <c r="M6" i="67"/>
  <c r="E8" i="76"/>
  <c r="M22" i="67"/>
  <c r="M29" i="15"/>
  <c r="B10" i="76"/>
  <c r="F7" i="73"/>
  <c r="AO13" i="1"/>
  <c r="E9" i="76"/>
  <c r="J15" i="67"/>
  <c r="E12" i="76"/>
  <c r="C76" i="67"/>
  <c r="F42" i="67"/>
  <c r="M28" i="15"/>
  <c r="F36" i="67"/>
  <c r="L48" i="67"/>
  <c r="F7" i="67"/>
  <c r="B12" i="76"/>
  <c r="B11" i="76"/>
  <c r="B8" i="76"/>
  <c r="F38" i="67"/>
  <c r="M8" i="67"/>
  <c r="F43" i="67"/>
  <c r="E7" i="76"/>
  <c r="M28" i="67"/>
  <c r="F42" i="15"/>
  <c r="F6" i="73"/>
  <c r="L47" i="67"/>
  <c r="E10" i="76"/>
  <c r="E2" i="68"/>
  <c r="E13" i="76"/>
  <c r="E11" i="76"/>
  <c r="M23" i="15"/>
  <c r="F20" i="31"/>
  <c r="F30" i="69" l="1"/>
  <c r="F48" i="69" s="1"/>
  <c r="M18" i="67"/>
  <c r="F31" i="12"/>
  <c r="BA13" i="3"/>
  <c r="C24" i="12"/>
  <c r="AB38" i="37"/>
  <c r="U38" i="37"/>
  <c r="F32" i="36"/>
  <c r="H32" i="36"/>
  <c r="J32" i="36"/>
  <c r="W32" i="36" s="1"/>
  <c r="F48" i="9"/>
  <c r="O52" i="9" s="1"/>
  <c r="F32" i="15"/>
  <c r="F60" i="15" s="1"/>
  <c r="M18" i="15"/>
  <c r="F28" i="15"/>
  <c r="C28" i="15" s="1"/>
  <c r="D68" i="9"/>
  <c r="F30" i="68"/>
  <c r="F48" i="68" s="1"/>
  <c r="F54" i="9"/>
  <c r="F30" i="11"/>
  <c r="C48" i="11" s="1"/>
  <c r="F28" i="67"/>
  <c r="C28" i="67" s="1"/>
  <c r="F32" i="67"/>
  <c r="F60" i="67" s="1"/>
  <c r="AC43" i="33"/>
  <c r="W43" i="33"/>
  <c r="AB26" i="37"/>
  <c r="U26" i="37"/>
  <c r="AZ319" i="3"/>
  <c r="BM5" i="3"/>
  <c r="BL322" i="3"/>
  <c r="BF5" i="3"/>
  <c r="BA325" i="3"/>
  <c r="AZ325" i="3" s="1"/>
  <c r="AZ327" i="3"/>
  <c r="BL224" i="3"/>
  <c r="BO5" i="3"/>
  <c r="BK5" i="3"/>
  <c r="BS5" i="3"/>
  <c r="BI5" i="3"/>
  <c r="BG5" i="3"/>
  <c r="BP5" i="3"/>
  <c r="BH5" i="3"/>
  <c r="BR5" i="3"/>
  <c r="BJ5" i="3"/>
  <c r="BC5" i="3"/>
  <c r="BD5" i="3"/>
  <c r="U36" i="34"/>
  <c r="AB36" i="34"/>
  <c r="AB12" i="39"/>
  <c r="U12" i="39"/>
  <c r="AB33" i="33"/>
  <c r="U33" i="33"/>
  <c r="AA33" i="36"/>
  <c r="S33" i="36"/>
  <c r="S23" i="40"/>
  <c r="AA23" i="40"/>
  <c r="AB19" i="33"/>
  <c r="U19" i="33"/>
  <c r="W26" i="36"/>
  <c r="AC26" i="36"/>
  <c r="U36" i="21"/>
  <c r="AB36" i="21"/>
  <c r="S43" i="33"/>
  <c r="S17" i="39"/>
  <c r="AA20" i="35"/>
  <c r="S20" i="35"/>
  <c r="AB30" i="21"/>
  <c r="U30" i="21"/>
  <c r="W27" i="33"/>
  <c r="AC27" i="33"/>
  <c r="S32" i="33"/>
  <c r="AC15" i="37"/>
  <c r="W15" i="37"/>
  <c r="AB22" i="35"/>
  <c r="U22" i="35"/>
  <c r="S36" i="39"/>
  <c r="AA36" i="39"/>
  <c r="AZ160" i="3"/>
  <c r="U39" i="21"/>
  <c r="AB39" i="21"/>
  <c r="W15" i="40"/>
  <c r="AC15" i="40"/>
  <c r="AC32" i="33"/>
  <c r="W32" i="33"/>
  <c r="AA35" i="35"/>
  <c r="S35" i="35"/>
  <c r="U35" i="37"/>
  <c r="AB35" i="37"/>
  <c r="W17" i="33"/>
  <c r="AC17" i="33"/>
  <c r="AC25" i="35"/>
  <c r="W25" i="35"/>
  <c r="AB38" i="39"/>
  <c r="U38" i="39"/>
  <c r="AC15" i="21"/>
  <c r="W15" i="21"/>
  <c r="AC30" i="40"/>
  <c r="K144" i="21"/>
  <c r="AA12" i="39"/>
  <c r="AA30" i="40"/>
  <c r="AB23" i="37"/>
  <c r="AZ533" i="3"/>
  <c r="W31" i="34"/>
  <c r="AC31" i="34"/>
  <c r="AC44" i="21"/>
  <c r="W44" i="21"/>
  <c r="W8" i="40"/>
  <c r="F32" i="34"/>
  <c r="J32" i="34"/>
  <c r="AC22" i="35"/>
  <c r="W22" i="35"/>
  <c r="J33" i="40"/>
  <c r="F33" i="40"/>
  <c r="J38" i="40"/>
  <c r="H38" i="40"/>
  <c r="F38" i="40"/>
  <c r="AZ391" i="3"/>
  <c r="AZ143" i="3"/>
  <c r="BA501" i="3"/>
  <c r="AZ501" i="3" s="1"/>
  <c r="AZ526" i="3"/>
  <c r="S41" i="33"/>
  <c r="AA41" i="33"/>
  <c r="AA19" i="39"/>
  <c r="S19" i="39"/>
  <c r="AZ516" i="3"/>
  <c r="BL539" i="3"/>
  <c r="AZ539" i="3" s="1"/>
  <c r="AC9" i="34"/>
  <c r="W9" i="34"/>
  <c r="BA511" i="3"/>
  <c r="BL508" i="3"/>
  <c r="AZ508" i="3" s="1"/>
  <c r="AZ451" i="3"/>
  <c r="AZ471" i="3"/>
  <c r="AZ572" i="3"/>
  <c r="AZ579" i="3"/>
  <c r="AZ566" i="3"/>
  <c r="AZ556" i="3"/>
  <c r="J39" i="37"/>
  <c r="F39" i="37"/>
  <c r="S39" i="37" s="1"/>
  <c r="H39" i="37"/>
  <c r="AC23" i="37"/>
  <c r="D6" i="52"/>
  <c r="AC34" i="33"/>
  <c r="U23" i="33"/>
  <c r="W17" i="21"/>
  <c r="AC41" i="39"/>
  <c r="AA39" i="39"/>
  <c r="AA19" i="40"/>
  <c r="AC12" i="37"/>
  <c r="AZ574" i="3"/>
  <c r="AA31" i="35"/>
  <c r="S31" i="35"/>
  <c r="BA570" i="3"/>
  <c r="AZ570" i="3" s="1"/>
  <c r="U26" i="33"/>
  <c r="BA587" i="3"/>
  <c r="U39" i="40"/>
  <c r="AB39" i="40"/>
  <c r="AZ413" i="3"/>
  <c r="AZ322" i="3"/>
  <c r="AZ336" i="3"/>
  <c r="U15" i="21"/>
  <c r="AB31" i="37"/>
  <c r="AZ313" i="3"/>
  <c r="AZ171" i="3"/>
  <c r="S12" i="40"/>
  <c r="AA12" i="40"/>
  <c r="BL544" i="3"/>
  <c r="AZ544" i="3" s="1"/>
  <c r="BA542" i="3"/>
  <c r="AZ542" i="3" s="1"/>
  <c r="BA541" i="3"/>
  <c r="AZ541" i="3" s="1"/>
  <c r="AZ536" i="3"/>
  <c r="BL530" i="3"/>
  <c r="AZ530" i="3" s="1"/>
  <c r="AZ527" i="3"/>
  <c r="BA524" i="3"/>
  <c r="AZ524" i="3" s="1"/>
  <c r="BA523" i="3"/>
  <c r="BL521" i="3"/>
  <c r="AZ521" i="3" s="1"/>
  <c r="BA510" i="3"/>
  <c r="AZ510" i="3" s="1"/>
  <c r="BA509" i="3"/>
  <c r="AZ509" i="3" s="1"/>
  <c r="BA505" i="3"/>
  <c r="AZ505" i="3" s="1"/>
  <c r="AZ498" i="3"/>
  <c r="BL497" i="3"/>
  <c r="AZ497" i="3" s="1"/>
  <c r="BA496" i="3"/>
  <c r="AZ496" i="3" s="1"/>
  <c r="AZ511" i="3"/>
  <c r="S26" i="33"/>
  <c r="AA26" i="33"/>
  <c r="AZ553" i="3"/>
  <c r="AZ379" i="3"/>
  <c r="AZ370" i="3"/>
  <c r="AZ375" i="3"/>
  <c r="AZ523" i="3"/>
  <c r="AA44" i="34"/>
  <c r="AA38" i="33"/>
  <c r="S38" i="33"/>
  <c r="BL561" i="3"/>
  <c r="AZ561" i="3" s="1"/>
  <c r="BN5" i="3"/>
  <c r="G29" i="6" s="1"/>
  <c r="AZ525" i="3"/>
  <c r="S44" i="33"/>
  <c r="AA44" i="33"/>
  <c r="BL587" i="3"/>
  <c r="BL586" i="3"/>
  <c r="AZ586" i="3" s="1"/>
  <c r="H9" i="33"/>
  <c r="F9" i="33"/>
  <c r="AA9" i="33" s="1"/>
  <c r="W13" i="34"/>
  <c r="AC13" i="34"/>
  <c r="F25" i="35"/>
  <c r="H25" i="35"/>
  <c r="J12" i="40"/>
  <c r="H12" i="40"/>
  <c r="AA19" i="37"/>
  <c r="U26" i="36"/>
  <c r="AZ389" i="3"/>
  <c r="AC25" i="33"/>
  <c r="AA23" i="21"/>
  <c r="S20" i="36"/>
  <c r="AA25" i="33"/>
  <c r="S17" i="37"/>
  <c r="S31" i="40"/>
  <c r="AB20" i="36"/>
  <c r="AZ14" i="3"/>
  <c r="AZ334" i="3"/>
  <c r="AZ346" i="3"/>
  <c r="S26" i="36"/>
  <c r="AA26" i="36"/>
  <c r="AZ515" i="3"/>
  <c r="W44" i="33"/>
  <c r="AC44" i="33"/>
  <c r="U23" i="34"/>
  <c r="S35" i="39"/>
  <c r="AA35" i="39"/>
  <c r="B101" i="43"/>
  <c r="B79" i="43"/>
  <c r="J14" i="34"/>
  <c r="F14" i="34"/>
  <c r="AZ513" i="3"/>
  <c r="W28" i="21"/>
  <c r="AC28" i="21"/>
  <c r="AZ493" i="3"/>
  <c r="BA470" i="3"/>
  <c r="S11" i="40"/>
  <c r="AB36" i="33"/>
  <c r="AZ199" i="3"/>
  <c r="AZ512" i="3"/>
  <c r="W11" i="40"/>
  <c r="AC11" i="40"/>
  <c r="BL527" i="3"/>
  <c r="BL547" i="3"/>
  <c r="AZ547" i="3" s="1"/>
  <c r="F30" i="21"/>
  <c r="AC31" i="35"/>
  <c r="BL459" i="3"/>
  <c r="BL461" i="3"/>
  <c r="AZ366" i="3"/>
  <c r="AZ360" i="3"/>
  <c r="J27" i="37"/>
  <c r="W39" i="33"/>
  <c r="U31" i="35"/>
  <c r="AB41" i="21"/>
  <c r="H9" i="34"/>
  <c r="F44" i="39"/>
  <c r="H35" i="39"/>
  <c r="BL15" i="3"/>
  <c r="AZ15" i="3" s="1"/>
  <c r="G418" i="3"/>
  <c r="BA445" i="3"/>
  <c r="BA447" i="3"/>
  <c r="AZ447" i="3" s="1"/>
  <c r="BA458" i="3"/>
  <c r="AZ458" i="3" s="1"/>
  <c r="BA469" i="3"/>
  <c r="AZ469" i="3" s="1"/>
  <c r="BL487" i="3"/>
  <c r="AZ487" i="3" s="1"/>
  <c r="H12" i="36"/>
  <c r="BA551" i="3"/>
  <c r="AZ551" i="3" s="1"/>
  <c r="BL548" i="3"/>
  <c r="AZ548" i="3" s="1"/>
  <c r="BA411" i="3"/>
  <c r="BL433" i="3"/>
  <c r="BA441" i="3"/>
  <c r="BL455" i="3"/>
  <c r="BA456" i="3"/>
  <c r="BL457" i="3"/>
  <c r="BA463" i="3"/>
  <c r="BA480" i="3"/>
  <c r="BL267" i="3"/>
  <c r="AZ388" i="3"/>
  <c r="AZ188" i="3"/>
  <c r="F12" i="36"/>
  <c r="U35" i="33"/>
  <c r="BL585" i="3"/>
  <c r="AZ585" i="3" s="1"/>
  <c r="B75" i="43"/>
  <c r="J26" i="33"/>
  <c r="BA424" i="3"/>
  <c r="G412" i="3"/>
  <c r="BL414" i="3"/>
  <c r="BL427" i="3"/>
  <c r="BL429" i="3"/>
  <c r="BA439" i="3"/>
  <c r="BA476" i="3"/>
  <c r="BL483" i="3"/>
  <c r="P65" i="71"/>
  <c r="P66" i="71"/>
  <c r="BL535" i="3"/>
  <c r="AZ535" i="3" s="1"/>
  <c r="U9" i="40"/>
  <c r="BL16" i="3"/>
  <c r="AZ16" i="3" s="1"/>
  <c r="BA420" i="3"/>
  <c r="AZ420" i="3" s="1"/>
  <c r="BL453" i="3"/>
  <c r="BA70" i="3"/>
  <c r="BL583" i="3"/>
  <c r="AZ583" i="3" s="1"/>
  <c r="BA550" i="3"/>
  <c r="AZ550" i="3" s="1"/>
  <c r="BA403" i="3"/>
  <c r="BA405" i="3"/>
  <c r="BA409" i="3"/>
  <c r="G410" i="3"/>
  <c r="BL423" i="3"/>
  <c r="BL425" i="3"/>
  <c r="BA448" i="3"/>
  <c r="AZ448" i="3" s="1"/>
  <c r="BL451" i="3"/>
  <c r="BA452" i="3"/>
  <c r="BL477" i="3"/>
  <c r="AZ201" i="3"/>
  <c r="BL503" i="3"/>
  <c r="AZ503" i="3" s="1"/>
  <c r="BL557" i="3"/>
  <c r="AZ557" i="3" s="1"/>
  <c r="H24" i="36"/>
  <c r="BA401" i="3"/>
  <c r="AZ401" i="3" s="1"/>
  <c r="BA485" i="3"/>
  <c r="BL490" i="3"/>
  <c r="BA331" i="3"/>
  <c r="AZ331" i="3" s="1"/>
  <c r="AZ267" i="3"/>
  <c r="C64" i="71"/>
  <c r="D63" i="71"/>
  <c r="F66" i="71"/>
  <c r="Q66" i="71" s="1"/>
  <c r="Q67" i="71"/>
  <c r="BA399" i="3"/>
  <c r="AZ399" i="3" s="1"/>
  <c r="G406" i="3"/>
  <c r="G408" i="3"/>
  <c r="BL419" i="3"/>
  <c r="BL421" i="3"/>
  <c r="BL316" i="3"/>
  <c r="BL35" i="3"/>
  <c r="BL400" i="3"/>
  <c r="AZ400" i="3" s="1"/>
  <c r="BL417" i="3"/>
  <c r="BA429" i="3"/>
  <c r="AZ429" i="3" s="1"/>
  <c r="BA444" i="3"/>
  <c r="BA188" i="3"/>
  <c r="J44" i="39"/>
  <c r="G398" i="3"/>
  <c r="AZ453" i="3"/>
  <c r="BA455" i="3"/>
  <c r="BA466" i="3"/>
  <c r="BA468" i="3"/>
  <c r="BA270" i="3"/>
  <c r="C31" i="71"/>
  <c r="D30" i="71"/>
  <c r="G558" i="3"/>
  <c r="BL398" i="3"/>
  <c r="G413" i="3"/>
  <c r="BL413" i="3"/>
  <c r="G415" i="3"/>
  <c r="BL447" i="3"/>
  <c r="BL208" i="3"/>
  <c r="BA132" i="3"/>
  <c r="AZ132" i="3" s="1"/>
  <c r="BA55" i="3"/>
  <c r="AZ55" i="3" s="1"/>
  <c r="C55" i="71"/>
  <c r="D54" i="71"/>
  <c r="AZ406" i="3"/>
  <c r="AZ419" i="3"/>
  <c r="BL471" i="3"/>
  <c r="AZ177" i="3"/>
  <c r="BA62" i="3"/>
  <c r="AZ402" i="3"/>
  <c r="BL411" i="3"/>
  <c r="BA462" i="3"/>
  <c r="AZ462" i="3" s="1"/>
  <c r="BL467" i="3"/>
  <c r="BL317" i="3"/>
  <c r="BA30" i="3"/>
  <c r="BL519" i="3"/>
  <c r="AZ519" i="3" s="1"/>
  <c r="AZ573" i="3"/>
  <c r="BL409" i="3"/>
  <c r="BA410" i="3"/>
  <c r="BA417" i="3"/>
  <c r="BL426" i="3"/>
  <c r="BL443" i="3"/>
  <c r="AZ443" i="3" s="1"/>
  <c r="G461" i="3"/>
  <c r="BL308" i="3"/>
  <c r="AZ308" i="3" s="1"/>
  <c r="BL237" i="3"/>
  <c r="BL99" i="3"/>
  <c r="BA105" i="3"/>
  <c r="C52" i="71"/>
  <c r="D51" i="71"/>
  <c r="G409" i="3"/>
  <c r="G419" i="3"/>
  <c r="BA422" i="3"/>
  <c r="AZ422" i="3" s="1"/>
  <c r="G429" i="3"/>
  <c r="BL431" i="3"/>
  <c r="AZ431" i="3" s="1"/>
  <c r="G433" i="3"/>
  <c r="G437" i="3"/>
  <c r="BL439" i="3"/>
  <c r="BL445" i="3"/>
  <c r="BL449" i="3"/>
  <c r="G455" i="3"/>
  <c r="BA464" i="3"/>
  <c r="BA482" i="3"/>
  <c r="BA484" i="3"/>
  <c r="AZ484" i="3" s="1"/>
  <c r="BL314" i="3"/>
  <c r="AZ314" i="3" s="1"/>
  <c r="BA386" i="3"/>
  <c r="AZ386" i="3" s="1"/>
  <c r="BL221" i="3"/>
  <c r="BL223" i="3"/>
  <c r="BA290" i="3"/>
  <c r="G297" i="3"/>
  <c r="BL299" i="3"/>
  <c r="BL113" i="3"/>
  <c r="BL126" i="3"/>
  <c r="G130" i="3"/>
  <c r="BA144" i="3"/>
  <c r="AZ144" i="3" s="1"/>
  <c r="BL155" i="3"/>
  <c r="AZ155" i="3" s="1"/>
  <c r="G182" i="3"/>
  <c r="BA192" i="3"/>
  <c r="AZ192" i="3" s="1"/>
  <c r="BL197" i="3"/>
  <c r="BL199" i="3"/>
  <c r="BA38" i="3"/>
  <c r="BA42" i="3"/>
  <c r="G47" i="3"/>
  <c r="BA59" i="3"/>
  <c r="G64" i="3"/>
  <c r="BL68" i="3"/>
  <c r="AZ68" i="3" s="1"/>
  <c r="G72" i="3"/>
  <c r="BA86" i="3"/>
  <c r="AZ86" i="3" s="1"/>
  <c r="BA108" i="3"/>
  <c r="BA110" i="3"/>
  <c r="AZ110" i="3" s="1"/>
  <c r="S21" i="37"/>
  <c r="B77" i="43"/>
  <c r="AB25" i="71"/>
  <c r="C43" i="71"/>
  <c r="X38" i="71"/>
  <c r="BA488" i="3"/>
  <c r="AZ488" i="3" s="1"/>
  <c r="G343" i="3"/>
  <c r="BL385" i="3"/>
  <c r="BA397" i="3"/>
  <c r="BL225" i="3"/>
  <c r="G227" i="3"/>
  <c r="BA244" i="3"/>
  <c r="AZ244" i="3" s="1"/>
  <c r="BA246" i="3"/>
  <c r="BA252" i="3"/>
  <c r="AZ252" i="3" s="1"/>
  <c r="BA254" i="3"/>
  <c r="AZ254" i="3" s="1"/>
  <c r="BA256" i="3"/>
  <c r="BA258" i="3"/>
  <c r="BA268" i="3"/>
  <c r="BA282" i="3"/>
  <c r="BA284" i="3"/>
  <c r="BL291" i="3"/>
  <c r="AZ291" i="3" s="1"/>
  <c r="BL293" i="3"/>
  <c r="BL297" i="3"/>
  <c r="BA117" i="3"/>
  <c r="BL130" i="3"/>
  <c r="BL138" i="3"/>
  <c r="BA142" i="3"/>
  <c r="BL149" i="3"/>
  <c r="AZ149" i="3" s="1"/>
  <c r="G151" i="3"/>
  <c r="BA173" i="3"/>
  <c r="AZ173" i="3" s="1"/>
  <c r="G180" i="3"/>
  <c r="BL193" i="3"/>
  <c r="BA19" i="3"/>
  <c r="AZ19" i="3" s="1"/>
  <c r="G22" i="3"/>
  <c r="G24" i="3"/>
  <c r="BL41" i="3"/>
  <c r="G45" i="3"/>
  <c r="BL45" i="3"/>
  <c r="BL60" i="3"/>
  <c r="BA104" i="3"/>
  <c r="BA106" i="3"/>
  <c r="BL111" i="3"/>
  <c r="C21" i="68"/>
  <c r="C39" i="71"/>
  <c r="U76" i="71"/>
  <c r="BA349" i="3"/>
  <c r="AZ349" i="3" s="1"/>
  <c r="BA358" i="3"/>
  <c r="AZ358" i="3" s="1"/>
  <c r="BA209" i="3"/>
  <c r="BA230" i="3"/>
  <c r="AZ230" i="3" s="1"/>
  <c r="BA236" i="3"/>
  <c r="BA238" i="3"/>
  <c r="BA274" i="3"/>
  <c r="BA276" i="3"/>
  <c r="BL143" i="3"/>
  <c r="BA186" i="3"/>
  <c r="AZ186" i="3" s="1"/>
  <c r="BA190" i="3"/>
  <c r="BA57" i="3"/>
  <c r="BL58" i="3"/>
  <c r="BA84" i="3"/>
  <c r="AZ84" i="3" s="1"/>
  <c r="BA395" i="3"/>
  <c r="AZ395" i="3" s="1"/>
  <c r="BA211" i="3"/>
  <c r="AZ211" i="3" s="1"/>
  <c r="BA242" i="3"/>
  <c r="AZ242" i="3" s="1"/>
  <c r="BL245" i="3"/>
  <c r="AZ245" i="3" s="1"/>
  <c r="BL255" i="3"/>
  <c r="BL257" i="3"/>
  <c r="AZ257" i="3" s="1"/>
  <c r="BA262" i="3"/>
  <c r="AZ262" i="3" s="1"/>
  <c r="BL265" i="3"/>
  <c r="AZ265" i="3" s="1"/>
  <c r="BA278" i="3"/>
  <c r="AZ278" i="3" s="1"/>
  <c r="BA280" i="3"/>
  <c r="AZ280" i="3" s="1"/>
  <c r="BL283" i="3"/>
  <c r="AZ283" i="3" s="1"/>
  <c r="BL295" i="3"/>
  <c r="BL178" i="3"/>
  <c r="BL191" i="3"/>
  <c r="AZ191" i="3" s="1"/>
  <c r="BA205" i="3"/>
  <c r="AZ205" i="3" s="1"/>
  <c r="BL20" i="3"/>
  <c r="BA36" i="3"/>
  <c r="BA53" i="3"/>
  <c r="AZ53" i="3" s="1"/>
  <c r="BA82" i="3"/>
  <c r="AZ82" i="3" s="1"/>
  <c r="BA100" i="3"/>
  <c r="AZ100" i="3" s="1"/>
  <c r="BA102" i="3"/>
  <c r="BL105" i="3"/>
  <c r="BL107" i="3"/>
  <c r="G473" i="3"/>
  <c r="BL473" i="3"/>
  <c r="AZ473" i="3" s="1"/>
  <c r="G475" i="3"/>
  <c r="G491" i="3"/>
  <c r="BA307" i="3"/>
  <c r="AZ307" i="3" s="1"/>
  <c r="BL332" i="3"/>
  <c r="G339" i="3"/>
  <c r="BA367" i="3"/>
  <c r="AZ367" i="3" s="1"/>
  <c r="G210" i="3"/>
  <c r="BL229" i="3"/>
  <c r="BL231" i="3"/>
  <c r="AZ231" i="3" s="1"/>
  <c r="G233" i="3"/>
  <c r="BL233" i="3"/>
  <c r="AZ233" i="3" s="1"/>
  <c r="G235" i="3"/>
  <c r="BL235" i="3"/>
  <c r="AZ235" i="3" s="1"/>
  <c r="G237" i="3"/>
  <c r="G239" i="3"/>
  <c r="BL243" i="3"/>
  <c r="AZ243" i="3" s="1"/>
  <c r="BL247" i="3"/>
  <c r="BL249" i="3"/>
  <c r="BL251" i="3"/>
  <c r="BL263" i="3"/>
  <c r="AZ263" i="3" s="1"/>
  <c r="BA272" i="3"/>
  <c r="AZ272" i="3" s="1"/>
  <c r="BL275" i="3"/>
  <c r="AZ275" i="3" s="1"/>
  <c r="G277" i="3"/>
  <c r="BL285" i="3"/>
  <c r="BL287" i="3"/>
  <c r="BL118" i="3"/>
  <c r="BA153" i="3"/>
  <c r="BA169" i="3"/>
  <c r="AZ169" i="3" s="1"/>
  <c r="G174" i="3"/>
  <c r="BA184" i="3"/>
  <c r="AZ184" i="3" s="1"/>
  <c r="BL187" i="3"/>
  <c r="AZ187" i="3" s="1"/>
  <c r="BL189" i="3"/>
  <c r="AZ189" i="3" s="1"/>
  <c r="G191" i="3"/>
  <c r="BL18" i="3"/>
  <c r="BA28" i="3"/>
  <c r="BA32" i="3"/>
  <c r="BL54" i="3"/>
  <c r="G58" i="3"/>
  <c r="BA64" i="3"/>
  <c r="AZ64" i="3" s="1"/>
  <c r="BA74" i="3"/>
  <c r="AZ74" i="3" s="1"/>
  <c r="G85" i="3"/>
  <c r="BL85" i="3"/>
  <c r="BL97" i="3"/>
  <c r="AZ97" i="3" s="1"/>
  <c r="BL101" i="3"/>
  <c r="AZ101" i="3" s="1"/>
  <c r="G105" i="3"/>
  <c r="F3" i="35"/>
  <c r="W29" i="39"/>
  <c r="O67" i="71"/>
  <c r="X26" i="71"/>
  <c r="BL475" i="3"/>
  <c r="BL328" i="3"/>
  <c r="AZ328" i="3" s="1"/>
  <c r="BA354" i="3"/>
  <c r="BL375" i="3"/>
  <c r="G392" i="3"/>
  <c r="BL210" i="3"/>
  <c r="BL212" i="3"/>
  <c r="AZ212" i="3" s="1"/>
  <c r="G214" i="3"/>
  <c r="BL214" i="3"/>
  <c r="AZ214" i="3" s="1"/>
  <c r="G216" i="3"/>
  <c r="BL239" i="3"/>
  <c r="BL241" i="3"/>
  <c r="BL273" i="3"/>
  <c r="BL277" i="3"/>
  <c r="BA297" i="3"/>
  <c r="AZ297" i="3" s="1"/>
  <c r="BA130" i="3"/>
  <c r="AZ130" i="3" s="1"/>
  <c r="BA140" i="3"/>
  <c r="AZ140" i="3" s="1"/>
  <c r="G162" i="3"/>
  <c r="BL162" i="3"/>
  <c r="AZ162" i="3" s="1"/>
  <c r="G166" i="3"/>
  <c r="BL170" i="3"/>
  <c r="BA182" i="3"/>
  <c r="BL185" i="3"/>
  <c r="AZ185" i="3" s="1"/>
  <c r="G187" i="3"/>
  <c r="G204" i="3"/>
  <c r="BL206" i="3"/>
  <c r="BL31" i="3"/>
  <c r="G35" i="3"/>
  <c r="BA49" i="3"/>
  <c r="BA51" i="3"/>
  <c r="G54" i="3"/>
  <c r="BL56" i="3"/>
  <c r="BA68" i="3"/>
  <c r="BA80" i="3"/>
  <c r="G99" i="3"/>
  <c r="U29" i="39"/>
  <c r="C66" i="71"/>
  <c r="C83" i="71"/>
  <c r="X25" i="71"/>
  <c r="X35" i="71"/>
  <c r="AA39" i="71"/>
  <c r="BL368" i="3"/>
  <c r="AZ368" i="3" s="1"/>
  <c r="BA374" i="3"/>
  <c r="AZ374" i="3" s="1"/>
  <c r="BA219" i="3"/>
  <c r="AZ219" i="3" s="1"/>
  <c r="BA221" i="3"/>
  <c r="BA223" i="3"/>
  <c r="AZ223" i="3" s="1"/>
  <c r="BL261" i="3"/>
  <c r="BL271" i="3"/>
  <c r="AZ271" i="3" s="1"/>
  <c r="BA124" i="3"/>
  <c r="AZ124" i="3" s="1"/>
  <c r="BA126" i="3"/>
  <c r="AZ126" i="3" s="1"/>
  <c r="BL133" i="3"/>
  <c r="AZ133" i="3" s="1"/>
  <c r="BL139" i="3"/>
  <c r="AZ139" i="3" s="1"/>
  <c r="BL141" i="3"/>
  <c r="BL183" i="3"/>
  <c r="AZ183" i="3" s="1"/>
  <c r="BA197" i="3"/>
  <c r="AZ197" i="3" s="1"/>
  <c r="BL29" i="3"/>
  <c r="BA45" i="3"/>
  <c r="AZ45" i="3" s="1"/>
  <c r="BL50" i="3"/>
  <c r="AZ50" i="3" s="1"/>
  <c r="BA60" i="3"/>
  <c r="BA66" i="3"/>
  <c r="BL77" i="3"/>
  <c r="AZ77" i="3" s="1"/>
  <c r="D27" i="71"/>
  <c r="BL404" i="3"/>
  <c r="BA415" i="3"/>
  <c r="AZ415" i="3" s="1"/>
  <c r="BA421" i="3"/>
  <c r="AZ421" i="3" s="1"/>
  <c r="BA423" i="3"/>
  <c r="BA425" i="3"/>
  <c r="BA427" i="3"/>
  <c r="AZ427" i="3" s="1"/>
  <c r="BA433" i="3"/>
  <c r="AZ433" i="3" s="1"/>
  <c r="BA435" i="3"/>
  <c r="AZ435" i="3" s="1"/>
  <c r="G440" i="3"/>
  <c r="BL442" i="3"/>
  <c r="BL444" i="3"/>
  <c r="G446" i="3"/>
  <c r="BL448" i="3"/>
  <c r="G450" i="3"/>
  <c r="BA457" i="3"/>
  <c r="AZ457" i="3" s="1"/>
  <c r="BA459" i="3"/>
  <c r="BA461" i="3"/>
  <c r="BA483" i="3"/>
  <c r="BL346" i="3"/>
  <c r="BL302" i="3"/>
  <c r="BA128" i="3"/>
  <c r="AZ128" i="3" s="1"/>
  <c r="BL137" i="3"/>
  <c r="BA180" i="3"/>
  <c r="AZ180" i="3" s="1"/>
  <c r="BA193" i="3"/>
  <c r="BA26" i="3"/>
  <c r="BA39" i="3"/>
  <c r="AZ39" i="3" s="1"/>
  <c r="G50" i="3"/>
  <c r="G52" i="3"/>
  <c r="BL63" i="3"/>
  <c r="BL65" i="3"/>
  <c r="AZ65" i="3" s="1"/>
  <c r="BL67" i="3"/>
  <c r="AZ67" i="3" s="1"/>
  <c r="BL71" i="3"/>
  <c r="BL75" i="3"/>
  <c r="BL81" i="3"/>
  <c r="BL83" i="3"/>
  <c r="BA111" i="3"/>
  <c r="AZ111" i="3" s="1"/>
  <c r="C70" i="71"/>
  <c r="D70" i="71" s="1"/>
  <c r="AB33" i="71"/>
  <c r="AB36" i="71"/>
  <c r="B63" i="71"/>
  <c r="B64" i="71" s="1"/>
  <c r="S64" i="71" s="1"/>
  <c r="BL438" i="3"/>
  <c r="BL446" i="3"/>
  <c r="AZ446" i="3" s="1"/>
  <c r="BL450" i="3"/>
  <c r="BL452" i="3"/>
  <c r="BL456" i="3"/>
  <c r="BA303" i="3"/>
  <c r="AZ303" i="3" s="1"/>
  <c r="BA332" i="3"/>
  <c r="AZ332" i="3" s="1"/>
  <c r="BA370" i="3"/>
  <c r="BL218" i="3"/>
  <c r="BL220" i="3"/>
  <c r="AZ220" i="3" s="1"/>
  <c r="BA227" i="3"/>
  <c r="AZ227" i="3" s="1"/>
  <c r="BA229" i="3"/>
  <c r="BA247" i="3"/>
  <c r="BA249" i="3"/>
  <c r="AZ249" i="3" s="1"/>
  <c r="BA251" i="3"/>
  <c r="AZ251" i="3" s="1"/>
  <c r="BA253" i="3"/>
  <c r="BA118" i="3"/>
  <c r="AZ118" i="3" s="1"/>
  <c r="BA122" i="3"/>
  <c r="AZ122" i="3" s="1"/>
  <c r="BL125" i="3"/>
  <c r="AZ125" i="3" s="1"/>
  <c r="BA176" i="3"/>
  <c r="AZ176" i="3" s="1"/>
  <c r="BA178" i="3"/>
  <c r="BA20" i="3"/>
  <c r="AZ20" i="3" s="1"/>
  <c r="BL25" i="3"/>
  <c r="BL27" i="3"/>
  <c r="AZ27" i="3" s="1"/>
  <c r="BA41" i="3"/>
  <c r="AZ41" i="3" s="1"/>
  <c r="BL48" i="3"/>
  <c r="AZ48" i="3" s="1"/>
  <c r="BL61" i="3"/>
  <c r="G67" i="3"/>
  <c r="BL73" i="3"/>
  <c r="G81" i="3"/>
  <c r="BA87" i="3"/>
  <c r="BA91" i="3"/>
  <c r="AZ91" i="3" s="1"/>
  <c r="AA18" i="35"/>
  <c r="AA28" i="71"/>
  <c r="C35" i="71"/>
  <c r="B34" i="71"/>
  <c r="B35" i="71" s="1"/>
  <c r="B36" i="71" s="1"/>
  <c r="S36" i="71" s="1"/>
  <c r="X33" i="71"/>
  <c r="B75" i="71"/>
  <c r="B74" i="71" s="1"/>
  <c r="BL418" i="3"/>
  <c r="BL420" i="3"/>
  <c r="G422" i="3"/>
  <c r="BL424" i="3"/>
  <c r="AZ424" i="3" s="1"/>
  <c r="G426" i="3"/>
  <c r="BL428" i="3"/>
  <c r="BL432" i="3"/>
  <c r="BL436" i="3"/>
  <c r="BL454" i="3"/>
  <c r="G458" i="3"/>
  <c r="G462" i="3"/>
  <c r="BA465" i="3"/>
  <c r="AZ465" i="3" s="1"/>
  <c r="BA467" i="3"/>
  <c r="BA477" i="3"/>
  <c r="BA481" i="3"/>
  <c r="G484" i="3"/>
  <c r="BA491" i="3"/>
  <c r="AZ491" i="3" s="1"/>
  <c r="BL324" i="3"/>
  <c r="AZ324" i="3" s="1"/>
  <c r="BA339" i="3"/>
  <c r="AZ339" i="3" s="1"/>
  <c r="BA348" i="3"/>
  <c r="BA350" i="3"/>
  <c r="AZ350" i="3" s="1"/>
  <c r="BA210" i="3"/>
  <c r="BL226" i="3"/>
  <c r="BA239" i="3"/>
  <c r="AZ239" i="3" s="1"/>
  <c r="BA241" i="3"/>
  <c r="BA277" i="3"/>
  <c r="AZ277" i="3" s="1"/>
  <c r="BL290" i="3"/>
  <c r="AZ290" i="3" s="1"/>
  <c r="BL294" i="3"/>
  <c r="BL300" i="3"/>
  <c r="BL150" i="3"/>
  <c r="BA174" i="3"/>
  <c r="BL179" i="3"/>
  <c r="AZ179" i="3" s="1"/>
  <c r="G194" i="3"/>
  <c r="BL194" i="3"/>
  <c r="AZ194" i="3" s="1"/>
  <c r="G25" i="3"/>
  <c r="G27" i="3"/>
  <c r="G40" i="3"/>
  <c r="BL40" i="3"/>
  <c r="BA58" i="3"/>
  <c r="AZ58" i="3" s="1"/>
  <c r="BL59" i="3"/>
  <c r="BA89" i="3"/>
  <c r="BA103" i="3"/>
  <c r="AZ103" i="3" s="1"/>
  <c r="BL108" i="3"/>
  <c r="G110" i="3"/>
  <c r="AA27" i="71"/>
  <c r="C79" i="71"/>
  <c r="Y28" i="71"/>
  <c r="Z28" i="71" s="1"/>
  <c r="X28" i="71"/>
  <c r="F48" i="71"/>
  <c r="V48" i="71" s="1"/>
  <c r="F75" i="71"/>
  <c r="F74" i="71" s="1"/>
  <c r="BL112" i="3"/>
  <c r="C40" i="68"/>
  <c r="AC21" i="33"/>
  <c r="W18" i="35"/>
  <c r="S21" i="34"/>
  <c r="AA3" i="71"/>
  <c r="Y27" i="71"/>
  <c r="Z27" i="71" s="1"/>
  <c r="AA34" i="71"/>
  <c r="B51" i="71"/>
  <c r="B52" i="71" s="1"/>
  <c r="S52" i="71" s="1"/>
  <c r="BA398" i="3"/>
  <c r="AZ398" i="3" s="1"/>
  <c r="BL464" i="3"/>
  <c r="BL466" i="3"/>
  <c r="BL476" i="3"/>
  <c r="BL478" i="3"/>
  <c r="AZ478" i="3" s="1"/>
  <c r="BL480" i="3"/>
  <c r="BL492" i="3"/>
  <c r="BA208" i="3"/>
  <c r="BA237" i="3"/>
  <c r="AZ237" i="3" s="1"/>
  <c r="BL240" i="3"/>
  <c r="AZ240" i="3" s="1"/>
  <c r="BL258" i="3"/>
  <c r="BA273" i="3"/>
  <c r="BL284" i="3"/>
  <c r="G288" i="3"/>
  <c r="BL292" i="3"/>
  <c r="BA114" i="3"/>
  <c r="BL123" i="3"/>
  <c r="AZ123" i="3" s="1"/>
  <c r="BA185" i="3"/>
  <c r="BA29" i="3"/>
  <c r="BL38" i="3"/>
  <c r="AZ38" i="3" s="1"/>
  <c r="BA52" i="3"/>
  <c r="AZ52" i="3" s="1"/>
  <c r="BA54" i="3"/>
  <c r="BL57" i="3"/>
  <c r="G59" i="3"/>
  <c r="G88" i="3"/>
  <c r="BL94" i="3"/>
  <c r="AZ94" i="3" s="1"/>
  <c r="AC21" i="21"/>
  <c r="AC21" i="37"/>
  <c r="S18" i="36"/>
  <c r="D87" i="71"/>
  <c r="AB28" i="71"/>
  <c r="Y26" i="71"/>
  <c r="Z26" i="71" s="1"/>
  <c r="AB34" i="71"/>
  <c r="AA36" i="71"/>
  <c r="BA404" i="3"/>
  <c r="BL468" i="3"/>
  <c r="BL470" i="3"/>
  <c r="AZ470" i="3" s="1"/>
  <c r="G472" i="3"/>
  <c r="BL474" i="3"/>
  <c r="G311" i="3"/>
  <c r="G397" i="3"/>
  <c r="BA216" i="3"/>
  <c r="AZ216" i="3" s="1"/>
  <c r="BA218" i="3"/>
  <c r="AZ218" i="3" s="1"/>
  <c r="BL236" i="3"/>
  <c r="BL238" i="3"/>
  <c r="G244" i="3"/>
  <c r="BL260" i="3"/>
  <c r="G262" i="3"/>
  <c r="G264" i="3"/>
  <c r="BL270" i="3"/>
  <c r="G280" i="3"/>
  <c r="G282" i="3"/>
  <c r="BL115" i="3"/>
  <c r="AZ115" i="3" s="1"/>
  <c r="BA164" i="3"/>
  <c r="AZ164" i="3" s="1"/>
  <c r="BA166" i="3"/>
  <c r="AZ166" i="3" s="1"/>
  <c r="BL171" i="3"/>
  <c r="G188" i="3"/>
  <c r="BL190" i="3"/>
  <c r="BA200" i="3"/>
  <c r="AZ200" i="3" s="1"/>
  <c r="BA202" i="3"/>
  <c r="BL207" i="3"/>
  <c r="G19" i="3"/>
  <c r="BL19" i="3"/>
  <c r="BA31" i="3"/>
  <c r="AZ31" i="3" s="1"/>
  <c r="G38" i="3"/>
  <c r="BL55" i="3"/>
  <c r="G57" i="3"/>
  <c r="BA69" i="3"/>
  <c r="AZ69" i="3" s="1"/>
  <c r="BA75" i="3"/>
  <c r="AZ75" i="3" s="1"/>
  <c r="G96" i="3"/>
  <c r="BL102" i="3"/>
  <c r="BL106" i="3"/>
  <c r="S21" i="33"/>
  <c r="S25" i="40"/>
  <c r="AB27" i="71"/>
  <c r="Y25" i="71"/>
  <c r="Z25" i="71" s="1"/>
  <c r="Y29" i="71"/>
  <c r="Z29" i="71" s="1"/>
  <c r="AB37" i="71"/>
  <c r="B67" i="71"/>
  <c r="BA440" i="3"/>
  <c r="AZ440" i="3" s="1"/>
  <c r="BA442" i="3"/>
  <c r="AZ442" i="3" s="1"/>
  <c r="BA335" i="3"/>
  <c r="AZ335" i="3" s="1"/>
  <c r="BA366" i="3"/>
  <c r="BL397" i="3"/>
  <c r="BL244" i="3"/>
  <c r="BL256" i="3"/>
  <c r="BL264" i="3"/>
  <c r="BL266" i="3"/>
  <c r="BL282" i="3"/>
  <c r="BA302" i="3"/>
  <c r="AZ302" i="3" s="1"/>
  <c r="G115" i="3"/>
  <c r="BA137" i="3"/>
  <c r="AZ137" i="3" s="1"/>
  <c r="BA152" i="3"/>
  <c r="AZ152" i="3" s="1"/>
  <c r="BA154" i="3"/>
  <c r="AZ154" i="3" s="1"/>
  <c r="BA160" i="3"/>
  <c r="BL165" i="3"/>
  <c r="BA181" i="3"/>
  <c r="AZ181" i="3" s="1"/>
  <c r="BA198" i="3"/>
  <c r="AZ198" i="3" s="1"/>
  <c r="BA27" i="3"/>
  <c r="G30" i="3"/>
  <c r="BL30" i="3"/>
  <c r="G36" i="3"/>
  <c r="BA48" i="3"/>
  <c r="BA61" i="3"/>
  <c r="BA73" i="3"/>
  <c r="AZ73" i="3" s="1"/>
  <c r="BL84" i="3"/>
  <c r="C29" i="39"/>
  <c r="AB26" i="71"/>
  <c r="C75" i="71"/>
  <c r="X32" i="71"/>
  <c r="F39" i="71"/>
  <c r="F40" i="71" s="1"/>
  <c r="V40" i="71" s="1"/>
  <c r="BL403" i="3"/>
  <c r="G405" i="3"/>
  <c r="BA408" i="3"/>
  <c r="AZ408" i="3" s="1"/>
  <c r="BA428" i="3"/>
  <c r="AZ428" i="3" s="1"/>
  <c r="BA430" i="3"/>
  <c r="AZ430" i="3" s="1"/>
  <c r="BA432" i="3"/>
  <c r="AZ432" i="3" s="1"/>
  <c r="BA434" i="3"/>
  <c r="BA436" i="3"/>
  <c r="BA438" i="3"/>
  <c r="AZ438" i="3" s="1"/>
  <c r="G443" i="3"/>
  <c r="BA446" i="3"/>
  <c r="BA450" i="3"/>
  <c r="BA353" i="3"/>
  <c r="AZ353" i="3" s="1"/>
  <c r="BL365" i="3"/>
  <c r="AZ365" i="3" s="1"/>
  <c r="BA388" i="3"/>
  <c r="BL217" i="3"/>
  <c r="AZ217" i="3" s="1"/>
  <c r="BL232" i="3"/>
  <c r="BL234" i="3"/>
  <c r="BL274" i="3"/>
  <c r="BA296" i="3"/>
  <c r="BA121" i="3"/>
  <c r="AZ121" i="3" s="1"/>
  <c r="BA129" i="3"/>
  <c r="G140" i="3"/>
  <c r="BL157" i="3"/>
  <c r="AZ157" i="3" s="1"/>
  <c r="BL159" i="3"/>
  <c r="AZ159" i="3" s="1"/>
  <c r="BL201" i="3"/>
  <c r="BL203" i="3"/>
  <c r="AZ203" i="3" s="1"/>
  <c r="BA46" i="3"/>
  <c r="BL49" i="3"/>
  <c r="BL51" i="3"/>
  <c r="G53" i="3"/>
  <c r="BL53" i="3"/>
  <c r="BA63" i="3"/>
  <c r="AZ63" i="3" s="1"/>
  <c r="BA71" i="3"/>
  <c r="AZ71" i="3" s="1"/>
  <c r="G76" i="3"/>
  <c r="BA79" i="3"/>
  <c r="AZ79" i="3" s="1"/>
  <c r="G82" i="3"/>
  <c r="AB21" i="33"/>
  <c r="B68" i="43"/>
  <c r="D72" i="71"/>
  <c r="E51" i="71"/>
  <c r="E52" i="71" s="1"/>
  <c r="U52" i="71" s="1"/>
  <c r="BL401" i="3"/>
  <c r="BL405" i="3"/>
  <c r="BL407" i="3"/>
  <c r="AZ407" i="3" s="1"/>
  <c r="BA412" i="3"/>
  <c r="AZ412" i="3" s="1"/>
  <c r="BA414" i="3"/>
  <c r="AZ414" i="3" s="1"/>
  <c r="BA416" i="3"/>
  <c r="AZ416" i="3" s="1"/>
  <c r="BA418" i="3"/>
  <c r="AZ418" i="3" s="1"/>
  <c r="BA426" i="3"/>
  <c r="AZ426" i="3" s="1"/>
  <c r="BL437" i="3"/>
  <c r="AZ437" i="3" s="1"/>
  <c r="BL441" i="3"/>
  <c r="BA454" i="3"/>
  <c r="AZ454" i="3" s="1"/>
  <c r="BA460" i="3"/>
  <c r="AZ460" i="3" s="1"/>
  <c r="BA486" i="3"/>
  <c r="BA315" i="3"/>
  <c r="AZ315" i="3" s="1"/>
  <c r="BA333" i="3"/>
  <c r="BA384" i="3"/>
  <c r="AZ384" i="3" s="1"/>
  <c r="BL213" i="3"/>
  <c r="BL215" i="3"/>
  <c r="BA222" i="3"/>
  <c r="AZ222" i="3" s="1"/>
  <c r="BA224" i="3"/>
  <c r="BA226" i="3"/>
  <c r="BA294" i="3"/>
  <c r="BA298" i="3"/>
  <c r="AZ298" i="3" s="1"/>
  <c r="BL301" i="3"/>
  <c r="AZ301" i="3" s="1"/>
  <c r="BL134" i="3"/>
  <c r="AZ134" i="3" s="1"/>
  <c r="BA146" i="3"/>
  <c r="AZ146" i="3" s="1"/>
  <c r="BA150" i="3"/>
  <c r="AZ150" i="3" s="1"/>
  <c r="BL167" i="3"/>
  <c r="AZ167" i="3" s="1"/>
  <c r="BL182" i="3"/>
  <c r="BA196" i="3"/>
  <c r="AZ196" i="3" s="1"/>
  <c r="BA21" i="3"/>
  <c r="AZ21" i="3" s="1"/>
  <c r="BA25" i="3"/>
  <c r="AZ25" i="3" s="1"/>
  <c r="BL28" i="3"/>
  <c r="BL47" i="3"/>
  <c r="AZ47" i="3" s="1"/>
  <c r="BL62" i="3"/>
  <c r="BL66" i="3"/>
  <c r="BL70" i="3"/>
  <c r="BL72" i="3"/>
  <c r="AZ72" i="3" s="1"/>
  <c r="BA90" i="3"/>
  <c r="AZ90" i="3" s="1"/>
  <c r="B57" i="43"/>
  <c r="E35" i="71"/>
  <c r="E36" i="71" s="1"/>
  <c r="U3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9" i="3"/>
  <c r="AZ445" i="3"/>
  <c r="AZ449" i="3"/>
  <c r="AZ452" i="3"/>
  <c r="AZ456" i="3"/>
  <c r="AZ467" i="3"/>
  <c r="AZ468" i="3"/>
  <c r="W35" i="39"/>
  <c r="F27" i="34"/>
  <c r="C21" i="39"/>
  <c r="U9" i="36"/>
  <c r="U14" i="37"/>
  <c r="H12" i="21"/>
  <c r="G526" i="3"/>
  <c r="AZ434" i="3"/>
  <c r="AZ436" i="3"/>
  <c r="AZ450" i="3"/>
  <c r="G28" i="6"/>
  <c r="G30" i="6" s="1"/>
  <c r="G31" i="6" s="1"/>
  <c r="U26" i="21"/>
  <c r="W36" i="39"/>
  <c r="U23" i="40"/>
  <c r="AA39" i="37"/>
  <c r="AC16" i="36"/>
  <c r="AB12" i="33"/>
  <c r="C27" i="39"/>
  <c r="U40" i="40"/>
  <c r="AC9" i="40"/>
  <c r="W36" i="35"/>
  <c r="J12" i="21"/>
  <c r="B73" i="43"/>
  <c r="B76" i="43"/>
  <c r="F9" i="36"/>
  <c r="J40" i="40"/>
  <c r="G562" i="3"/>
  <c r="AZ463" i="3"/>
  <c r="AZ489" i="3"/>
  <c r="AZ385"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BA287" i="3"/>
  <c r="AZ153"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104" i="3"/>
  <c r="AZ106" i="3"/>
  <c r="G200" i="3"/>
  <c r="G207" i="3"/>
  <c r="BA23" i="3"/>
  <c r="AZ23" i="3" s="1"/>
  <c r="BA24" i="3"/>
  <c r="AZ24" i="3" s="1"/>
  <c r="BL26" i="3"/>
  <c r="BL32" i="3"/>
  <c r="AZ32" i="3" s="1"/>
  <c r="BA34" i="3"/>
  <c r="AZ34" i="3" s="1"/>
  <c r="BA35" i="3"/>
  <c r="BL37" i="3"/>
  <c r="AZ37" i="3" s="1"/>
  <c r="BL42" i="3"/>
  <c r="AZ42" i="3" s="1"/>
  <c r="BA44" i="3"/>
  <c r="AZ44" i="3" s="1"/>
  <c r="AZ56" i="3"/>
  <c r="AZ60" i="3"/>
  <c r="BA206" i="3"/>
  <c r="AZ206" i="3" s="1"/>
  <c r="BL22" i="3"/>
  <c r="AZ22" i="3" s="1"/>
  <c r="BL33" i="3"/>
  <c r="AZ33" i="3" s="1"/>
  <c r="BL43" i="3"/>
  <c r="AZ43" i="3" s="1"/>
  <c r="BL46" i="3"/>
  <c r="AZ46" i="3" s="1"/>
  <c r="AZ54"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D89" i="43" s="1"/>
  <c r="J90" i="43"/>
  <c r="D83" i="43"/>
  <c r="D66" i="43"/>
  <c r="D64" i="43"/>
  <c r="D62" i="43"/>
  <c r="D67" i="43"/>
  <c r="D65" i="43"/>
  <c r="D63" i="43"/>
  <c r="D69" i="43"/>
  <c r="D73" i="43"/>
  <c r="D75" i="43"/>
  <c r="D79" i="43"/>
  <c r="D22" i="67"/>
  <c r="AQ13" i="1"/>
  <c r="Q16" i="1"/>
  <c r="F27" i="69" s="1"/>
  <c r="E8" i="6"/>
  <c r="F27" i="6"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L59" i="15"/>
  <c r="N59" i="15"/>
  <c r="M59" i="15"/>
  <c r="Q71" i="67"/>
  <c r="F71" i="67"/>
  <c r="N59" i="67"/>
  <c r="L59" i="67"/>
  <c r="L58" i="67"/>
  <c r="M59" i="67"/>
  <c r="B13" i="70"/>
  <c r="M7" i="67"/>
  <c r="J6" i="67" s="1"/>
  <c r="F50" i="67"/>
  <c r="F68" i="67"/>
  <c r="F64" i="67"/>
  <c r="C36" i="68"/>
  <c r="D9" i="69"/>
  <c r="C36" i="69"/>
  <c r="D9" i="68"/>
  <c r="F7" i="15"/>
  <c r="M22" i="15"/>
  <c r="F16" i="15"/>
  <c r="F13" i="15"/>
  <c r="D3" i="73"/>
  <c r="F26" i="15"/>
  <c r="M6" i="15"/>
  <c r="M23" i="67"/>
  <c r="F8" i="15"/>
  <c r="F26" i="67"/>
  <c r="C76" i="15"/>
  <c r="M24" i="67"/>
  <c r="M29" i="67"/>
  <c r="M26" i="15"/>
  <c r="F43" i="15"/>
  <c r="C16" i="67"/>
  <c r="F40" i="15"/>
  <c r="F36" i="15"/>
  <c r="F6" i="67"/>
  <c r="F13" i="67"/>
  <c r="F37" i="15"/>
  <c r="D7" i="73"/>
  <c r="M26" i="67"/>
  <c r="F38" i="15"/>
  <c r="M9" i="15"/>
  <c r="M24" i="15"/>
  <c r="L48" i="15"/>
  <c r="D5" i="73"/>
  <c r="M8" i="15"/>
  <c r="F9" i="15"/>
  <c r="J15" i="15"/>
  <c r="D4" i="73"/>
  <c r="E83" i="43" l="1"/>
  <c r="B81" i="43" s="1"/>
  <c r="M11" i="80"/>
  <c r="J10" i="80" s="1"/>
  <c r="J5" i="80" s="1"/>
  <c r="F11" i="80"/>
  <c r="C30" i="11"/>
  <c r="E14" i="6"/>
  <c r="E63" i="39" s="1"/>
  <c r="N94" i="46"/>
  <c r="N370" i="46"/>
  <c r="P6" i="1"/>
  <c r="C13" i="12" s="1"/>
  <c r="E13" i="6"/>
  <c r="E26" i="43"/>
  <c r="E10" i="6"/>
  <c r="J26" i="43"/>
  <c r="E11" i="6"/>
  <c r="E60" i="39" s="1"/>
  <c r="E15" i="6"/>
  <c r="E64" i="39" s="1"/>
  <c r="E12" i="6"/>
  <c r="E57" i="40" s="1"/>
  <c r="F29" i="6"/>
  <c r="E29" i="6" s="1"/>
  <c r="K15" i="1" s="1"/>
  <c r="F28" i="6"/>
  <c r="G26" i="43"/>
  <c r="F26" i="43"/>
  <c r="D26" i="43" s="1"/>
  <c r="C25" i="43" s="1"/>
  <c r="D17" i="53"/>
  <c r="B36" i="72" s="1"/>
  <c r="G16" i="1"/>
  <c r="F10" i="39" s="1"/>
  <c r="S10" i="39" s="1"/>
  <c r="C6" i="67"/>
  <c r="C32" i="67" s="1"/>
  <c r="F31" i="67"/>
  <c r="C27" i="67"/>
  <c r="F66" i="15"/>
  <c r="F68" i="15"/>
  <c r="F65" i="15"/>
  <c r="J53" i="15"/>
  <c r="L56" i="15" s="1"/>
  <c r="J57" i="15"/>
  <c r="J55" i="15" s="1"/>
  <c r="J58" i="15" s="1"/>
  <c r="Q50" i="15" s="1"/>
  <c r="I54" i="15"/>
  <c r="L58" i="15"/>
  <c r="Q60" i="15" s="1"/>
  <c r="F71" i="15"/>
  <c r="F51" i="15"/>
  <c r="C6" i="15"/>
  <c r="C32" i="15" s="1"/>
  <c r="F64" i="15"/>
  <c r="Q71" i="15"/>
  <c r="C27" i="15"/>
  <c r="M7" i="15"/>
  <c r="J6" i="15" s="1"/>
  <c r="J18" i="15" s="1"/>
  <c r="F50" i="15"/>
  <c r="F31" i="15"/>
  <c r="G5" i="3"/>
  <c r="B3" i="3" s="1"/>
  <c r="E541" i="3" s="1"/>
  <c r="AZ348" i="3"/>
  <c r="C36" i="71"/>
  <c r="D35" i="71"/>
  <c r="C56" i="71"/>
  <c r="D55" i="71"/>
  <c r="AB9" i="33"/>
  <c r="U9" i="33"/>
  <c r="AZ114" i="3"/>
  <c r="AZ232" i="3"/>
  <c r="AZ294" i="3"/>
  <c r="N67" i="71"/>
  <c r="B66" i="71"/>
  <c r="D83" i="71"/>
  <c r="C82" i="71"/>
  <c r="D82" i="71" s="1"/>
  <c r="AZ182" i="3"/>
  <c r="AZ483" i="3"/>
  <c r="S38" i="40"/>
  <c r="AA38" i="40"/>
  <c r="C40" i="71"/>
  <c r="D39" i="71"/>
  <c r="D75" i="71"/>
  <c r="C74" i="71"/>
  <c r="D74" i="71" s="1"/>
  <c r="AZ241" i="3"/>
  <c r="O65" i="71"/>
  <c r="O66" i="71"/>
  <c r="D66" i="71"/>
  <c r="AZ59" i="3"/>
  <c r="AZ476" i="3"/>
  <c r="S30" i="21"/>
  <c r="AA30" i="21"/>
  <c r="AZ587" i="3"/>
  <c r="AB38" i="40"/>
  <c r="U38" i="40"/>
  <c r="AZ224" i="3"/>
  <c r="AZ57" i="3"/>
  <c r="AZ397" i="3"/>
  <c r="AZ444" i="3"/>
  <c r="AZ409" i="3"/>
  <c r="AZ480" i="3"/>
  <c r="AC38" i="40"/>
  <c r="W38" i="40"/>
  <c r="AZ273" i="3"/>
  <c r="AZ247" i="3"/>
  <c r="AZ425" i="3"/>
  <c r="AZ190" i="3"/>
  <c r="AZ405" i="3"/>
  <c r="AA33" i="40"/>
  <c r="S33" i="40"/>
  <c r="AZ210" i="3"/>
  <c r="AZ229" i="3"/>
  <c r="AZ423" i="3"/>
  <c r="AZ28" i="3"/>
  <c r="T52" i="71"/>
  <c r="D52" i="71"/>
  <c r="AZ403" i="3"/>
  <c r="AB35" i="39"/>
  <c r="U35" i="39"/>
  <c r="AB39" i="37"/>
  <c r="U39" i="37"/>
  <c r="W33" i="40"/>
  <c r="AC33" i="40"/>
  <c r="AZ36" i="3"/>
  <c r="AZ482" i="3"/>
  <c r="AZ105" i="3"/>
  <c r="AA44" i="39"/>
  <c r="S44" i="39"/>
  <c r="AC44" i="39"/>
  <c r="W44" i="39"/>
  <c r="AZ246" i="3"/>
  <c r="AB9" i="34"/>
  <c r="U9" i="34"/>
  <c r="AC39" i="37"/>
  <c r="W39" i="37"/>
  <c r="E28" i="6"/>
  <c r="K14" i="1" s="1"/>
  <c r="K16" i="1" s="1"/>
  <c r="AZ35" i="3"/>
  <c r="AZ5" i="3" s="1"/>
  <c r="AZ61" i="3"/>
  <c r="AZ208" i="3"/>
  <c r="AZ461" i="3"/>
  <c r="AZ274" i="3"/>
  <c r="AZ284" i="3"/>
  <c r="C44" i="71"/>
  <c r="D43" i="71"/>
  <c r="AZ464" i="3"/>
  <c r="AZ62" i="3"/>
  <c r="AB24" i="36"/>
  <c r="U24" i="36"/>
  <c r="AZ70" i="3"/>
  <c r="AZ441" i="3"/>
  <c r="AB12" i="40"/>
  <c r="U12" i="40"/>
  <c r="W32" i="34"/>
  <c r="AC32" i="34"/>
  <c r="E59" i="40"/>
  <c r="Q65" i="71"/>
  <c r="AZ459" i="3"/>
  <c r="AZ51" i="3"/>
  <c r="AZ238" i="3"/>
  <c r="AZ282" i="3"/>
  <c r="C32" i="71"/>
  <c r="D31" i="71"/>
  <c r="AC26" i="33"/>
  <c r="W26" i="33"/>
  <c r="W12" i="40"/>
  <c r="AC12" i="40"/>
  <c r="S32" i="34"/>
  <c r="AA32" i="34"/>
  <c r="AB32" i="36"/>
  <c r="U32" i="36"/>
  <c r="AZ49" i="3"/>
  <c r="AZ270" i="3"/>
  <c r="AZ411" i="3"/>
  <c r="S14" i="34"/>
  <c r="AA14" i="34"/>
  <c r="AB25" i="35"/>
  <c r="U25" i="35"/>
  <c r="AA32" i="36"/>
  <c r="S32" i="36"/>
  <c r="C30" i="68"/>
  <c r="AZ26" i="3"/>
  <c r="AZ66" i="3"/>
  <c r="AC27" i="37"/>
  <c r="W27" i="37"/>
  <c r="W14" i="34"/>
  <c r="AC14" i="34"/>
  <c r="S25" i="35"/>
  <c r="AA25" i="35"/>
  <c r="C48" i="68"/>
  <c r="AZ299" i="3"/>
  <c r="AZ287" i="3"/>
  <c r="AZ178" i="3"/>
  <c r="AZ102" i="3"/>
  <c r="AZ256" i="3"/>
  <c r="AZ466" i="3"/>
  <c r="AZ81" i="3"/>
  <c r="AZ285" i="3"/>
  <c r="AZ404" i="3"/>
  <c r="AZ29" i="3"/>
  <c r="D79" i="71"/>
  <c r="C78" i="71"/>
  <c r="D78" i="71" s="1"/>
  <c r="AZ108" i="3"/>
  <c r="AZ417" i="3"/>
  <c r="AZ455" i="3"/>
  <c r="AA12" i="36"/>
  <c r="S12" i="36"/>
  <c r="AB12" i="36"/>
  <c r="U12" i="36"/>
  <c r="J7" i="37"/>
  <c r="K1" i="73"/>
  <c r="E286" i="3"/>
  <c r="E499" i="3"/>
  <c r="R6" i="3"/>
  <c r="E255" i="3"/>
  <c r="I3" i="6"/>
  <c r="AP6" i="3"/>
  <c r="E479" i="3"/>
  <c r="E56" i="3"/>
  <c r="E363" i="3"/>
  <c r="E409" i="3"/>
  <c r="E46" i="3"/>
  <c r="E300" i="3"/>
  <c r="E310" i="3"/>
  <c r="E492" i="3"/>
  <c r="E144" i="3"/>
  <c r="E233" i="3"/>
  <c r="E264" i="3"/>
  <c r="E283" i="3"/>
  <c r="E332" i="3"/>
  <c r="E391" i="3"/>
  <c r="AL6" i="3"/>
  <c r="E174" i="3"/>
  <c r="E34" i="3"/>
  <c r="E206" i="3"/>
  <c r="E251" i="3"/>
  <c r="AF6" i="3"/>
  <c r="E102" i="3"/>
  <c r="E113" i="3"/>
  <c r="E173" i="3"/>
  <c r="E525" i="3"/>
  <c r="T6" i="3"/>
  <c r="E512" i="3"/>
  <c r="E13" i="3"/>
  <c r="E452" i="3"/>
  <c r="E470" i="3"/>
  <c r="E420" i="3"/>
  <c r="E104" i="3"/>
  <c r="E41" i="3"/>
  <c r="E356" i="3"/>
  <c r="E324" i="3"/>
  <c r="E342" i="3"/>
  <c r="E35" i="3"/>
  <c r="E49" i="3"/>
  <c r="E232" i="3"/>
  <c r="E370" i="3"/>
  <c r="E80" i="3"/>
  <c r="E326" i="3"/>
  <c r="E83" i="3"/>
  <c r="E329" i="3"/>
  <c r="E16" i="3"/>
  <c r="E543" i="3"/>
  <c r="E427" i="3"/>
  <c r="E486" i="3"/>
  <c r="E507" i="3"/>
  <c r="E422" i="3"/>
  <c r="E440" i="3"/>
  <c r="E490" i="3"/>
  <c r="E376" i="3"/>
  <c r="AH6" i="3"/>
  <c r="J6" i="3"/>
  <c r="E419" i="3"/>
  <c r="E401" i="3"/>
  <c r="E463" i="3"/>
  <c r="E108" i="3"/>
  <c r="E202" i="3"/>
  <c r="E276" i="3"/>
  <c r="E346" i="3"/>
  <c r="E333" i="3"/>
  <c r="E372" i="3"/>
  <c r="L6" i="3"/>
  <c r="E60" i="3"/>
  <c r="E540" i="3"/>
  <c r="E473" i="3"/>
  <c r="E15" i="3"/>
  <c r="E455" i="3"/>
  <c r="E38" i="3"/>
  <c r="E170" i="3"/>
  <c r="E234" i="3"/>
  <c r="E299" i="3"/>
  <c r="E339" i="3"/>
  <c r="E325" i="3"/>
  <c r="E392" i="3"/>
  <c r="AQ6" i="3"/>
  <c r="E36" i="3"/>
  <c r="E112" i="3"/>
  <c r="E123" i="3"/>
  <c r="E147" i="3"/>
  <c r="E289" i="3"/>
  <c r="E364" i="3"/>
  <c r="E50" i="3"/>
  <c r="E20" i="3"/>
  <c r="E62" i="3"/>
  <c r="E265" i="3"/>
  <c r="E365" i="3"/>
  <c r="E524" i="3"/>
  <c r="E165" i="3"/>
  <c r="E141" i="3"/>
  <c r="E552" i="3"/>
  <c r="E398" i="3"/>
  <c r="E566" i="3"/>
  <c r="E460" i="3"/>
  <c r="E155" i="3"/>
  <c r="E348" i="3"/>
  <c r="E58" i="3"/>
  <c r="E521" i="3"/>
  <c r="E65" i="3"/>
  <c r="E24" i="3"/>
  <c r="E222" i="3"/>
  <c r="E244" i="3"/>
  <c r="E312" i="3"/>
  <c r="E421" i="3"/>
  <c r="E416" i="3"/>
  <c r="E500" i="3"/>
  <c r="E520" i="3"/>
  <c r="E110" i="3"/>
  <c r="E446" i="3"/>
  <c r="E138" i="3"/>
  <c r="E209" i="3"/>
  <c r="E354" i="3"/>
  <c r="E48" i="3"/>
  <c r="E284" i="3"/>
  <c r="E323" i="3"/>
  <c r="E464" i="3"/>
  <c r="E582" i="3"/>
  <c r="E436" i="3"/>
  <c r="E297" i="3"/>
  <c r="E375" i="3"/>
  <c r="E47" i="3"/>
  <c r="E584" i="3"/>
  <c r="E341" i="3"/>
  <c r="E373" i="3"/>
  <c r="E542" i="3"/>
  <c r="E374" i="3"/>
  <c r="E39" i="3"/>
  <c r="E462" i="3"/>
  <c r="E163" i="3"/>
  <c r="E66" i="3"/>
  <c r="Y6" i="3"/>
  <c r="E179" i="3"/>
  <c r="AD6" i="3"/>
  <c r="E459" i="3"/>
  <c r="E488" i="3"/>
  <c r="E195" i="3"/>
  <c r="E154" i="3"/>
  <c r="E167" i="3"/>
  <c r="E413" i="3"/>
  <c r="E187" i="3"/>
  <c r="E504" i="3"/>
  <c r="E307" i="3"/>
  <c r="E127" i="3"/>
  <c r="E82" i="3"/>
  <c r="E122" i="3"/>
  <c r="E461" i="3"/>
  <c r="E136" i="3"/>
  <c r="E352" i="3"/>
  <c r="E306" i="3"/>
  <c r="E157" i="3"/>
  <c r="E224"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H6" i="3" s="1"/>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M17" i="15"/>
  <c r="P28" i="43"/>
  <c r="B66" i="40" s="1"/>
  <c r="P25" i="43"/>
  <c r="C49" i="67"/>
  <c r="P29" i="43"/>
  <c r="P27" i="43"/>
  <c r="B70" i="39" s="1"/>
  <c r="Q60" i="67"/>
  <c r="Q73" i="67"/>
  <c r="M11" i="67"/>
  <c r="J10" i="67" s="1"/>
  <c r="J5" i="67" s="1"/>
  <c r="F11" i="15"/>
  <c r="M11" i="15"/>
  <c r="J10" i="15" s="1"/>
  <c r="F11" i="67"/>
  <c r="J18" i="67"/>
  <c r="F1" i="67"/>
  <c r="Q52" i="67"/>
  <c r="Q61" i="67"/>
  <c r="Q74" i="67"/>
  <c r="Q74" i="15"/>
  <c r="Q61" i="15"/>
  <c r="AE11" i="1"/>
  <c r="AE9" i="1"/>
  <c r="F27" i="68"/>
  <c r="AE8" i="1"/>
  <c r="AE12" i="1"/>
  <c r="AE10" i="1"/>
  <c r="AE7" i="1"/>
  <c r="C16" i="15"/>
  <c r="G1" i="73"/>
  <c r="F41" i="67"/>
  <c r="C53" i="80" l="1"/>
  <c r="C48" i="80" s="1"/>
  <c r="C10" i="80"/>
  <c r="C5" i="80" s="1"/>
  <c r="J24" i="80"/>
  <c r="J26" i="80"/>
  <c r="Q52" i="15"/>
  <c r="F1" i="15"/>
  <c r="E184" i="3"/>
  <c r="E466" i="3"/>
  <c r="E64" i="3"/>
  <c r="E226" i="3"/>
  <c r="E493" i="3"/>
  <c r="E26" i="3"/>
  <c r="E86" i="3"/>
  <c r="E467" i="3"/>
  <c r="E158" i="3"/>
  <c r="E451" i="3"/>
  <c r="E281" i="3"/>
  <c r="E417" i="3"/>
  <c r="E408" i="3"/>
  <c r="E42" i="3"/>
  <c r="E249" i="3"/>
  <c r="E442" i="3"/>
  <c r="E243" i="3"/>
  <c r="E197" i="3"/>
  <c r="E494" i="3"/>
  <c r="E544" i="3"/>
  <c r="E116" i="3"/>
  <c r="E225" i="3"/>
  <c r="E140" i="3"/>
  <c r="E513" i="3"/>
  <c r="E389" i="3"/>
  <c r="E149" i="3"/>
  <c r="E250" i="3"/>
  <c r="E218" i="3"/>
  <c r="E137" i="3"/>
  <c r="E25" i="3"/>
  <c r="E188" i="3"/>
  <c r="E115" i="3"/>
  <c r="E205" i="3"/>
  <c r="E309" i="3"/>
  <c r="E349" i="3"/>
  <c r="E59" i="3"/>
  <c r="E502" i="3"/>
  <c r="AC6" i="3"/>
  <c r="E6" i="3" s="1"/>
  <c r="E33" i="3"/>
  <c r="E292" i="3"/>
  <c r="E469" i="3"/>
  <c r="E129" i="3"/>
  <c r="E67" i="3"/>
  <c r="E152" i="3"/>
  <c r="E386" i="3"/>
  <c r="E176" i="3"/>
  <c r="E194" i="3"/>
  <c r="E178" i="3"/>
  <c r="E564" i="3"/>
  <c r="E412" i="3"/>
  <c r="E405" i="3"/>
  <c r="E96" i="3"/>
  <c r="E84" i="3"/>
  <c r="E37" i="3"/>
  <c r="J10" i="40"/>
  <c r="AC10" i="40" s="1"/>
  <c r="AA10" i="39"/>
  <c r="E198" i="3"/>
  <c r="E371" i="3"/>
  <c r="E95" i="3"/>
  <c r="E575" i="3"/>
  <c r="F30" i="6"/>
  <c r="F31" i="6" s="1"/>
  <c r="J5" i="15"/>
  <c r="J24" i="15" s="1"/>
  <c r="E212" i="3"/>
  <c r="E536" i="3"/>
  <c r="E491" i="3"/>
  <c r="H10" i="40"/>
  <c r="AB10" i="40" s="1"/>
  <c r="J10" i="39"/>
  <c r="W10" i="39" s="1"/>
  <c r="E383" i="3"/>
  <c r="E81" i="3"/>
  <c r="E425" i="3"/>
  <c r="E517" i="3"/>
  <c r="F10" i="40"/>
  <c r="S10" i="40" s="1"/>
  <c r="E313" i="3"/>
  <c r="E87" i="3"/>
  <c r="E266" i="3"/>
  <c r="E57" i="3"/>
  <c r="E90" i="3"/>
  <c r="E340" i="3"/>
  <c r="E79" i="3"/>
  <c r="E40" i="3"/>
  <c r="E393" i="3"/>
  <c r="E428" i="3"/>
  <c r="E456" i="3"/>
  <c r="E235" i="3"/>
  <c r="E355" i="3"/>
  <c r="E484" i="3"/>
  <c r="E554" i="3"/>
  <c r="H10" i="39"/>
  <c r="U10" i="39" s="1"/>
  <c r="E30" i="6"/>
  <c r="E534" i="3"/>
  <c r="E522" i="3"/>
  <c r="E21" i="3"/>
  <c r="E23" i="3"/>
  <c r="E76" i="3"/>
  <c r="E435" i="3"/>
  <c r="E199" i="3"/>
  <c r="C49" i="15"/>
  <c r="E539" i="3"/>
  <c r="E510" i="3"/>
  <c r="E105" i="3"/>
  <c r="E220" i="3"/>
  <c r="E497" i="3"/>
  <c r="E22" i="3"/>
  <c r="E18" i="3"/>
  <c r="E63" i="3"/>
  <c r="E267" i="3"/>
  <c r="E241" i="3"/>
  <c r="E449" i="3"/>
  <c r="E190" i="3"/>
  <c r="E556" i="3"/>
  <c r="E308" i="3"/>
  <c r="E482" i="3"/>
  <c r="E68" i="3"/>
  <c r="E160" i="3"/>
  <c r="E258" i="3"/>
  <c r="E430" i="3"/>
  <c r="E98" i="3"/>
  <c r="E259" i="3"/>
  <c r="E19" i="3"/>
  <c r="E51" i="3"/>
  <c r="E101" i="3"/>
  <c r="E52" i="3"/>
  <c r="E43" i="3"/>
  <c r="E498" i="3"/>
  <c r="E223" i="3"/>
  <c r="E78" i="3"/>
  <c r="E360" i="3"/>
  <c r="E287" i="3"/>
  <c r="E75" i="3"/>
  <c r="E381" i="3"/>
  <c r="E103" i="3"/>
  <c r="E192" i="3"/>
  <c r="K26" i="6"/>
  <c r="M26" i="6" s="1"/>
  <c r="I26" i="6" s="1"/>
  <c r="S26" i="6" s="1"/>
  <c r="M14" i="1"/>
  <c r="O14" i="1" s="1"/>
  <c r="O16" i="1" s="1"/>
  <c r="F59" i="15"/>
  <c r="Q73" i="15"/>
  <c r="AY6" i="3"/>
  <c r="AY124" i="3" s="1"/>
  <c r="E3" i="6"/>
  <c r="D3" i="37" s="1"/>
  <c r="F67" i="39"/>
  <c r="D56" i="71"/>
  <c r="T56" i="71"/>
  <c r="T32" i="71"/>
  <c r="D32" i="71"/>
  <c r="T40" i="71"/>
  <c r="D40" i="71"/>
  <c r="AA7" i="36"/>
  <c r="R36" i="36" s="1"/>
  <c r="D36" i="71"/>
  <c r="T36" i="71"/>
  <c r="U7" i="36"/>
  <c r="D44" i="71"/>
  <c r="T44" i="71"/>
  <c r="N65" i="71"/>
  <c r="N6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296" i="3"/>
  <c r="D19" i="11"/>
  <c r="C19" i="11" s="1"/>
  <c r="C17" i="4"/>
  <c r="B4" i="52" s="1"/>
  <c r="B43" i="72" s="1"/>
  <c r="D3" i="33"/>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F41" i="15" s="1"/>
  <c r="M27" i="15"/>
  <c r="M27" i="67"/>
  <c r="C38" i="80" l="1"/>
  <c r="L36" i="43"/>
  <c r="L37" i="43" s="1"/>
  <c r="F24" i="80"/>
  <c r="C66" i="80"/>
  <c r="C60" i="80"/>
  <c r="W10" i="40"/>
  <c r="L18" i="9"/>
  <c r="D3" i="34"/>
  <c r="D37" i="11"/>
  <c r="D3" i="21"/>
  <c r="M18" i="9"/>
  <c r="B118" i="9" s="1"/>
  <c r="B1" i="74" s="1"/>
  <c r="E6" i="6"/>
  <c r="D14" i="12"/>
  <c r="D17" i="12" s="1"/>
  <c r="C17" i="12" s="1"/>
  <c r="AB10" i="39"/>
  <c r="AY418" i="3"/>
  <c r="F25" i="12"/>
  <c r="C26" i="12" s="1"/>
  <c r="D25" i="12" s="1"/>
  <c r="AA10" i="40"/>
  <c r="AY367" i="3"/>
  <c r="AY454" i="3"/>
  <c r="AY112" i="3"/>
  <c r="AY93" i="3"/>
  <c r="AY175" i="3"/>
  <c r="F24" i="15"/>
  <c r="C24" i="15" s="1"/>
  <c r="F22" i="68"/>
  <c r="F41" i="68" s="1"/>
  <c r="F22" i="11"/>
  <c r="C23" i="11" s="1"/>
  <c r="F24" i="67"/>
  <c r="C24" i="67" s="1"/>
  <c r="F22" i="69"/>
  <c r="F41" i="69" s="1"/>
  <c r="C48" i="15"/>
  <c r="C66" i="15" s="1"/>
  <c r="AC10" i="39"/>
  <c r="M16" i="1"/>
  <c r="AY498" i="3"/>
  <c r="AY70" i="3"/>
  <c r="AY314" i="3"/>
  <c r="AY463" i="3"/>
  <c r="AY18" i="3"/>
  <c r="AY187" i="3"/>
  <c r="AY529" i="3"/>
  <c r="AY183" i="3"/>
  <c r="AY268" i="3"/>
  <c r="AY155" i="3"/>
  <c r="AY92" i="3"/>
  <c r="AY282" i="3"/>
  <c r="AY257" i="3"/>
  <c r="AY324" i="3"/>
  <c r="AY219" i="3"/>
  <c r="AY514" i="3"/>
  <c r="AY394" i="3"/>
  <c r="AY373" i="3"/>
  <c r="AY505" i="3"/>
  <c r="AY84" i="3"/>
  <c r="AY502" i="3"/>
  <c r="AY484" i="3"/>
  <c r="AY174" i="3"/>
  <c r="AY116" i="3"/>
  <c r="AY182" i="3"/>
  <c r="AY355" i="3"/>
  <c r="AY411" i="3"/>
  <c r="AY333" i="3"/>
  <c r="AY165" i="3"/>
  <c r="AY293" i="3"/>
  <c r="AY248" i="3"/>
  <c r="AY415" i="3"/>
  <c r="AY21" i="3"/>
  <c r="AY195" i="3"/>
  <c r="AY120" i="3"/>
  <c r="AY450" i="3"/>
  <c r="AY586"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22" i="3"/>
  <c r="AY504" i="3"/>
  <c r="AY86" i="3"/>
  <c r="AY35" i="3"/>
  <c r="D3" i="6"/>
  <c r="D22" i="6" s="1"/>
  <c r="AY487" i="3"/>
  <c r="AY584" i="3"/>
  <c r="AY341" i="3"/>
  <c r="AY227" i="3"/>
  <c r="AY100" i="3"/>
  <c r="AY497" i="3"/>
  <c r="AY577" i="3"/>
  <c r="AY467" i="3"/>
  <c r="BS6" i="3"/>
  <c r="AY36" i="3"/>
  <c r="AY244" i="3"/>
  <c r="AY501" i="3"/>
  <c r="AY398" i="3"/>
  <c r="AY353" i="3"/>
  <c r="AY56" i="3"/>
  <c r="AY230" i="3"/>
  <c r="AY154" i="3"/>
  <c r="AY97" i="3"/>
  <c r="AY310" i="3"/>
  <c r="AY441" i="3"/>
  <c r="AY289" i="3"/>
  <c r="AY297" i="3"/>
  <c r="AY176" i="3"/>
  <c r="AY202" i="3"/>
  <c r="AY143" i="3"/>
  <c r="AY265" i="3"/>
  <c r="AY402" i="3"/>
  <c r="AY64" i="3"/>
  <c r="AY140" i="3"/>
  <c r="AY461" i="3"/>
  <c r="AY213" i="3"/>
  <c r="AY331" i="3"/>
  <c r="AY129" i="3"/>
  <c r="AY164" i="3"/>
  <c r="AY301" i="3"/>
  <c r="AY434" i="3"/>
  <c r="AY567" i="3"/>
  <c r="AY39" i="3"/>
  <c r="AY203" i="3"/>
  <c r="AY492" i="3"/>
  <c r="AY511" i="3"/>
  <c r="AY224" i="3"/>
  <c r="AY91" i="3"/>
  <c r="AY362" i="3"/>
  <c r="AY46" i="3"/>
  <c r="AY14" i="3"/>
  <c r="AY312" i="3"/>
  <c r="AY137" i="3"/>
  <c r="AY543" i="3"/>
  <c r="AY370" i="3"/>
  <c r="AY238" i="3"/>
  <c r="AY105" i="3"/>
  <c r="AY412" i="3"/>
  <c r="AY496" i="3"/>
  <c r="AY308" i="3"/>
  <c r="AY365" i="3"/>
  <c r="AY68" i="3"/>
  <c r="AY269" i="3"/>
  <c r="AY16" i="3"/>
  <c r="AY414" i="3"/>
  <c r="AY377" i="3"/>
  <c r="AY41" i="3"/>
  <c r="AY246" i="3"/>
  <c r="AY170" i="3"/>
  <c r="AY553" i="3"/>
  <c r="AY342" i="3"/>
  <c r="AY428" i="3"/>
  <c r="AY139" i="3"/>
  <c r="AY168" i="3"/>
  <c r="AY207" i="3"/>
  <c r="AY200" i="3"/>
  <c r="AY151" i="3"/>
  <c r="AY445" i="3"/>
  <c r="AY583" i="3"/>
  <c r="AY102" i="3"/>
  <c r="AY30" i="3"/>
  <c r="AY304" i="3"/>
  <c r="BC6" i="3"/>
  <c r="AY256" i="3"/>
  <c r="AY587" i="3"/>
  <c r="AY376" i="3"/>
  <c r="AY78" i="3"/>
  <c r="AY499" i="3"/>
  <c r="AY328" i="3"/>
  <c r="AY169" i="3"/>
  <c r="AY552" i="3"/>
  <c r="AY215" i="3"/>
  <c r="AY270" i="3"/>
  <c r="AY539" i="3"/>
  <c r="AY455" i="3"/>
  <c r="AY556" i="3"/>
  <c r="AY340" i="3"/>
  <c r="AY389" i="3"/>
  <c r="AY53" i="3"/>
  <c r="AY199" i="3"/>
  <c r="BG6" i="3"/>
  <c r="AY430" i="3"/>
  <c r="AY388" i="3"/>
  <c r="AY73" i="3"/>
  <c r="AY262" i="3"/>
  <c r="AY185" i="3"/>
  <c r="BE6" i="3"/>
  <c r="AY327" i="3"/>
  <c r="AY460" i="3"/>
  <c r="AY160" i="3"/>
  <c r="AY58" i="3"/>
  <c r="AY23" i="3"/>
  <c r="AY54" i="3"/>
  <c r="AY172" i="3"/>
  <c r="AY476" i="3"/>
  <c r="AY15" i="3"/>
  <c r="AY576" i="3"/>
  <c r="AY47" i="3"/>
  <c r="AY336" i="3"/>
  <c r="BD6" i="3"/>
  <c r="AY241" i="3"/>
  <c r="BL6" i="3"/>
  <c r="AY378" i="3"/>
  <c r="AY63" i="3"/>
  <c r="AY506" i="3"/>
  <c r="AY344" i="3"/>
  <c r="AY158" i="3"/>
  <c r="AY520" i="3"/>
  <c r="AY258" i="3"/>
  <c r="AY255" i="3"/>
  <c r="AY540" i="3"/>
  <c r="AY489" i="3"/>
  <c r="AY532" i="3"/>
  <c r="AY325" i="3"/>
  <c r="AY211" i="3"/>
  <c r="AY85" i="3"/>
  <c r="AY526" i="3"/>
  <c r="AY510" i="3"/>
  <c r="AY446" i="3"/>
  <c r="AY210" i="3"/>
  <c r="AY104" i="3"/>
  <c r="AY231" i="3"/>
  <c r="AY201" i="3"/>
  <c r="AY541" i="3"/>
  <c r="AY358" i="3"/>
  <c r="AY470" i="3"/>
  <c r="AY196" i="3"/>
  <c r="AY111" i="3"/>
  <c r="AY34" i="3"/>
  <c r="BT6" i="3"/>
  <c r="AY479" i="3"/>
  <c r="AY110" i="3"/>
  <c r="AY550" i="3"/>
  <c r="AY221" i="3"/>
  <c r="AY313" i="3"/>
  <c r="AY275" i="3"/>
  <c r="AY573" i="3"/>
  <c r="AY508" i="3"/>
  <c r="AY222" i="3"/>
  <c r="AY89" i="3"/>
  <c r="AY495" i="3"/>
  <c r="AY462" i="3"/>
  <c r="AY242" i="3"/>
  <c r="AY247" i="3"/>
  <c r="AY190" i="3"/>
  <c r="AY276" i="3"/>
  <c r="AY320" i="3"/>
  <c r="AY352" i="3"/>
  <c r="AY277" i="3"/>
  <c r="AY560" i="3"/>
  <c r="AY99"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71" i="3"/>
  <c r="AY413" i="3"/>
  <c r="AY321" i="3"/>
  <c r="AY273" i="3"/>
  <c r="AY94" i="3"/>
  <c r="AY189" i="3"/>
  <c r="AY286" i="3"/>
  <c r="AY350" i="3"/>
  <c r="AY356" i="3"/>
  <c r="AY425" i="3"/>
  <c r="AY109" i="3"/>
  <c r="AY533" i="3"/>
  <c r="AY66" i="3"/>
  <c r="AY107" i="3"/>
  <c r="AY62" i="3"/>
  <c r="AY13" i="3"/>
  <c r="AY563" i="3"/>
  <c r="AY429" i="3"/>
  <c r="AY407" i="3"/>
  <c r="AY521" i="3"/>
  <c r="AY568" i="3"/>
  <c r="AY79" i="3"/>
  <c r="AY305" i="3"/>
  <c r="AY474" i="3"/>
  <c r="AY421" i="3"/>
  <c r="AY548" i="3"/>
  <c r="AY385" i="3"/>
  <c r="AY416" i="3"/>
  <c r="AY119" i="3"/>
  <c r="AY517" i="3"/>
  <c r="AY264" i="3"/>
  <c r="BA6" i="3"/>
  <c r="AY423" i="3"/>
  <c r="AY345" i="3"/>
  <c r="AY37" i="3"/>
  <c r="AY580" i="3"/>
  <c r="AY161" i="3"/>
  <c r="AY134" i="3"/>
  <c r="AY417" i="3"/>
  <c r="AY147" i="3"/>
  <c r="AY518" i="3"/>
  <c r="AY226" i="3"/>
  <c r="AY239" i="3"/>
  <c r="BO6" i="3"/>
  <c r="AY486" i="3"/>
  <c r="AY571" i="3"/>
  <c r="AY472" i="3"/>
  <c r="AY259" i="3"/>
  <c r="BH6" i="3"/>
  <c r="AY278" i="3"/>
  <c r="AY33" i="3"/>
  <c r="AY544" i="3"/>
  <c r="AY217" i="3"/>
  <c r="AY319" i="3"/>
  <c r="AY103" i="3"/>
  <c r="AY131" i="3"/>
  <c r="AY83" i="3"/>
  <c r="AY528" i="3"/>
  <c r="AY536" i="3"/>
  <c r="AY50" i="3"/>
  <c r="AY566" i="3"/>
  <c r="AY432" i="3"/>
  <c r="AY232" i="3"/>
  <c r="AY400" i="3"/>
  <c r="AY547" i="3"/>
  <c r="AY493" i="3"/>
  <c r="AY337" i="3"/>
  <c r="AY322" i="3"/>
  <c r="AY440" i="3"/>
  <c r="AY530" i="3"/>
  <c r="AY218" i="3"/>
  <c r="AY448" i="3"/>
  <c r="AY128" i="3"/>
  <c r="AY558" i="3"/>
  <c r="AY249" i="3"/>
  <c r="AY578" i="3"/>
  <c r="AY439" i="3"/>
  <c r="AY364" i="3"/>
  <c r="AY48" i="3"/>
  <c r="AY503" i="3"/>
  <c r="AY181" i="3"/>
  <c r="AY141" i="3"/>
  <c r="AY436" i="3"/>
  <c r="AY292" i="3"/>
  <c r="AY527" i="3"/>
  <c r="AY243" i="3"/>
  <c r="AY271" i="3"/>
  <c r="AY574" i="3"/>
  <c r="AY334" i="3"/>
  <c r="BF6" i="3"/>
  <c r="AY488" i="3"/>
  <c r="AY290" i="3"/>
  <c r="AY554" i="3"/>
  <c r="AY294" i="3"/>
  <c r="AY28" i="3"/>
  <c r="BK6" i="3"/>
  <c r="AY228" i="3"/>
  <c r="AY363" i="3"/>
  <c r="AY303" i="3"/>
  <c r="AY152" i="3"/>
  <c r="AY87" i="3"/>
  <c r="AY512" i="3"/>
  <c r="AY372" i="3"/>
  <c r="AY500" i="3"/>
  <c r="BP6" i="3"/>
  <c r="AY339" i="3"/>
  <c r="AY482" i="3"/>
  <c r="AY537" i="3"/>
  <c r="AY235" i="3"/>
  <c r="AY459"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19" i="3"/>
  <c r="AY579" i="3"/>
  <c r="AY473" i="3"/>
  <c r="AY443" i="3"/>
  <c r="AY36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513" i="3"/>
  <c r="AY245" i="3"/>
  <c r="AY252" i="3"/>
  <c r="AY366" i="3"/>
  <c r="AY42" i="3"/>
  <c r="AY307" i="3"/>
  <c r="AY451" i="3"/>
  <c r="AY250" i="3"/>
  <c r="AY564" i="3"/>
  <c r="AY306" i="3"/>
  <c r="AY127" i="3"/>
  <c r="BR6" i="3"/>
  <c r="AY442" i="3"/>
  <c r="AY96" i="3"/>
  <c r="AY438" i="3"/>
  <c r="AY193" i="3"/>
  <c r="AY343" i="3"/>
  <c r="AY191" i="3"/>
  <c r="AY150" i="3"/>
  <c r="AY126" i="3"/>
  <c r="AY404" i="3"/>
  <c r="AY75" i="3"/>
  <c r="AY585" i="3"/>
  <c r="AY316" i="3"/>
  <c r="AY145" i="3"/>
  <c r="AY374" i="3"/>
  <c r="AY125" i="3"/>
  <c r="AY76" i="3"/>
  <c r="AY401" i="3"/>
  <c r="AY300" i="3"/>
  <c r="AY551" i="3"/>
  <c r="AY347" i="3"/>
  <c r="AY179" i="3"/>
  <c r="AY223" i="3"/>
  <c r="AY525" i="3"/>
  <c r="AY59" i="3"/>
  <c r="AY351" i="3"/>
  <c r="AY485" i="3"/>
  <c r="AY515" i="3"/>
  <c r="AY267" i="3"/>
  <c r="AY272" i="3"/>
  <c r="AY383" i="3"/>
  <c r="AY17" i="3"/>
  <c r="AY142" i="3"/>
  <c r="AY338" i="3"/>
  <c r="AY184" i="3"/>
  <c r="AY456" i="3"/>
  <c r="AY135" i="3"/>
  <c r="AY542" i="3"/>
  <c r="AY458" i="3"/>
  <c r="AY234" i="3"/>
  <c r="AY101" i="3"/>
  <c r="AY449" i="3"/>
  <c r="BB6" i="3"/>
  <c r="AY198" i="3"/>
  <c r="AY379" i="3"/>
  <c r="AY82" i="3"/>
  <c r="AY403" i="3"/>
  <c r="AY186" i="3"/>
  <c r="AY157" i="3"/>
  <c r="AY447" i="3"/>
  <c r="AY163" i="3"/>
  <c r="BM6" i="3"/>
  <c r="AY332" i="3"/>
  <c r="AY177" i="3"/>
  <c r="AY381" i="3"/>
  <c r="AY118" i="3"/>
  <c r="AY45" i="3"/>
  <c r="AY433" i="3"/>
  <c r="AY180" i="3"/>
  <c r="AY204" i="3"/>
  <c r="AY382" i="3"/>
  <c r="AY95" i="3"/>
  <c r="AY208" i="3"/>
  <c r="AY424" i="3"/>
  <c r="AY88" i="3"/>
  <c r="AY371" i="3"/>
  <c r="AY522" i="3"/>
  <c r="AY288" i="3"/>
  <c r="AY216" i="3"/>
  <c r="AY205" i="3"/>
  <c r="AY323" i="3"/>
  <c r="AY27" i="3"/>
  <c r="AY466" i="3"/>
  <c r="AY167" i="3"/>
  <c r="AY509" i="3"/>
  <c r="AY453" i="3"/>
  <c r="AY266" i="3"/>
  <c r="AY519" i="3"/>
  <c r="AY480" i="3"/>
  <c r="AY507" i="3"/>
  <c r="AY20" i="3"/>
  <c r="AY212" i="3"/>
  <c r="AY49" i="3"/>
  <c r="AY435" i="3"/>
  <c r="AY40" i="3"/>
  <c r="AY146" i="3"/>
  <c r="AY481" i="3"/>
  <c r="AY90" i="3"/>
  <c r="BQ6" i="3"/>
  <c r="AY348" i="3"/>
  <c r="AY166" i="3"/>
  <c r="AY397" i="3"/>
  <c r="AY133" i="3"/>
  <c r="AY61" i="3"/>
  <c r="AY420" i="3"/>
  <c r="AY26" i="3"/>
  <c r="AY261" i="3"/>
  <c r="AY225" i="3"/>
  <c r="AY115" i="3"/>
  <c r="AY122" i="3"/>
  <c r="AY284" i="3"/>
  <c r="AY386" i="3"/>
  <c r="AY315" i="3"/>
  <c r="AY113" i="3"/>
  <c r="AY399"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15" i="6"/>
  <c r="D29" i="6"/>
  <c r="H22"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69"/>
  <c r="D22" i="69" s="1"/>
  <c r="C44" i="69"/>
  <c r="D41" i="69" s="1"/>
  <c r="C66" i="67"/>
  <c r="C60" i="67"/>
  <c r="D10" i="69"/>
  <c r="C34" i="69"/>
  <c r="D10" i="68"/>
  <c r="C14" i="67"/>
  <c r="F41" i="80"/>
  <c r="C17" i="67"/>
  <c r="C17" i="15"/>
  <c r="C44" i="68" l="1"/>
  <c r="D41" i="68" s="1"/>
  <c r="F69" i="80"/>
  <c r="J29" i="80"/>
  <c r="C26" i="68"/>
  <c r="D22" i="68" s="1"/>
  <c r="C60" i="15"/>
  <c r="C24" i="11"/>
  <c r="C44" i="11"/>
  <c r="D41" i="11" s="1"/>
  <c r="C24" i="80"/>
  <c r="C23" i="80"/>
  <c r="C26" i="11"/>
  <c r="D22" i="11" s="1"/>
  <c r="D19" i="6"/>
  <c r="H24" i="6"/>
  <c r="D25" i="6"/>
  <c r="D6" i="6"/>
  <c r="D9" i="6"/>
  <c r="L19" i="9"/>
  <c r="D10" i="6"/>
  <c r="D28" i="6"/>
  <c r="D30" i="6" s="1"/>
  <c r="D13" i="6"/>
  <c r="D26" i="6"/>
  <c r="D11" i="6"/>
  <c r="M19" i="9"/>
  <c r="C118" i="9" s="1"/>
  <c r="B2" i="74" s="1"/>
  <c r="C25" i="11"/>
  <c r="H26" i="6"/>
  <c r="R26" i="6" s="1"/>
  <c r="E61" i="40"/>
  <c r="D14" i="6"/>
  <c r="D8" i="6"/>
  <c r="D12" i="6"/>
  <c r="D20" i="6"/>
  <c r="D5" i="6"/>
  <c r="D24" i="6"/>
  <c r="D23" i="6"/>
  <c r="D21" i="6"/>
  <c r="C18" i="4"/>
  <c r="H25" i="6"/>
  <c r="H21" i="6"/>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29" i="1" l="1"/>
  <c r="C8" i="68" s="1"/>
  <c r="C5" i="68" s="1"/>
  <c r="C23" i="68" s="1"/>
  <c r="C29" i="80"/>
  <c r="J14" i="80" s="1"/>
  <c r="C18" i="12"/>
  <c r="C22" i="11"/>
  <c r="C31" i="11" s="1"/>
  <c r="C13" i="80"/>
  <c r="C36" i="80"/>
  <c r="R21" i="6"/>
  <c r="R8" i="1" s="1"/>
  <c r="D16" i="6"/>
  <c r="R20" i="6"/>
  <c r="R7" i="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57" i="80"/>
  <c r="C64" i="80" s="1"/>
  <c r="J59" i="80"/>
  <c r="J60" i="80" s="1"/>
  <c r="Q48" i="80" s="1"/>
  <c r="Q49" i="80"/>
  <c r="Q70" i="80"/>
  <c r="C37" i="80"/>
  <c r="C75" i="80"/>
  <c r="C56" i="80"/>
  <c r="C65" i="80" s="1"/>
  <c r="J13" i="80"/>
  <c r="J23" i="80" s="1"/>
  <c r="J22" i="80"/>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0" l="1"/>
  <c r="C30" i="12"/>
  <c r="C28" i="12"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80"/>
  <c r="M21" i="80"/>
  <c r="F35" i="15"/>
  <c r="F63" i="80" l="1"/>
  <c r="C62" i="80" s="1"/>
  <c r="C59" i="80" s="1"/>
  <c r="C58" i="80" s="1"/>
  <c r="C67" i="80" s="1"/>
  <c r="C68" i="80" s="1"/>
  <c r="C34" i="80"/>
  <c r="C31" i="80" s="1"/>
  <c r="C30" i="80" s="1"/>
  <c r="C39" i="80" s="1"/>
  <c r="J20" i="80"/>
  <c r="J17" i="80" s="1"/>
  <c r="J16" i="80" s="1"/>
  <c r="J25" i="80"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40" i="80"/>
  <c r="C46" i="80" s="1"/>
  <c r="Q69" i="80"/>
  <c r="Q68" i="80" s="1"/>
  <c r="C80" i="80"/>
  <c r="C79" i="80" s="1"/>
  <c r="C71" i="80"/>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0"/>
  <c r="C20" i="9"/>
  <c r="D35" i="9"/>
  <c r="D2" i="21"/>
  <c r="D34" i="9"/>
  <c r="C103" i="9" l="1"/>
  <c r="Q67" i="80"/>
  <c r="Q56" i="80"/>
  <c r="Q62" i="80" s="1"/>
  <c r="Q47" i="80"/>
  <c r="Q53" i="80" s="1"/>
  <c r="C43" i="80"/>
  <c r="B2" i="80"/>
  <c r="B3" i="80" s="1"/>
  <c r="Q65" i="80"/>
  <c r="Q75" i="80" s="1"/>
  <c r="C83" i="80"/>
  <c r="C82" i="80"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9" i="1"/>
  <c r="AO10" i="1"/>
  <c r="AO11"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G21" i="9" l="1"/>
  <c r="D14" i="74"/>
  <c r="G14" i="74"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D118" i="9"/>
  <c r="D119" i="9" s="1"/>
  <c r="D5" i="52" s="1"/>
  <c r="B49" i="72" s="1"/>
  <c r="F118" i="9"/>
  <c r="F4" i="52" s="1"/>
  <c r="B51" i="72" s="1"/>
  <c r="H118" i="9"/>
  <c r="H101" i="9" s="1"/>
  <c r="G118" i="9" l="1"/>
  <c r="G4" i="52" s="1"/>
  <c r="B52" i="72" s="1"/>
  <c r="F119" i="9"/>
  <c r="F5" i="52" s="1"/>
  <c r="B53" i="72" s="1"/>
  <c r="D4" i="52"/>
  <c r="B47" i="72" s="1"/>
  <c r="M48" i="9"/>
  <c r="D45" i="9"/>
  <c r="H107" i="9"/>
  <c r="D5" i="53"/>
  <c r="I118" i="9"/>
  <c r="C104" i="9"/>
  <c r="H119" i="9"/>
  <c r="H5" i="52" s="1"/>
  <c r="H4" i="52"/>
  <c r="I4" i="52" l="1"/>
  <c r="H102" i="9"/>
  <c r="H108" i="9" s="1"/>
  <c r="E118" i="9"/>
  <c r="E4" i="52" s="1"/>
  <c r="B48" i="72" s="1"/>
  <c r="C105" i="9"/>
  <c r="D13" i="53"/>
  <c r="M49" i="9"/>
  <c r="D122" i="9"/>
  <c r="B20" i="72"/>
  <c r="D6" i="53"/>
  <c r="B22" i="72" s="1"/>
  <c r="D53" i="9"/>
  <c r="D55" i="9"/>
  <c r="M53" i="9" s="1"/>
  <c r="C78" i="9"/>
  <c r="C73" i="9" s="1"/>
  <c r="C85" i="9"/>
  <c r="D52" i="9"/>
  <c r="C64" i="9"/>
  <c r="C63" i="9" s="1"/>
  <c r="C67" i="9" s="1"/>
  <c r="C72" i="9"/>
  <c r="C93" i="9"/>
  <c r="C86" i="9" s="1"/>
  <c r="C95" i="9" l="1"/>
  <c r="D59" i="9"/>
  <c r="M55" i="9" s="1"/>
  <c r="C68" i="9"/>
  <c r="D54" i="9" s="1"/>
  <c r="D15" i="53"/>
  <c r="B31" i="72" s="1"/>
  <c r="C6" i="74"/>
  <c r="C96" i="9"/>
  <c r="E96" i="9" s="1"/>
  <c r="E97" i="9" s="1"/>
  <c r="D123" i="9"/>
  <c r="D9" i="52" s="1"/>
  <c r="D8" i="52"/>
  <c r="D14" i="53"/>
  <c r="B32" i="72" s="1"/>
  <c r="B30" i="72"/>
  <c r="C5" i="74"/>
  <c r="D7" i="53"/>
  <c r="B21" i="72" s="1"/>
  <c r="L66" i="9"/>
  <c r="M66" i="9" s="1"/>
  <c r="L64" i="9"/>
  <c r="M64" i="9" s="1"/>
  <c r="L67" i="9"/>
  <c r="M67" i="9" s="1"/>
  <c r="L65" i="9"/>
  <c r="M65" i="9" s="1"/>
  <c r="L68" i="9"/>
  <c r="M68" i="9" s="1"/>
  <c r="L63" i="9"/>
  <c r="M63" i="9" s="1"/>
  <c r="C79" i="9"/>
  <c r="C97" i="9" l="1"/>
  <c r="D58" i="9" s="1"/>
  <c r="D56" i="9" s="1"/>
  <c r="M54" i="9" s="1"/>
  <c r="N57" i="9" s="1"/>
  <c r="C80" i="9"/>
  <c r="E80" i="9" s="1"/>
  <c r="E81" i="9" s="1"/>
  <c r="M69" i="9"/>
  <c r="N69"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<sst xmlns="http://schemas.openxmlformats.org/spreadsheetml/2006/main" count="8257" uniqueCount="3449">
  <si>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</si>
  <si>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</si>
  <si>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</si>
  <si>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</si>
  <si>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</si>
  <si>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</si>
  <si>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</si>
  <si>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</si>
  <si>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</si>
  <si>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</si>
  <si>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</si>
  <si>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</si>
  <si>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</si>
  <si>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</si>
  <si>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</si>
  <si>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</si>
  <si>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</si>
  <si>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</si>
  <si>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</si>
  <si>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</si>
  <si>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</si>
  <si>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</si>
  <si>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</si>
  <si>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</si>
  <si>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</si>
  <si>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</si>
  <si>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</si>
  <si>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</si>
  <si>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</si>
  <si>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</si>
  <si>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</si>
  <si>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</si>
  <si>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</si>
  <si>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</si>
  <si>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</si>
  <si>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</si>
  <si>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</si>
  <si>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</si>
  <si>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</si>
  <si>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</si>
  <si>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</si>
  <si>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</si>
  <si>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</si>
  <si>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</si>
  <si>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</si>
  <si>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</si>
  <si>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</si>
  <si>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</si>
  <si>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</si>
  <si>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</si>
  <si>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</si>
  <si>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</si>
  <si>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</si>
  <si>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</si>
  <si>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</si>
  <si>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</si>
  <si>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</si>
  <si>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</si>
  <si>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</si>
  <si>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</si>
  <si>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</si>
  <si>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</si>
  <si>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</si>
  <si>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</si>
  <si>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</si>
  <si>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</si>
  <si>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</si>
  <si>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</si>
  <si>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</si>
  <si>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</si>
  <si>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</si>
  <si>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</si>
  <si>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</si>
  <si>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</si>
  <si>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</si>
  <si>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</si>
  <si>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</si>
  <si>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</si>
  <si>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</si>
  <si>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</si>
  <si>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</si>
  <si>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</si>
  <si>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</si>
  <si>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</si>
  <si>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</si>
  <si>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</si>
  <si>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</si>
  <si>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</si>
  <si>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</si>
  <si>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</si>
  <si>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</si>
  <si>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</si>
  <si>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</si>
  <si>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</si>
  <si>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</si>
  <si>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</si>
  <si>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</si>
  <si>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</si>
  <si>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</si>
  <si>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</si>
  <si>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</si>
  <si>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</si>
  <si>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</si>
  <si>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</si>
  <si>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</si>
  <si>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</si>
  <si>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</si>
  <si>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</si>
  <si>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</si>
  <si>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</si>
  <si>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</si>
  <si>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</si>
  <si>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</si>
  <si>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</si>
  <si>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</si>
  <si>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</si>
  <si>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</si>
  <si>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</si>
  <si>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</si>
  <si>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</si>
  <si>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</si>
  <si>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</si>
  <si>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</si>
  <si>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</si>
  <si>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</si>
  <si>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</si>
  <si>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</si>
  <si>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</si>
  <si>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</si>
  <si>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</si>
  <si>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</si>
  <si>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</si>
  <si>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</si>
  <si>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</si>
  <si>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</si>
  <si>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</si>
  <si>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</si>
  <si>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</si>
  <si>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</si>
  <si>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</si>
  <si>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</si>
  <si>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</si>
  <si>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</si>
  <si>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</si>
  <si>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</si>
  <si>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</si>
  <si>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</si>
  <si>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</si>
  <si>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</si>
  <si>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</si>
  <si>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</si>
  <si>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</si>
  <si>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</si>
  <si>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</si>
  <si>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</si>
  <si>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</si>
  <si>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</si>
  <si>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</si>
  <si>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</si>
  <si>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</si>
  <si>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</si>
  <si>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</si>
  <si>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</si>
  <si>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</si>
  <si>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</si>
  <si>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</si>
  <si>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</si>
  <si>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</si>
  <si>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</si>
  <si>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</si>
  <si>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</si>
  <si>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</si>
  <si>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</si>
  <si>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</si>
  <si>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</si>
  <si>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</si>
  <si>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</si>
  <si>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</si>
  <si>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</si>
  <si>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</si>
  <si>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</si>
  <si>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</si>
  <si>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</si>
  <si>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</si>
  <si>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</si>
  <si>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</si>
  <si>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</si>
  <si>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</si>
  <si>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</si>
  <si>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</si>
  <si>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</si>
  <si>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</si>
  <si>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</si>
  <si>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</si>
  <si>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</si>
  <si>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</si>
  <si>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</si>
  <si>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</si>
  <si>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</si>
  <si>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</si>
  <si>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</si>
  <si>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</si>
  <si>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</si>
  <si>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</si>
  <si>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</si>
  <si>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</si>
  <si>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</si>
  <si>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</si>
  <si>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</si>
  <si>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</si>
  <si>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</si>
  <si>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</si>
  <si>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</si>
  <si>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</si>
  <si>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</si>
  <si>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</si>
  <si>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</si>
  <si>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</si>
  <si>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</si>
  <si>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</si>
  <si>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</si>
  <si>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</si>
  <si>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</si>
  <si>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</si>
  <si>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</si>
  <si>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</si>
  <si>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</si>
  <si>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</si>
  <si>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</si>
  <si>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</si>
  <si>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</si>
  <si>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</si>
  <si>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</si>
  <si>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</si>
  <si>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</si>
  <si>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</si>
  <si>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</si>
  <si>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</si>
  <si>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</si>
  <si>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</si>
  <si>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</si>
  <si>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</si>
  <si>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</si>
  <si>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</si>
  <si>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</si>
  <si>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</si>
  <si>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</si>
  <si>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</si>
  <si>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</si>
  <si>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</si>
  <si>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</si>
  <si>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</si>
  <si>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</si>
  <si>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</si>
  <si>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</si>
  <si>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</si>
  <si>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</si>
  <si>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</si>
  <si>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</si>
  <si>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</si>
  <si>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</si>
  <si>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</si>
  <si>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</si>
  <si>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</si>
  <si>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</si>
  <si>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</si>
  <si>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</si>
  <si>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</si>
  <si>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</si>
  <si>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</si>
  <si>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</si>
  <si>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</si>
  <si>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</si>
  <si>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</si>
  <si>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</si>
  <si>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</si>
  <si>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</si>
  <si>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</si>
  <si>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</si>
  <si>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</si>
  <si>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</si>
  <si>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</si>
  <si>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</si>
  <si>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</si>
  <si>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</si>
  <si>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</si>
  <si>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</si>
  <si>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</si>
  <si>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</si>
  <si>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</si>
  <si>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</si>
  <si>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</si>
  <si>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</si>
  <si>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</si>
  <si>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</si>
  <si>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</si>
  <si>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</si>
  <si>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</si>
  <si>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</si>
  <si>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</si>
  <si>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</si>
  <si>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</si>
  <si>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</si>
  <si>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</si>
  <si>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</si>
  <si>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</si>
  <si>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</si>
  <si>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</si>
  <si>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</si>
  <si>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</si>
  <si>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</si>
  <si>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</si>
  <si>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</si>
  <si>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</si>
  <si>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</si>
  <si>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</si>
  <si>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</si>
  <si>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</si>
  <si>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</si>
  <si>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</si>
  <si>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</si>
  <si>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</si>
  <si>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</si>
  <si>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</si>
  <si>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</si>
  <si>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</si>
  <si>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</si>
  <si>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</si>
  <si>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</si>
  <si>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</si>
  <si>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</si>
  <si>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</si>
  <si>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</si>
  <si>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</si>
  <si>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</si>
  <si>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</si>
  <si>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</si>
  <si>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</si>
  <si>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</si>
  <si>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</si>
  <si>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</si>
  <si>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</si>
  <si>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</si>
  <si>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</si>
  <si>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</si>
  <si>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</si>
  <si>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</si>
  <si>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</si>
  <si>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</si>
  <si>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</si>
  <si>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</si>
  <si>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</si>
  <si>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</si>
  <si>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</si>
  <si>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</si>
  <si>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</si>
  <si>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</si>
  <si>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</si>
  <si>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</si>
  <si>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</si>
  <si>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</si>
  <si>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</si>
  <si>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</si>
  <si>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</si>
  <si>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</si>
  <si>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</si>
  <si>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</si>
  <si>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</si>
  <si>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</si>
  <si>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</si>
  <si>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</si>
  <si>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</si>
  <si>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</si>
  <si>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</si>
  <si>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</si>
  <si>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</si>
  <si>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</si>
  <si>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</si>
  <si>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</si>
  <si>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</si>
  <si>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</si>
  <si>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</si>
  <si>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</si>
  <si>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</si>
  <si>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</si>
  <si>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</si>
  <si>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</si>
  <si>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</si>
  <si>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</si>
  <si>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</si>
  <si>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</si>
  <si>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</si>
  <si>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</si>
  <si>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</si>
  <si>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</si>
  <si>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</si>
  <si>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</si>
  <si>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</si>
  <si>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</si>
  <si>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</si>
  <si>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</si>
  <si>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</si>
  <si>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</si>
  <si>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</si>
  <si>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</si>
  <si>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</si>
  <si>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</si>
  <si>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</si>
  <si>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</si>
  <si>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</si>
  <si>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</si>
  <si>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</si>
  <si>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</si>
  <si>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</si>
  <si>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</si>
  <si>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</si>
  <si>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</si>
  <si>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</si>
  <si>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</si>
  <si>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</si>
  <si>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</si>
  <si>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</si>
  <si>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</si>
  <si>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</si>
  <si>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</si>
  <si>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</si>
  <si>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</si>
  <si>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</si>
  <si>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</si>
  <si>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</si>
  <si>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</si>
  <si>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</si>
  <si>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</si>
  <si>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</si>
  <si>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</si>
  <si>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</si>
  <si>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</si>
  <si>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</si>
  <si>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</si>
  <si>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</si>
  <si>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</si>
  <si>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</si>
  <si>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</si>
  <si>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</si>
  <si>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</si>
  <si>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</si>
  <si>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</si>
  <si>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</si>
  <si>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</si>
  <si>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</si>
  <si>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</si>
  <si>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</si>
  <si>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</si>
  <si>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</si>
  <si>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</si>
  <si>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</si>
  <si>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</si>
  <si>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</si>
  <si>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</si>
  <si>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</si>
  <si>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</si>
  <si>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</si>
  <si>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</si>
  <si>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</si>
  <si>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</si>
  <si>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</si>
  <si>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</si>
  <si>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</si>
  <si>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</si>
  <si>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</si>
  <si>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</si>
  <si>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</si>
  <si>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</si>
  <si>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</si>
  <si>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</si>
  <si>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</si>
  <si>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</si>
  <si>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</si>
  <si>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</si>
  <si>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</si>
  <si>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</si>
  <si>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</si>
  <si>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</si>
  <si>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</si>
  <si>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</si>
  <si>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</si>
  <si>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</si>
  <si>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</si>
  <si>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</si>
  <si>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</si>
  <si>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</si>
  <si>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</si>
  <si>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</si>
  <si>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</si>
  <si>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</si>
  <si>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</si>
  <si>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</si>
  <si>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</si>
  <si>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</si>
  <si>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</si>
  <si>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</si>
  <si>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</si>
  <si>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</si>
  <si>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</si>
  <si>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</si>
  <si>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</si>
  <si>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</si>
  <si>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</si>
  <si>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</si>
  <si>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</si>
  <si>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</si>
  <si>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</si>
  <si>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</si>
  <si>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</si>
  <si>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</si>
  <si>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</si>
  <si>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</si>
  <si>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</si>
  <si>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</si>
  <si>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</si>
  <si>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</si>
  <si>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</si>
  <si>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</si>
  <si>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</si>
  <si>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</si>
  <si>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</si>
  <si>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</si>
  <si>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</si>
  <si>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</si>
  <si>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</si>
  <si>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</si>
  <si>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</si>
  <si>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</si>
  <si>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</si>
  <si>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</si>
  <si>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</si>
  <si>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</si>
  <si>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</si>
  <si>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</si>
  <si>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</si>
  <si>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</si>
  <si>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</si>
  <si>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</si>
  <si>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</si>
  <si>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</si>
  <si>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</si>
  <si>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</si>
  <si>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</si>
  <si>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</si>
  <si>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</si>
  <si>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</si>
  <si>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</si>
  <si>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</si>
  <si>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</si>
  <si>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</si>
  <si>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</si>
  <si>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</si>
  <si>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</si>
  <si>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</si>
  <si>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</si>
  <si>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</si>
  <si>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</si>
  <si>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</si>
  <si>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</si>
  <si>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</si>
  <si>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</si>
  <si>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</si>
  <si>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</si>
  <si>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</si>
  <si>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</si>
  <si>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</si>
  <si>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</si>
  <si>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</si>
  <si>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</si>
  <si>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</si>
  <si>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</si>
  <si>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</si>
  <si>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</si>
  <si>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</si>
  <si>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</si>
  <si>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</si>
  <si>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</si>
  <si>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</si>
  <si>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</si>
  <si>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</si>
  <si>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</si>
  <si>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</si>
  <si>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</si>
  <si>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</si>
  <si>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</si>
  <si>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</si>
  <si>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</si>
  <si>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</si>
  <si>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</si>
  <si>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</si>
  <si>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</si>
  <si>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</si>
  <si>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</si>
  <si>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</si>
  <si>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</si>
  <si>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</si>
  <si>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</si>
  <si>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</si>
  <si>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</si>
  <si>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</si>
  <si>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</si>
  <si>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</si>
  <si>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</si>
  <si>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</si>
  <si>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</si>
  <si>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</si>
  <si>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</si>
  <si>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</si>
  <si>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</si>
  <si>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</si>
  <si>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</si>
  <si>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</si>
  <si>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</si>
  <si>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</si>
  <si>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</si>
  <si>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</si>
  <si>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</si>
  <si>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</si>
  <si>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</si>
  <si>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</si>
  <si>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</si>
  <si>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</si>
  <si>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</si>
  <si>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</si>
  <si>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</si>
  <si>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</si>
  <si>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</si>
  <si>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</si>
  <si>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</si>
  <si>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</si>
  <si>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</si>
  <si>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</si>
  <si>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</si>
  <si>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</si>
  <si>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</si>
  <si>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</si>
  <si>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</si>
  <si>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</si>
  <si>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</si>
  <si>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</si>
  <si>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</si>
  <si>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</si>
  <si>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</si>
  <si>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</si>
  <si>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</si>
  <si>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</si>
  <si>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</si>
  <si>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</si>
  <si>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</si>
  <si>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</si>
  <si>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</si>
  <si>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</si>
  <si>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</si>
  <si>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</si>
  <si>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</si>
  <si>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</si>
  <si>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</si>
  <si>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</si>
  <si>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</si>
  <si>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</si>
  <si>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</si>
  <si>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</si>
  <si>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</si>
  <si>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</si>
  <si>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</si>
  <si>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</si>
  <si>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</si>
  <si>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</si>
  <si>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</si>
  <si>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</si>
  <si>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</si>
  <si>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</si>
  <si>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</si>
  <si>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</si>
  <si>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</si>
  <si>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</si>
  <si>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</si>
  <si>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</si>
  <si>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</si>
  <si>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</si>
  <si>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</si>
  <si>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</si>
  <si>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</si>
  <si>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</si>
  <si>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</si>
  <si>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</si>
  <si>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</si>
  <si>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</si>
  <si>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</si>
  <si>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</si>
  <si>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</si>
  <si>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</si>
  <si>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</si>
  <si>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</si>
  <si>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</si>
  <si>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</si>
  <si>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</si>
  <si>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</si>
  <si>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</si>
  <si>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</si>
  <si>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</si>
  <si>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</si>
  <si>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</si>
  <si>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</si>
  <si>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</si>
  <si>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</si>
  <si>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</si>
  <si>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</si>
  <si>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</si>
  <si>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</si>
  <si>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</si>
  <si>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</si>
  <si>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</si>
  <si>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</si>
  <si>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</si>
  <si>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</si>
  <si>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</si>
  <si>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</si>
  <si>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</si>
  <si>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</si>
  <si>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</si>
  <si>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</si>
  <si>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</si>
  <si>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</si>
  <si>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</si>
  <si>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</si>
  <si>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</si>
  <si>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</si>
  <si>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</si>
  <si>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</si>
  <si>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</si>
  <si>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</si>
  <si>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</si>
  <si>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</si>
  <si>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</si>
  <si>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</si>
  <si>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</si>
  <si>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</si>
  <si>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</si>
  <si>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</si>
  <si>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</si>
  <si>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</si>
  <si>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</si>
  <si>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</si>
  <si>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</si>
  <si>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</si>
  <si>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</si>
  <si>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</si>
  <si>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</si>
  <si>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</si>
  <si>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</si>
  <si>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</si>
  <si>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</si>
  <si>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</si>
  <si>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</si>
  <si>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</si>
  <si>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</si>
  <si>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</si>
  <si>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</si>
  <si>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</si>
  <si>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</si>
  <si>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</si>
  <si>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</si>
  <si>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</si>
  <si>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</si>
  <si>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</si>
  <si>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</si>
  <si>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</si>
  <si>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</si>
  <si>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</si>
  <si>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</si>
  <si>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</si>
  <si>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</si>
  <si>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</si>
  <si>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</si>
  <si>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</si>
  <si>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</si>
  <si>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</si>
  <si>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</si>
  <si>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</si>
  <si>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</si>
  <si>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</si>
  <si>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</si>
  <si>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</si>
  <si>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</si>
  <si>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</si>
  <si>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</si>
  <si>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</si>
  <si>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</si>
  <si>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</si>
  <si>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</si>
  <si>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</si>
  <si>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</si>
  <si>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</si>
  <si>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</si>
  <si>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</si>
  <si>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</si>
  <si>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</si>
  <si>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</si>
  <si>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</si>
  <si>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</si>
  <si>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</si>
  <si>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</si>
  <si>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</si>
  <si>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</si>
  <si>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</si>
  <si>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</si>
  <si>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</si>
  <si>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</si>
  <si>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</si>
  <si>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</si>
  <si>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</si>
  <si>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</si>
  <si>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</si>
  <si>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</si>
  <si>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</si>
  <si>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</si>
  <si>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</si>
  <si>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</si>
  <si>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</si>
  <si>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</si>
  <si>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</si>
  <si>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</si>
  <si>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</si>
  <si>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</si>
  <si>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</si>
  <si>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</si>
  <si>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</si>
  <si>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</si>
  <si>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</si>
  <si>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</si>
  <si>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</si>
  <si>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</si>
  <si>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</si>
  <si>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</si>
  <si>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</si>
  <si>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</si>
  <si>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</si>
  <si>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</si>
  <si>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</si>
  <si>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</si>
  <si>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</si>
  <si>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</si>
  <si>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</si>
  <si>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</si>
  <si>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</si>
  <si>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</si>
  <si>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</si>
  <si>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</si>
  <si>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</si>
  <si>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</si>
  <si>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</si>
  <si>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</si>
  <si>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</si>
  <si>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</si>
  <si>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</si>
  <si>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</si>
  <si>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</si>
  <si>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</si>
  <si>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</si>
  <si>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</si>
  <si>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</si>
  <si>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</si>
  <si>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</si>
  <si>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</si>
  <si>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</si>
  <si>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</si>
  <si>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</si>
  <si>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</si>
  <si>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</si>
  <si>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</si>
  <si>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</si>
  <si>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</si>
  <si>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</si>
  <si>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</si>
  <si>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</si>
  <si>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</si>
  <si>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</si>
  <si>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</si>
  <si>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</si>
  <si>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</si>
  <si>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</si>
  <si>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</si>
  <si>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</si>
  <si>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</si>
  <si>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</si>
  <si>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</si>
  <si>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</si>
  <si>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</si>
  <si>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</si>
  <si>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</si>
  <si>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</si>
  <si>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</si>
  <si>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</si>
  <si>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</si>
  <si>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</si>
  <si>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</si>
  <si>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</si>
  <si>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</si>
  <si>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</si>
  <si>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</si>
  <si>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</si>
  <si>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</si>
  <si>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</si>
  <si>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</si>
  <si>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</si>
  <si>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</si>
  <si>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</si>
  <si>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</si>
  <si>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</si>
  <si>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</si>
  <si>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</si>
  <si>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</si>
  <si>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</si>
  <si>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</si>
  <si>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</si>
  <si>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</si>
  <si>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</si>
  <si>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</si>
  <si>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</si>
  <si>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</si>
  <si>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</si>
  <si>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</si>
  <si>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</si>
  <si>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</si>
  <si>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</si>
  <si>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</si>
  <si>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</si>
  <si>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</si>
  <si>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</si>
  <si>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</si>
  <si>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</si>
  <si>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</si>
  <si>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</si>
  <si>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</si>
  <si>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</si>
  <si>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</si>
  <si>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</si>
  <si>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</si>
  <si>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</si>
  <si>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</si>
  <si>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</si>
  <si>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</si>
  <si>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</si>
  <si>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</si>
  <si>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</si>
  <si>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</si>
  <si>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</si>
  <si>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</si>
  <si>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</si>
  <si>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</si>
  <si>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</si>
  <si>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</si>
  <si>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</si>
  <si>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</si>
  <si>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</si>
  <si>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</si>
  <si>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</si>
  <si>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</si>
  <si>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</si>
  <si>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</si>
  <si>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</si>
  <si>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</si>
  <si>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</si>
  <si>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</si>
  <si>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</si>
  <si>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</si>
  <si>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</si>
  <si>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</si>
  <si>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</si>
  <si>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</si>
  <si>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</si>
  <si>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</si>
  <si>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</si>
  <si>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</si>
  <si>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</si>
  <si>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</si>
  <si>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</si>
  <si>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</si>
  <si>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</si>
  <si>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</si>
  <si>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</si>
  <si>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</si>
  <si>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</si>
  <si>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</si>
  <si>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</si>
  <si>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</si>
  <si>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</si>
  <si>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</si>
  <si>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</si>
  <si>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</si>
  <si>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</si>
  <si>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</si>
  <si>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</si>
  <si>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</si>
  <si>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</si>
  <si>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</si>
  <si>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</si>
  <si>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</si>
  <si>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</si>
  <si>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</si>
  <si>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</si>
  <si>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</si>
  <si>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</si>
  <si>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</si>
  <si>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</si>
  <si>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</si>
  <si>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</si>
  <si>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</si>
  <si>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</si>
  <si>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</si>
  <si>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</si>
  <si>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</si>
  <si>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</si>
  <si>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</si>
  <si>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</si>
  <si>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</si>
  <si>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</si>
  <si>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</si>
  <si>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</si>
  <si>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</si>
  <si>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</si>
  <si>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</si>
  <si>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</si>
  <si>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</si>
  <si>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</si>
  <si>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</si>
  <si>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</si>
  <si>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</si>
  <si>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</si>
  <si>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</si>
  <si>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</si>
  <si>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</si>
  <si>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</si>
  <si>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</si>
  <si>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</si>
  <si>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</si>
  <si>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</si>
  <si>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</si>
  <si>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</si>
  <si>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</si>
  <si>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</si>
  <si>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</si>
  <si>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</si>
  <si>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</si>
  <si>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</si>
  <si>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</si>
  <si>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</si>
  <si>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</si>
  <si>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</si>
  <si>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</si>
  <si>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</si>
  <si>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</si>
  <si>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</si>
  <si>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</si>
  <si>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</si>
  <si>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</si>
  <si>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</si>
  <si>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</si>
  <si>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</si>
  <si>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</si>
  <si>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</si>
  <si>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</si>
  <si>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</si>
  <si>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</si>
  <si>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</si>
  <si>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</si>
  <si>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</si>
  <si>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</si>
  <si>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</si>
  <si>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</si>
  <si>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</si>
  <si>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</si>
  <si>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</si>
  <si>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</si>
  <si>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</si>
  <si>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</si>
  <si>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</si>
  <si>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</si>
  <si>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</si>
  <si>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</si>
  <si>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</si>
  <si>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</si>
  <si>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</si>
  <si>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</si>
  <si>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</si>
  <si>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</si>
  <si>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</si>
  <si>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</si>
  <si>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</si>
  <si>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</si>
  <si>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</si>
  <si>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</si>
  <si>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</si>
  <si>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</si>
  <si>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</si>
  <si>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</si>
  <si>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</si>
  <si>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</si>
  <si>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</si>
  <si>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</si>
  <si>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</si>
  <si>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</si>
  <si>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</si>
  <si>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</si>
  <si>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</si>
  <si>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</si>
  <si>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</si>
  <si>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</si>
  <si>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</si>
  <si>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</si>
  <si>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</si>
  <si>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</si>
  <si>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</si>
  <si>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</si>
  <si>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</si>
  <si>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</si>
  <si>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</si>
  <si>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</si>
  <si>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</si>
  <si>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</si>
  <si>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</si>
  <si>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</si>
  <si>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</si>
  <si>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</si>
  <si>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</si>
  <si>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</si>
  <si>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</si>
  <si>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</si>
  <si>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</si>
  <si>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</si>
  <si>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</si>
  <si>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</si>
  <si>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</si>
  <si>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</si>
  <si>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</si>
  <si>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</si>
  <si>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</si>
  <si>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</si>
  <si>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</si>
  <si>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</si>
  <si>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</si>
  <si>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</si>
  <si>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</si>
  <si>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</si>
  <si>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</si>
  <si>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</si>
  <si>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</si>
  <si>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</si>
  <si>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</si>
  <si>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</si>
  <si>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</si>
  <si>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</si>
  <si>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</si>
  <si>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</si>
  <si>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</si>
  <si>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</si>
  <si>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</si>
  <si>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</si>
  <si>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</si>
  <si>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</si>
  <si>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</si>
  <si>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</si>
  <si>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</si>
  <si>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</si>
  <si>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</si>
  <si>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</si>
  <si>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</si>
  <si>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</si>
  <si>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</si>
  <si>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</si>
  <si>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</si>
  <si>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</si>
  <si>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</si>
  <si>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</si>
  <si>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</si>
  <si>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</si>
  <si>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</si>
  <si>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</si>
  <si>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</si>
  <si>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</si>
  <si>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</si>
  <si>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</si>
  <si>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</si>
  <si>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</si>
  <si>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</si>
  <si>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</si>
  <si>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</si>
  <si>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</si>
  <si>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</si>
  <si>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</si>
  <si>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</si>
  <si>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</si>
  <si>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</si>
  <si>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</si>
  <si>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</si>
  <si>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</si>
  <si>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</si>
  <si>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</si>
  <si>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</si>
  <si>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</si>
  <si>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</si>
  <si>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</si>
  <si>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</si>
  <si>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</si>
  <si>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</si>
  <si>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</si>
  <si>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</si>
  <si>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</si>
  <si>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</si>
  <si>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</si>
  <si>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</si>
  <si>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</si>
  <si>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</si>
  <si>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</si>
  <si>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</si>
  <si>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</si>
  <si>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</si>
  <si>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</si>
  <si>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</si>
  <si>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</si>
  <si>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</si>
  <si>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</si>
  <si>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</si>
  <si>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</si>
  <si>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</si>
  <si>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</si>
  <si>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</si>
  <si>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</si>
  <si>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</si>
  <si>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</si>
  <si>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</si>
  <si>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</si>
  <si>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</si>
  <si>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</si>
  <si>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</si>
  <si>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</si>
  <si>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</si>
  <si>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</si>
  <si>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</si>
  <si>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</si>
  <si>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</si>
  <si>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</si>
  <si>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</si>
  <si>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</si>
  <si>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</si>
  <si>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</si>
  <si>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</si>
  <si>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</si>
  <si>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</si>
  <si>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</si>
  <si>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</si>
  <si>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</si>
  <si>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</si>
  <si>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</si>
  <si>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</si>
  <si>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</si>
  <si>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</si>
  <si>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</si>
  <si>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</si>
  <si>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</si>
  <si>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</si>
  <si>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</si>
  <si>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</si>
  <si>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</si>
  <si>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</si>
  <si>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</si>
  <si>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</si>
  <si>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</si>
  <si>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</si>
  <si>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</si>
  <si>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</si>
  <si>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</si>
  <si>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</si>
  <si>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</si>
  <si>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</si>
  <si>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</si>
  <si>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</si>
  <si>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</si>
  <si>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</si>
  <si>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</si>
  <si>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</si>
  <si>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</si>
  <si>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</si>
  <si>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</si>
  <si>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</si>
  <si>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</si>
  <si>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</si>
  <si>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</si>
  <si>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</si>
  <si>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</si>
  <si>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</si>
  <si>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</si>
  <si>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</si>
  <si>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</si>
  <si>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</si>
  <si>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</si>
  <si>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</si>
  <si>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</si>
  <si>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</si>
  <si>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</si>
  <si>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</si>
  <si>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</si>
  <si>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</si>
  <si>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</si>
  <si>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</si>
  <si>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</si>
  <si>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</si>
  <si>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</si>
  <si>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</si>
  <si>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</si>
  <si>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</si>
  <si>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</si>
  <si>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</si>
  <si>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</si>
  <si>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</si>
  <si>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</si>
  <si>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</si>
  <si>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</si>
  <si>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</si>
  <si>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</si>
  <si>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</si>
  <si>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</si>
  <si>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</si>
  <si>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</si>
  <si>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</si>
  <si>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</si>
  <si>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</si>
  <si>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</si>
  <si>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</si>
  <si>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</si>
  <si>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</si>
  <si>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</si>
  <si>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</si>
  <si>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</si>
  <si>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</si>
  <si>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</si>
  <si>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</si>
  <si>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</si>
  <si>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</si>
  <si>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</si>
  <si>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</si>
  <si>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</si>
  <si>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</si>
  <si>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</si>
  <si>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</si>
  <si>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</si>
  <si>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</si>
  <si>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</si>
  <si>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</si>
  <si>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</si>
  <si>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</si>
  <si>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</si>
  <si>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</si>
  <si>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</si>
  <si>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</si>
  <si>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</si>
  <si>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</si>
  <si>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</si>
  <si>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</si>
  <si>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</si>
  <si>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</si>
  <si>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</si>
  <si>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</si>
  <si>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</si>
  <si>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</si>
  <si>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</si>
  <si>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</si>
  <si>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</si>
  <si>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</si>
  <si>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</si>
  <si>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</si>
  <si>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</si>
  <si>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</si>
  <si>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</si>
  <si>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</si>
  <si>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</si>
  <si>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</si>
  <si>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</si>
  <si>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</si>
  <si>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</si>
  <si>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</si>
  <si>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</si>
  <si>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</si>
  <si>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</si>
  <si>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</si>
  <si>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</si>
  <si>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</si>
  <si>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</si>
  <si>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</si>
  <si>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</si>
  <si>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</si>
  <si>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</si>
  <si>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</si>
  <si>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</si>
  <si>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</si>
  <si>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</si>
  <si>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</si>
  <si>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</si>
  <si>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</si>
  <si>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</si>
  <si>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</si>
  <si>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</si>
  <si>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</si>
  <si>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</si>
  <si>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</si>
  <si>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</si>
  <si>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</si>
  <si>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</si>
  <si>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</si>
  <si>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</si>
  <si>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</si>
  <si>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</si>
  <si>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</si>
  <si>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</si>
  <si>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</si>
  <si>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</si>
  <si>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</si>
  <si>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</si>
  <si>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</si>
  <si>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</si>
  <si>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</si>
  <si>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</si>
  <si>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</si>
  <si>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</si>
  <si>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</si>
  <si>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</si>
  <si>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</si>
  <si>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</si>
  <si>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</si>
  <si>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</si>
  <si>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</si>
  <si>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</si>
  <si>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</si>
  <si>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</si>
  <si>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</si>
  <si>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</si>
  <si>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</si>
  <si>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</si>
  <si>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</si>
  <si>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</si>
  <si>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</si>
  <si>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</si>
  <si>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</si>
  <si>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</si>
  <si>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</si>
  <si>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</si>
  <si>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</si>
  <si>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</si>
  <si>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</si>
  <si>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</si>
  <si>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</si>
  <si>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</si>
  <si>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</si>
  <si>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</si>
  <si>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</si>
  <si>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</si>
  <si>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</si>
  <si>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</si>
  <si>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</si>
  <si>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</si>
  <si>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</si>
  <si>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</si>
  <si>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</si>
  <si>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</si>
  <si>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</si>
  <si>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</si>
  <si>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</si>
  <si>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</si>
  <si>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</si>
  <si>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</si>
  <si>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</si>
  <si>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</si>
  <si>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</si>
  <si>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</si>
  <si>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</si>
  <si>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</si>
  <si>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</si>
  <si>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</si>
  <si>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</si>
  <si>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</si>
  <si>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</si>
  <si>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</si>
  <si>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</si>
  <si>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</si>
  <si>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</si>
  <si>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</si>
  <si>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</si>
  <si>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</si>
  <si>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</si>
  <si>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</si>
  <si>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</si>
  <si>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</si>
  <si>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</si>
  <si>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</si>
  <si>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</si>
  <si>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</si>
  <si>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</si>
  <si>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</si>
  <si>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</si>
  <si>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</si>
  <si>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</si>
  <si>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</si>
  <si>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</si>
  <si>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</si>
  <si>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</si>
  <si>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</si>
  <si>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</si>
  <si>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</si>
  <si>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</si>
  <si>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</si>
  <si>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</si>
  <si>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</si>
  <si>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</si>
  <si>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</si>
  <si>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</si>
  <si>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</si>
  <si>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</si>
  <si>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</si>
  <si>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</si>
  <si>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</si>
  <si>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</si>
  <si>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</si>
  <si>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</si>
  <si>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</si>
  <si>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</si>
  <si>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</si>
  <si>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</si>
  <si>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</si>
  <si>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</si>
  <si>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</si>
  <si>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</si>
  <si>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</si>
  <si>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</si>
  <si>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</si>
  <si>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</si>
  <si>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</si>
  <si>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</si>
  <si>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</si>
  <si>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</si>
  <si>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</si>
  <si>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</si>
  <si>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</si>
  <si>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</si>
  <si>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</si>
  <si>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</si>
  <si>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</si>
  <si>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</si>
  <si>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</si>
  <si>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</si>
  <si>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</si>
  <si>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</si>
  <si>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</si>
  <si>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</si>
  <si>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</si>
  <si>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</si>
  <si>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</si>
  <si>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</si>
  <si>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</si>
  <si>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</si>
  <si>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</si>
  <si>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</si>
  <si>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</si>
  <si>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</si>
  <si>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</si>
  <si>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</si>
  <si>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</si>
  <si>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</si>
  <si>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</si>
  <si>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</si>
  <si>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</si>
  <si>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</si>
  <si>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</si>
  <si>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</si>
  <si>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</si>
  <si>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</si>
  <si>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</si>
  <si>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</si>
  <si>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</si>
  <si>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</si>
  <si>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</si>
  <si>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</si>
  <si>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</si>
  <si>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</si>
  <si>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</si>
  <si>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</si>
  <si>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</si>
  <si>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</si>
  <si>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</si>
  <si>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</si>
  <si>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</si>
  <si>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</si>
  <si>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</si>
  <si>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</si>
  <si>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</si>
  <si>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</si>
  <si>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</si>
  <si>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</si>
  <si>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</si>
  <si>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</si>
  <si>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</si>
  <si>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</si>
  <si>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</si>
  <si>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</si>
  <si>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</si>
  <si>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</si>
  <si>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</si>
  <si>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</si>
  <si>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</si>
  <si>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</si>
  <si>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</si>
  <si>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</si>
  <si>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</si>
  <si>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</si>
  <si>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</si>
  <si>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</si>
  <si>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</si>
  <si>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</si>
  <si>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</si>
  <si>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</si>
  <si>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</si>
  <si>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</si>
  <si>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</si>
  <si>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</si>
  <si>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</si>
  <si>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</si>
  <si>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</si>
  <si>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</si>
  <si>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</si>
  <si>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</si>
  <si>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</si>
  <si>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</si>
  <si>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</si>
  <si>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</si>
  <si>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</si>
  <si>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</si>
  <si>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</si>
  <si>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</si>
  <si>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</si>
  <si>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</si>
  <si>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</si>
  <si>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</si>
  <si>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</si>
  <si>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</si>
  <si>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</si>
  <si>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</si>
  <si>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</si>
  <si>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</si>
  <si>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</si>
  <si>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</si>
  <si>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</si>
  <si>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</si>
  <si>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</si>
  <si>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</si>
  <si>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</si>
  <si>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</si>
  <si>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</si>
  <si>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</si>
  <si>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</si>
  <si>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</si>
  <si>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</si>
  <si>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</si>
  <si>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</si>
  <si>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</si>
  <si>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</si>
  <si>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</si>
  <si>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</si>
  <si>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</si>
  <si>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</si>
  <si>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</si>
  <si>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</si>
  <si>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</si>
  <si>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</si>
  <si>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</si>
  <si>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</si>
  <si>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</si>
  <si>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</si>
  <si>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</si>
  <si>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</si>
  <si>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</si>
  <si>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</si>
  <si>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</si>
  <si>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</si>
  <si>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</si>
  <si>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</si>
  <si>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</si>
  <si>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</si>
  <si>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</si>
  <si>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</si>
  <si>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</si>
  <si>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</si>
  <si>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</si>
  <si>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</si>
  <si>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</si>
  <si>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</si>
  <si>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</si>
  <si>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</si>
  <si>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</si>
  <si>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</si>
  <si>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</si>
  <si>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</si>
  <si>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</si>
  <si>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</si>
  <si>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</si>
  <si>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</si>
  <si>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</si>
  <si>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</si>
  <si>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</si>
  <si>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</si>
  <si>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</si>
  <si>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</si>
  <si>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</si>
  <si>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</si>
  <si>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</si>
  <si>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</si>
  <si>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</si>
  <si>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</si>
  <si>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</si>
  <si>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</si>
  <si>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</si>
  <si>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</si>
  <si>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</si>
  <si>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</si>
  <si>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</si>
  <si>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</si>
  <si>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</si>
  <si>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</si>
  <si>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</si>
  <si>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</si>
  <si>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</si>
  <si>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</si>
  <si>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</si>
  <si>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</si>
  <si>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</si>
  <si>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</si>
  <si>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</si>
  <si>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</si>
  <si>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</si>
  <si>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</si>
  <si>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</si>
  <si>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</si>
  <si>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</si>
  <si>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</si>
  <si>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</si>
  <si>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</si>
  <si>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</si>
  <si>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</si>
  <si>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</si>
  <si>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</si>
  <si>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</si>
  <si>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</si>
  <si>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</si>
  <si>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</si>
  <si>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</si>
  <si>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</si>
  <si>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</si>
  <si>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</si>
  <si>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</si>
  <si>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</si>
  <si>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</si>
  <si>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</si>
  <si>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</si>
  <si>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</si>
  <si>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</si>
  <si>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</si>
  <si>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</si>
  <si>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</si>
  <si>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</si>
  <si>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</si>
  <si>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</si>
  <si>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</si>
  <si>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</si>
  <si>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</si>
  <si>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</si>
  <si>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</si>
  <si>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</si>
  <si>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</si>
  <si>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</si>
  <si>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</si>
  <si>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</si>
  <si>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</si>
  <si>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</si>
  <si>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</si>
  <si>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</si>
  <si>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</si>
  <si>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</si>
  <si>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</si>
  <si>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</si>
  <si>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</si>
  <si>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</si>
  <si>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</si>
  <si>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</si>
  <si>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</si>
  <si>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</si>
  <si>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</si>
  <si>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</si>
  <si>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</si>
  <si>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</si>
  <si>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</si>
  <si>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</si>
  <si>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</si>
  <si>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</si>
  <si>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</si>
  <si>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</si>
  <si>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</si>
  <si>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</si>
  <si>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</si>
  <si>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</si>
  <si>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</si>
  <si>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</si>
  <si>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</si>
  <si>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</si>
  <si>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</si>
  <si>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</si>
  <si>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</si>
  <si>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</si>
  <si>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</si>
  <si>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</si>
  <si>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</si>
  <si>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</si>
  <si>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</si>
  <si>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</si>
  <si>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</si>
  <si>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</si>
  <si>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</si>
  <si>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</si>
  <si>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</si>
  <si>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</si>
  <si>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</si>
  <si>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</si>
  <si>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</si>
  <si>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</si>
  <si>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</si>
  <si>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</si>
  <si>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</si>
  <si>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</si>
  <si>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</si>
  <si>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</si>
  <si>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</si>
  <si>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</si>
  <si>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</si>
  <si>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</si>
  <si>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</si>
  <si>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</si>
  <si>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</si>
  <si>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</si>
  <si>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</si>
  <si>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</si>
  <si>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</si>
  <si>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</si>
  <si>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</si>
  <si>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</si>
  <si>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</si>
  <si>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</si>
  <si>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</si>
  <si>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</si>
  <si>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</si>
  <si>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</si>
  <si>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</si>
  <si>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</si>
  <si>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</si>
  <si>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</si>
  <si>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</si>
  <si>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</si>
  <si>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</si>
  <si>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</si>
  <si>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</si>
  <si>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</si>
  <si>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</si>
  <si>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</si>
  <si>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</si>
  <si>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</si>
  <si>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</si>
  <si>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</si>
  <si>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</si>
  <si>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</si>
  <si>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</si>
  <si>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</si>
  <si>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</si>
  <si>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</si>
  <si>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</si>
  <si>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</si>
  <si>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</si>
  <si>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</si>
  <si>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</si>
  <si>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</si>
  <si>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</si>
  <si>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</si>
  <si>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</si>
  <si>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</si>
  <si>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</si>
  <si>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</si>
  <si>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</si>
  <si>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</si>
  <si>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</si>
  <si>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</si>
  <si>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</si>
  <si>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</si>
  <si>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</si>
  <si>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</si>
  <si>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</si>
  <si>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</si>
  <si>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</si>
  <si>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</si>
  <si>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</si>
  <si>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</si>
  <si>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</si>
  <si>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</si>
  <si>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</si>
  <si>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</si>
  <si>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</si>
  <si>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</si>
  <si>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</si>
  <si>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</si>
  <si>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</si>
  <si>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</si>
  <si>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</si>
  <si>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</si>
  <si>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</si>
  <si>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</si>
  <si>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</si>
  <si>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</si>
  <si>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</si>
  <si>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</si>
  <si>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</si>
  <si>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</si>
  <si>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</si>
  <si>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</si>
  <si>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</si>
  <si>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</si>
  <si>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</si>
  <si>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</si>
  <si>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</si>
  <si>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</si>
  <si>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</si>
  <si>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</si>
  <si>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</si>
  <si>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</si>
  <si>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</si>
  <si>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</si>
  <si>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</si>
  <si>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</si>
  <si>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</si>
  <si>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</si>
  <si>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</si>
  <si>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</si>
  <si>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</si>
  <si>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</si>
  <si>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</si>
  <si>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</si>
  <si>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</si>
  <si>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</si>
  <si>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</si>
  <si>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</si>
  <si>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</si>
  <si>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</si>
  <si>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</si>
  <si>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</si>
  <si>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</si>
  <si>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</si>
  <si>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</si>
  <si>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</si>
  <si>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</si>
  <si>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</si>
  <si>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</si>
  <si>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</si>
  <si>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</si>
  <si>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</si>
  <si>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</si>
  <si>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</si>
  <si>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</si>
  <si>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</si>
  <si>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</si>
  <si>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</si>
  <si>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</si>
  <si>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</si>
  <si>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</si>
  <si>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</si>
  <si>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</si>
  <si>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</si>
  <si>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</si>
  <si>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</si>
  <si>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</si>
  <si>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</si>
  <si>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</si>
  <si>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</si>
  <si>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</si>
  <si>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</si>
  <si>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</si>
  <si>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</si>
  <si>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</si>
  <si>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</si>
  <si>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</si>
  <si>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</si>
  <si>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</si>
  <si>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</si>
  <si>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</si>
  <si>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</si>
  <si>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</si>
  <si>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</si>
  <si>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</si>
  <si>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</si>
  <si>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</si>
  <si>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</si>
  <si>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</si>
  <si>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</si>
  <si>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</si>
  <si>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</si>
  <si>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</si>
  <si>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</si>
  <si>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</si>
  <si>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</si>
  <si>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</si>
  <si>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</si>
  <si>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</si>
  <si>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</si>
  <si>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</si>
  <si>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</si>
  <si>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</si>
  <si>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</si>
  <si>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</si>
  <si>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</si>
  <si>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</si>
  <si>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</si>
  <si>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</si>
  <si>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</si>
  <si>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</si>
  <si>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</si>
  <si>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</si>
  <si>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</si>
  <si>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</si>
  <si>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</si>
  <si>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</si>
  <si>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</si>
  <si>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</si>
  <si>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</si>
  <si>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</si>
  <si>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</si>
  <si>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</si>
  <si>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</si>
  <si>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</si>
  <si>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</si>
  <si>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</si>
  <si>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</si>
  <si>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</si>
  <si>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</si>
  <si>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</si>
  <si>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</si>
  <si>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</si>
  <si>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</si>
  <si>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</si>
  <si>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</si>
  <si>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</si>
  <si>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</si>
  <si>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</si>
  <si>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</si>
  <si>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</si>
  <si>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</si>
  <si>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</si>
  <si>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</si>
  <si>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</si>
  <si>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</si>
  <si>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</si>
  <si>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</si>
  <si>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</si>
  <si>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</si>
  <si>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</si>
  <si>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</si>
  <si>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</si>
  <si>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</si>
  <si>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</si>
  <si>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</si>
  <si>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</si>
  <si>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</si>
  <si>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</si>
  <si>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</si>
  <si>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</si>
  <si>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</si>
  <si>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</si>
  <si>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</si>
  <si>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</si>
  <si>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</si>
  <si>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</si>
  <si>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</si>
  <si>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</si>
  <si>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</si>
  <si>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</si>
  <si>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</si>
  <si>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</si>
  <si>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</si>
  <si>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</si>
  <si>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</si>
  <si>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</si>
  <si>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</si>
  <si>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</si>
  <si>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</si>
  <si>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</si>
  <si>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</si>
  <si>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</si>
  <si>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</si>
  <si>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</si>
  <si>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</si>
  <si>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</si>
  <si>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</si>
  <si>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</si>
  <si>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</si>
  <si>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</si>
  <si>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</si>
  <si>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</si>
  <si>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</si>
  <si>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</si>
  <si>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</si>
  <si>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</si>
  <si>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</si>
  <si>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</si>
  <si>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</si>
  <si>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</si>
  <si>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</si>
  <si>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</si>
  <si>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</si>
  <si>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</si>
  <si>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</si>
  <si>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</si>
  <si>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</si>
  <si>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</si>
  <si>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</si>
  <si>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</si>
  <si>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</si>
  <si>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</si>
  <si>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</si>
  <si>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</si>
  <si>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</si>
  <si>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</si>
  <si>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</si>
  <si>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</si>
  <si>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</si>
  <si>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</si>
  <si>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</si>
  <si>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</si>
  <si>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</si>
  <si>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</si>
  <si>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</si>
  <si>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</si>
  <si>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</si>
  <si>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</si>
  <si>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</si>
  <si>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</si>
  <si>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</si>
  <si>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</si>
  <si>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</si>
  <si>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</si>
  <si>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</si>
  <si>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</si>
  <si>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</si>
  <si>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</si>
  <si>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</si>
  <si>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</si>
  <si>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</si>
  <si>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</si>
  <si>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</si>
  <si>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</si>
  <si>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</si>
  <si>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</si>
  <si>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</si>
  <si>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</si>
  <si>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</si>
  <si>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</si>
  <si>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</si>
  <si>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</si>
  <si>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</si>
  <si>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</si>
  <si>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</si>
  <si>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</si>
  <si>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</si>
  <si>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</si>
  <si>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</si>
  <si>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</si>
  <si>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</si>
  <si>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</si>
  <si>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</si>
  <si>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</si>
  <si>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</si>
  <si>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</si>
  <si>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</si>
  <si>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</si>
  <si>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</si>
  <si>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</si>
  <si>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</si>
  <si>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</si>
  <si>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</si>
  <si>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</si>
  <si>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</si>
  <si>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</si>
  <si>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</si>
  <si>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</si>
  <si>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</si>
  <si>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</si>
  <si>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</si>
  <si>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</si>
  <si>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</si>
  <si>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</si>
  <si>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</si>
  <si>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</si>
  <si>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</si>
  <si>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</si>
  <si>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</si>
  <si>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</si>
  <si>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</si>
  <si>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</si>
  <si>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</si>
  <si>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</si>
  <si>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</si>
  <si>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</si>
  <si>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</si>
  <si>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</si>
  <si>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</si>
  <si>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</si>
  <si>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</si>
  <si>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</si>
  <si>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</si>
  <si>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</si>
  <si>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</si>
  <si>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</si>
  <si>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</si>
  <si>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</si>
  <si>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</si>
  <si>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</si>
  <si>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</si>
  <si>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</si>
  <si>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</si>
  <si>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</si>
  <si>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</si>
  <si>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</si>
  <si>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</si>
  <si>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</si>
  <si>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</si>
  <si>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</si>
  <si>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</si>
  <si>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</si>
  <si>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</si>
  <si>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</si>
  <si>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</si>
  <si>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</si>
  <si>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</si>
  <si>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</si>
  <si>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</si>
  <si>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</si>
  <si>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</si>
  <si>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</si>
  <si>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</si>
  <si>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</si>
  <si>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</si>
  <si>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</si>
  <si>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</si>
  <si>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</si>
  <si>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</si>
  <si>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</si>
  <si>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</si>
  <si>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</si>
  <si>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</si>
  <si>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</si>
  <si>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</si>
  <si>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</si>
  <si>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</si>
  <si>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</si>
  <si>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</si>
  <si>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</si>
  <si>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</si>
  <si>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</si>
  <si>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</si>
  <si>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</si>
  <si>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</si>
  <si>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</si>
  <si>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</si>
  <si>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</si>
  <si>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</si>
  <si>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</si>
  <si>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</si>
  <si>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</si>
  <si>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</si>
  <si>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</si>
  <si>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</si>
  <si>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</si>
  <si>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</si>
  <si>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</si>
  <si>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</si>
  <si>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</si>
  <si>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</si>
  <si>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</si>
  <si>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</si>
  <si>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</si>
  <si>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</si>
  <si>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</si>
  <si>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</si>
  <si>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</si>
  <si>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</si>
  <si>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</si>
  <si>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</si>
  <si>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</si>
  <si>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</si>
  <si>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</si>
  <si>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</si>
  <si>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</si>
  <si>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</si>
  <si>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</si>
  <si>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</si>
  <si>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</si>
  <si>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</si>
  <si>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</si>
  <si>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</si>
  <si>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</si>
  <si>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</si>
  <si>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</si>
  <si>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</si>
  <si>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</si>
  <si>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</si>
  <si>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</si>
  <si>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</si>
  <si>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</si>
  <si>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</si>
  <si>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</si>
  <si>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</si>
  <si>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</si>
  <si>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</si>
  <si>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</si>
  <si>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</si>
  <si>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</si>
  <si>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</si>
  <si>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</si>
  <si>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</si>
  <si>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</si>
  <si>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</si>
  <si>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</si>
  <si>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</si>
  <si>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</si>
  <si>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</si>
  <si>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</si>
  <si>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</si>
  <si>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</si>
  <si>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</si>
  <si>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</si>
  <si>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</si>
  <si>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</si>
  <si>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</si>
  <si>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</si>
  <si>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</si>
  <si>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</si>
  <si>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</si>
  <si>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</si>
  <si>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</si>
  <si>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</si>
  <si>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</si>
  <si>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</si>
  <si>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</si>
  <si>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</si>
  <si>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</si>
  <si>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</si>
  <si>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</si>
  <si>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</si>
  <si>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</si>
  <si>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</si>
  <si>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</si>
  <si>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</si>
  <si>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</si>
  <si>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</si>
  <si>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</si>
  <si>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</si>
  <si>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</si>
  <si>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</si>
  <si>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</si>
  <si>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</si>
  <si>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</si>
  <si>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</si>
  <si>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</si>
  <si>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</si>
  <si>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</si>
  <si>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</si>
  <si>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</si>
  <si>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</si>
  <si>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</si>
  <si>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</si>
  <si>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</si>
  <si>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</si>
  <si>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</si>
  <si>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</si>
  <si>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</si>
  <si>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</si>
  <si>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</si>
  <si>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</si>
  <si>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</si>
  <si>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</si>
  <si>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</si>
  <si>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</si>
  <si>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</si>
  <si>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</si>
  <si>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</si>
  <si>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</si>
  <si>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</si>
  <si>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</si>
  <si>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</si>
  <si>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</si>
  <si>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</si>
  <si>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</si>
  <si>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</si>
  <si>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</si>
  <si>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</si>
  <si>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</si>
  <si>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</si>
  <si>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</si>
  <si>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</si>
  <si>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</si>
  <si>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</si>
  <si>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</si>
  <si>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</si>
  <si>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</si>
  <si>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</si>
  <si>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</si>
  <si>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</si>
  <si>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</si>
  <si>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</si>
  <si>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</si>
  <si>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</si>
  <si>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</si>
  <si>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</si>
  <si>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</si>
  <si>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</si>
  <si>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</si>
  <si>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</si>
  <si>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</si>
  <si>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</si>
  <si>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</si>
  <si>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</si>
  <si>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</si>
  <si>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</si>
  <si>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</si>
  <si>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</si>
  <si>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</si>
  <si>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</si>
  <si>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</si>
  <si>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</si>
  <si>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</si>
  <si>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</si>
  <si>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</si>
  <si>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</si>
  <si>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</si>
  <si>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</si>
  <si>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</si>
  <si>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</si>
  <si>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</si>
  <si>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</si>
  <si>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</si>
  <si>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</si>
  <si>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</si>
  <si>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</si>
  <si>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</si>
  <si>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</si>
  <si>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</si>
  <si>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</si>
  <si>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</si>
  <si>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</si>
  <si>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</si>
  <si>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</si>
  <si>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</si>
  <si>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</si>
  <si>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</si>
  <si>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</si>
  <si>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</si>
  <si>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</si>
  <si>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</si>
  <si>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</si>
  <si>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</si>
  <si>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</si>
  <si>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</si>
  <si>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</si>
  <si>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</si>
  <si>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</si>
  <si>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</si>
  <si>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</si>
  <si>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</si>
  <si>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</si>
  <si>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</si>
  <si>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</si>
  <si>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</si>
  <si>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</si>
  <si>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</si>
  <si>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</si>
  <si>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</si>
  <si>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</si>
  <si>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</si>
  <si>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</si>
  <si>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</si>
  <si>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</si>
  <si>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</si>
  <si>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</si>
  <si>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</si>
  <si>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</si>
  <si>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</si>
  <si>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</si>
  <si>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</si>
  <si>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</si>
  <si>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</si>
  <si>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</si>
  <si>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</si>
  <si>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</si>
  <si>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</si>
  <si>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</si>
  <si>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</si>
  <si>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</si>
  <si>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</si>
  <si>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</si>
  <si>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</si>
  <si>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</si>
  <si>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</si>
  <si>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</si>
  <si>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</si>
  <si>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</si>
  <si>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</si>
  <si>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</si>
  <si>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</si>
  <si>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</si>
  <si>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</si>
  <si>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</si>
  <si>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</si>
  <si>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</si>
  <si>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</si>
  <si>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</si>
  <si>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</si>
  <si>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</si>
  <si>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</si>
  <si>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</si>
  <si>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</si>
  <si>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</si>
  <si>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</si>
  <si>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</si>
  <si>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</si>
  <si>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</si>
  <si>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</si>
  <si>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</si>
  <si>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</si>
  <si>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</si>
  <si>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</si>
  <si>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</si>
  <si>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</si>
  <si>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</si>
  <si>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</si>
  <si>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</si>
  <si>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</si>
  <si>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</si>
  <si>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</si>
  <si>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</si>
  <si>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</si>
  <si>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</si>
  <si>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</si>
  <si>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</si>
  <si>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</si>
  <si>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</si>
  <si>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</si>
  <si>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</si>
  <si>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</si>
  <si>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</si>
  <si>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</si>
  <si>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</si>
  <si>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</si>
  <si>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</si>
  <si>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</si>
  <si>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</si>
  <si>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</si>
  <si>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</si>
  <si>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</si>
  <si>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</si>
  <si>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</si>
  <si>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</si>
  <si>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</si>
  <si>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</si>
  <si>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</si>
  <si>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</si>
  <si>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</si>
  <si>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</si>
  <si>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</si>
  <si>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</si>
  <si>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</si>
  <si>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</si>
  <si>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</si>
  <si>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</si>
  <si>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</si>
  <si>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</si>
  <si>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</si>
  <si>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</si>
  <si>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</si>
  <si>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</si>
  <si>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</si>
  <si>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</si>
  <si>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</si>
  <si>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</si>
  <si>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</si>
  <si>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</si>
  <si>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</si>
  <si>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</si>
  <si>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</si>
  <si>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</si>
  <si>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</si>
  <si>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</si>
  <si>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</si>
  <si>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</si>
  <si>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</si>
  <si>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</si>
  <si>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</si>
  <si>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</si>
  <si>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</si>
  <si>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</si>
  <si>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</si>
  <si>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</si>
  <si>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</si>
  <si>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</si>
  <si>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</si>
  <si>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</si>
  <si>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</si>
  <si>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</si>
  <si>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</si>
  <si>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</si>
  <si>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</si>
  <si>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</si>
  <si>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</si>
  <si>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</si>
  <si>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</si>
  <si>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</si>
  <si>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</si>
  <si>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</si>
  <si>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</si>
  <si>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</si>
  <si>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</si>
  <si>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</si>
  <si>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</si>
  <si>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</si>
  <si>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</si>
  <si>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</si>
  <si>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</si>
  <si>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</si>
  <si>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</si>
  <si>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</si>
  <si>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</si>
  <si>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</si>
  <si>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</si>
  <si>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</si>
  <si>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</si>
  <si>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</si>
  <si>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</si>
  <si>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</si>
  <si>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</si>
  <si>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</si>
  <si>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</si>
  <si>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</si>
  <si>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</si>
  <si>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</si>
  <si>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</si>
  <si>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</si>
  <si>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</si>
  <si>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</si>
  <si>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</si>
  <si>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</si>
  <si>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</si>
  <si>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</si>
  <si>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</si>
  <si>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</si>
  <si>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</si>
  <si>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</si>
  <si>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</si>
  <si>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</si>
  <si>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</si>
  <si>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</si>
  <si>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</si>
  <si>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</si>
  <si>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</si>
  <si>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</si>
  <si>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</si>
  <si>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</si>
  <si>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</si>
  <si>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</si>
  <si>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</si>
  <si>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</si>
  <si>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</si>
  <si>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</si>
  <si>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</si>
  <si>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</si>
  <si>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</si>
  <si>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</si>
  <si>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</si>
  <si>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</si>
  <si>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</si>
  <si>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</si>
  <si>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</si>
  <si>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</si>
  <si>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</si>
  <si>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</si>
  <si>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</si>
  <si>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</si>
  <si>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</si>
  <si>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</si>
  <si>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</si>
  <si>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</si>
  <si>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</si>
  <si>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</si>
  <si>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</si>
  <si>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</si>
  <si>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</si>
  <si>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</si>
  <si>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</si>
  <si>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</si>
  <si>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</si>
  <si>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</si>
  <si>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</si>
  <si>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</si>
  <si>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</si>
  <si>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</si>
  <si>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</si>
  <si>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</si>
  <si>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</si>
  <si>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</si>
  <si>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</si>
  <si>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</si>
  <si>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</si>
  <si>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</si>
  <si>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</si>
  <si>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</si>
  <si>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</si>
  <si>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</si>
  <si>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</si>
  <si>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</si>
  <si>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</si>
  <si>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</si>
  <si>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</si>
  <si>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</si>
  <si>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</si>
  <si>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</si>
  <si>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</si>
  <si>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</si>
  <si>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</si>
  <si>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</si>
  <si>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</si>
  <si>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</si>
  <si>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</si>
  <si>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</si>
  <si>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</si>
  <si>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</si>
  <si>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</si>
  <si>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</si>
  <si>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</si>
  <si>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</si>
  <si>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</si>
  <si>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</si>
  <si>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</si>
  <si>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</si>
  <si>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</si>
  <si>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</si>
  <si>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</si>
  <si>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</si>
  <si>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</si>
  <si>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</si>
  <si>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</si>
  <si>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</si>
  <si>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</si>
  <si>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</si>
  <si>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</si>
  <si>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</si>
  <si>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</si>
  <si>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</si>
  <si>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</si>
  <si>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</si>
  <si>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</si>
  <si>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</si>
  <si>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</si>
  <si>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</si>
  <si>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</si>
  <si>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</si>
  <si>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</si>
  <si>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</si>
  <si>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</si>
  <si>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</si>
  <si>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</si>
  <si>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</si>
  <si>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</si>
  <si>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</si>
  <si>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</si>
  <si>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</si>
  <si>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</si>
  <si>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</si>
  <si>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</si>
  <si>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</si>
  <si>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</si>
  <si>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</si>
  <si>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</si>
  <si>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</si>
  <si>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</si>
  <si>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</si>
  <si>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</si>
  <si>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</si>
  <si>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</si>
  <si>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</si>
  <si>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</si>
  <si>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</si>
  <si>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</si>
  <si>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</si>
  <si>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</si>
  <si>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</si>
  <si>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</si>
  <si>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</si>
  <si>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</si>
  <si>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</si>
  <si>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</si>
  <si>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</si>
  <si>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</si>
  <si>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</si>
  <si>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</si>
  <si>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</si>
  <si>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</si>
  <si>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</si>
  <si>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</si>
  <si>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</si>
  <si>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</si>
  <si>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</si>
  <si>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</si>
  <si>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</si>
  <si>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</si>
  <si>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</si>
  <si>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</si>
  <si>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</si>
  <si>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</si>
  <si>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</si>
  <si>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</si>
  <si>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</si>
  <si>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</si>
  <si>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</si>
  <si>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</si>
  <si>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</si>
  <si>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</si>
  <si>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</si>
  <si>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</si>
  <si>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</si>
  <si>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</si>
  <si>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</si>
  <si>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</si>
  <si>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</si>
  <si>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</si>
  <si>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</si>
  <si>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</si>
  <si>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</si>
  <si>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</si>
  <si>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</si>
  <si>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</si>
  <si>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</si>
  <si>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</si>
  <si>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</si>
  <si>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</si>
  <si>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</si>
  <si>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</si>
  <si>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</si>
  <si>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</si>
  <si>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</si>
  <si>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</si>
  <si>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</si>
  <si>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</si>
  <si>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</si>
  <si>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</si>
  <si>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</si>
  <si>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</si>
  <si>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</si>
  <si>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</si>
  <si>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</si>
  <si>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</si>
  <si>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</si>
  <si>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</si>
  <si>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</si>
  <si>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</si>
  <si>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</si>
  <si>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</si>
  <si>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</si>
  <si>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</si>
  <si>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</si>
  <si>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</si>
  <si>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</si>
  <si>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</si>
  <si>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</si>
  <si>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</si>
  <si>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</si>
  <si>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</si>
  <si>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</si>
  <si>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</si>
  <si>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</si>
  <si>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</si>
  <si>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</si>
  <si>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</si>
  <si>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</si>
  <si>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</si>
  <si>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</si>
  <si>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</si>
  <si>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</si>
  <si>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</si>
  <si>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</si>
  <si>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</si>
  <si>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</si>
  <si>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</si>
  <si>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</si>
  <si>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</si>
  <si>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</si>
  <si>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</si>
  <si>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</si>
  <si>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</si>
  <si>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</si>
  <si>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</si>
  <si>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</si>
  <si>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</si>
  <si>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</si>
  <si>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</si>
  <si>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</si>
  <si>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</si>
  <si>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</si>
  <si>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</si>
  <si>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</si>
  <si>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</si>
  <si>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</si>
  <si>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</si>
  <si>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</si>
  <si>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</si>
  <si>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</si>
  <si>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</si>
  <si>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</si>
  <si>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</si>
  <si>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</si>
  <si>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</si>
  <si>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</si>
  <si>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</si>
  <si>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</si>
  <si>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</si>
  <si>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</si>
  <si>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</si>
  <si>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</si>
  <si>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</si>
  <si>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</si>
  <si>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</si>
  <si>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</si>
  <si>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</si>
  <si>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</si>
  <si>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</si>
  <si>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</si>
  <si>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</si>
  <si>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</si>
  <si>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</si>
  <si>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</si>
  <si>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</si>
  <si>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</si>
  <si>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</si>
  <si>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</si>
  <si>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</si>
  <si>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</si>
  <si>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</si>
  <si>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</si>
  <si>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</si>
  <si>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</si>
  <si>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</si>
  <si>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</si>
  <si>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</si>
  <si>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</si>
  <si>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</si>
  <si>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</si>
  <si>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</si>
  <si>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</si>
  <si>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</si>
  <si>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</si>
  <si>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</si>
  <si>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</si>
  <si>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</si>
  <si>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</si>
  <si>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</si>
  <si>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</si>
  <si>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</si>
  <si>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</si>
  <si>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</si>
  <si>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</si>
  <si>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</si>
  <si>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</si>
  <si>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</si>
  <si>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</si>
  <si>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</si>
  <si>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</si>
  <si>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</si>
  <si>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</si>
  <si>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</si>
  <si>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</si>
  <si>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</si>
  <si>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</si>
  <si>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</si>
  <si>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</si>
  <si>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</si>
  <si>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</si>
  <si>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</si>
  <si>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</si>
  <si>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</si>
  <si>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</si>
  <si>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</si>
  <si>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</si>
  <si>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</si>
  <si>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</si>
  <si>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</si>
  <si>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</si>
  <si>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</si>
  <si>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</si>
  <si>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</si>
  <si>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</si>
  <si>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</si>
  <si>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</si>
  <si>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</si>
  <si>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</si>
  <si>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</si>
  <si>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</si>
  <si>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</si>
  <si>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</si>
  <si>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</si>
  <si>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</si>
  <si>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</si>
  <si>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</si>
  <si>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</si>
  <si>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</si>
  <si>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</si>
  <si>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</si>
  <si>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</si>
  <si>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</si>
  <si>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</si>
  <si>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</si>
  <si>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</si>
  <si>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</si>
  <si>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</si>
  <si>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</si>
  <si>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</si>
  <si>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</si>
  <si>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</si>
  <si>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</si>
  <si>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</si>
  <si>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</si>
  <si>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</si>
  <si>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</si>
  <si>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</si>
  <si>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</si>
  <si>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</si>
  <si>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</si>
  <si>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</si>
  <si>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</si>
  <si>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</si>
  <si>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</si>
  <si>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</si>
  <si>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</si>
  <si>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</si>
  <si>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</si>
  <si>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</si>
  <si>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</si>
  <si>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</si>
  <si>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</si>
  <si>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</si>
  <si>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</si>
  <si>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</si>
  <si>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</si>
  <si>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</si>
  <si>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</si>
  <si>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</si>
  <si>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</si>
  <si>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</si>
  <si>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</si>
  <si>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</si>
  <si>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</si>
  <si>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</si>
  <si>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</si>
  <si>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</si>
  <si>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</si>
  <si>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</si>
  <si>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</si>
  <si>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</si>
  <si>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</si>
  <si>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</si>
  <si>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</si>
  <si>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</si>
  <si>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</si>
  <si>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</si>
  <si>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</si>
  <si>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</si>
  <si>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</si>
  <si>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</si>
  <si>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</si>
  <si>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</si>
  <si>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</si>
  <si>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</si>
  <si>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</si>
  <si>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</si>
  <si>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</si>
  <si>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</si>
  <si>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</si>
  <si>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</si>
  <si>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</si>
  <si>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</si>
  <si>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</si>
  <si>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</si>
  <si>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</si>
  <si>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</si>
  <si>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</si>
  <si>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</si>
  <si>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</si>
  <si>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</si>
  <si>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</si>
  <si>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</si>
  <si>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</si>
  <si>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</si>
  <si>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</si>
  <si>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</si>
  <si>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</si>
  <si>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</si>
  <si>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</si>
  <si>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</si>
  <si>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</si>
  <si>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</si>
  <si>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</si>
  <si>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</si>
  <si>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</si>
  <si>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</si>
  <si>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</si>
  <si>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</si>
  <si>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</si>
  <si>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</si>
  <si>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</si>
  <si>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</si>
  <si>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</si>
  <si>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</si>
  <si>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</si>
  <si>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</si>
  <si>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</si>
  <si>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</si>
  <si>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</si>
  <si>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</si>
  <si>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</si>
  <si>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</si>
  <si>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</si>
  <si>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</si>
  <si>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</si>
  <si>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</si>
  <si>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</si>
  <si>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</si>
  <si>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</si>
  <si>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</si>
  <si>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</si>
  <si>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</si>
  <si>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</si>
  <si>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</si>
  <si>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</si>
  <si>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</si>
  <si>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</si>
  <si>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</si>
  <si>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</si>
  <si>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</si>
  <si>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</si>
  <si>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</si>
  <si>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</si>
  <si>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</si>
  <si>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</si>
  <si>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</si>
  <si>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</si>
  <si>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</si>
  <si>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</si>
  <si>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</si>
  <si>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</si>
  <si>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</si>
  <si>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</si>
  <si>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</si>
  <si>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</si>
  <si>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</si>
  <si>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</si>
  <si>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</si>
  <si>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</si>
  <si>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</si>
  <si>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</si>
  <si>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</si>
  <si>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</si>
  <si>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</si>
  <si>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</si>
  <si>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</si>
  <si>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</si>
  <si>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</si>
  <si>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</si>
  <si>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</si>
  <si>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</si>
  <si>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</si>
  <si>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</si>
  <si>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</si>
  <si>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</si>
  <si>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</si>
  <si>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</si>
  <si>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</si>
  <si>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</si>
  <si>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</si>
  <si>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</si>
  <si>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</si>
  <si>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</si>
  <si>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</si>
  <si>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</si>
  <si>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</si>
  <si>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</si>
  <si>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</si>
  <si>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</si>
  <si>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</si>
  <si>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</si>
  <si>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</si>
  <si>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</si>
  <si>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</si>
  <si>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</si>
  <si>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</si>
  <si>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</si>
  <si>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</si>
  <si>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</si>
  <si>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</si>
  <si>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</si>
  <si>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</si>
  <si>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</si>
  <si>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</si>
  <si>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</si>
  <si>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</si>
  <si>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</si>
  <si>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</si>
  <si>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</si>
  <si>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</si>
  <si>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</si>
  <si>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</si>
  <si>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</si>
  <si>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</si>
  <si>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</si>
  <si>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</si>
  <si>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</si>
  <si>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</si>
  <si>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</si>
  <si>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</si>
  <si>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</si>
  <si>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</si>
  <si>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</si>
  <si>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</si>
  <si>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</si>
  <si>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</si>
  <si>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</si>
  <si>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</si>
  <si>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</si>
  <si>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</si>
  <si>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</si>
  <si>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</si>
  <si>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</si>
  <si>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</si>
  <si>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</si>
  <si>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</si>
  <si>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</si>
  <si>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</si>
  <si>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</si>
  <si>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</si>
  <si>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</si>
  <si>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</si>
  <si>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</si>
  <si>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</si>
  <si>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</si>
  <si>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</si>
  <si>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</si>
  <si>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</si>
  <si>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</si>
  <si>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</si>
  <si>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</si>
  <si>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</si>
  <si>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</si>
  <si>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</si>
  <si>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</si>
  <si>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</si>
  <si>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</si>
  <si>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</si>
  <si>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</si>
  <si>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</si>
  <si>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</si>
  <si>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</si>
  <si>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</si>
  <si>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</si>
  <si>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</si>
  <si>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</si>
  <si>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</si>
  <si>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</si>
  <si>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</si>
  <si>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</si>
  <si>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</si>
  <si>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</si>
  <si>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</si>
  <si>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</si>
  <si>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</si>
  <si>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</si>
  <si>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</si>
  <si>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</si>
  <si>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</si>
  <si>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</si>
  <si>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</si>
  <si>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</si>
  <si>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</si>
  <si>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</si>
  <si>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</si>
  <si>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</si>
  <si>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</si>
  <si>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</si>
  <si>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</si>
  <si>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</si>
  <si>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</si>
  <si>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</si>
  <si>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</si>
  <si>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</si>
  <si>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</si>
  <si>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</si>
  <si>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</si>
  <si>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</si>
  <si>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</si>
  <si>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</si>
  <si>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</si>
  <si>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</si>
  <si>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</si>
  <si>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</si>
  <si>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</si>
  <si>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</si>
  <si>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</si>
  <si>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</si>
  <si>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</si>
  <si>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</si>
  <si>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</si>
  <si>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</si>
  <si>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</si>
  <si>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</si>
  <si>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</si>
  <si>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</si>
  <si>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</si>
  <si>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</si>
  <si>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</si>
  <si>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</si>
  <si>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</si>
  <si>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</si>
  <si>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</si>
  <si>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</si>
  <si>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</si>
  <si>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</si>
  <si>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</si>
  <si>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</si>
  <si>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</si>
  <si>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</si>
  <si>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</si>
  <si>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</si>
  <si>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</si>
  <si>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</si>
  <si>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</si>
  <si>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</si>
  <si>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</si>
  <si>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</si>
  <si>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</si>
  <si>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</si>
  <si>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</si>
  <si>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</si>
  <si>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</si>
  <si>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</si>
  <si>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</si>
  <si>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</si>
  <si>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</si>
  <si>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</si>
  <si>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</si>
  <si>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</si>
  <si>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</si>
  <si>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</si>
  <si>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</si>
  <si>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</si>
  <si>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</si>
  <si>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</si>
  <si>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</si>
  <si>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</si>
  <si>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</si>
  <si>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</si>
  <si>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</si>
  <si>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</si>
  <si>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</si>
  <si>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</si>
  <si>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</si>
  <si>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</si>
  <si>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</si>
  <si>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</si>
  <si>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</si>
  <si>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</si>
  <si>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</si>
  <si>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</si>
  <si>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</si>
  <si>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</si>
  <si>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</si>
  <si>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</si>
  <si>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</si>
  <si>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</si>
  <si>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</si>
  <si>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</si>
  <si>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</si>
  <si>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</si>
  <si>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</si>
  <si>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</si>
  <si>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</si>
  <si>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</si>
  <si>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</si>
  <si>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</si>
  <si>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</si>
  <si>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Ⅸ-雁栖开发区A</t>
  </si>
  <si>
    <t>地上</t>
  </si>
  <si>
    <t>是</t>
  </si>
  <si>
    <t>办公楼</t>
  </si>
  <si>
    <t>标准厂房</t>
  </si>
  <si>
    <t>厂房</t>
  </si>
  <si>
    <t>厂房</t>
    <phoneticPr fontId="7" type="noConversion"/>
  </si>
  <si>
    <t>办公楼</t>
    <phoneticPr fontId="7" type="noConversion"/>
  </si>
  <si>
    <t>成新度</t>
  </si>
  <si>
    <t>直线</t>
    <phoneticPr fontId="3" type="noConversion"/>
  </si>
  <si>
    <t>观察</t>
    <phoneticPr fontId="3" type="noConversion"/>
  </si>
  <si>
    <t>收益法厂房</t>
  </si>
  <si>
    <t>收益法厂房</t>
    <phoneticPr fontId="16" type="noConversion"/>
  </si>
  <si>
    <t>收益法办公</t>
  </si>
  <si>
    <t>收益法办公</t>
    <phoneticPr fontId="16" type="noConversion"/>
  </si>
  <si>
    <t>押一</t>
  </si>
  <si>
    <t>钢混</t>
  </si>
  <si>
    <t>生产用房</t>
  </si>
  <si>
    <t>否</t>
  </si>
  <si>
    <t>非生产用房</t>
  </si>
  <si>
    <t>成本法</t>
  </si>
  <si>
    <t>收益法（汇总）</t>
  </si>
  <si>
    <t>自定义容积率</t>
  </si>
  <si>
    <t>不临65条商业街</t>
  </si>
  <si>
    <t>与级别开发程度不一致</t>
  </si>
  <si>
    <t>通电</t>
  </si>
  <si>
    <t>通路</t>
  </si>
  <si>
    <t>通讯</t>
  </si>
  <si>
    <t>通上水</t>
  </si>
  <si>
    <t>通下水</t>
  </si>
  <si>
    <t>通热</t>
  </si>
  <si>
    <t>平整</t>
  </si>
  <si>
    <t>较好</t>
  </si>
  <si>
    <t>一般</t>
  </si>
  <si>
    <t>好</t>
  </si>
  <si>
    <t>未包含在土地购买价格中</t>
  </si>
  <si>
    <t>全部缴纳</t>
  </si>
  <si>
    <t>已包含在土地取得成本中</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</si>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</sst>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10" fontId="44" fillId="22" borderId="61" xfId="0" applyNumberFormat="1" applyFont="1" applyFill="1" applyBorder="1" applyAlignment="1" applyProtection="1">
      <alignment horizontal="center" vertical="center"/>
      <protection locked="0"/>
    </xf>
    <xf numFmtId="0" fontId="271" fillId="12" borderId="0" xfId="0" applyFont="1" applyFill="1" applyProtection="1">
      <alignment vertical="center"/>
      <protection locked="0"/>
    </xf>
    <xf numFmtId="0" fontId="47" fillId="5" borderId="176" xfId="0"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152400</xdr:rowOff>
    </xdr:from>
    <xdr:to>
      <xdr:col>14</xdr:col>
      <xdr:colOff>560755</xdr:colOff>
      <xdr:row>12</xdr:row>
      <xdr:rowOff>18831</xdr:rowOff>
    </xdr:to>
    <xdr:pic>
      <xdr:nvPicPr>
        <xdr:cNvPr id="2" name="图片 1">
          <a:extLst>
            <a:ext uri="{FF2B5EF4-FFF2-40B4-BE49-F238E27FC236}">
              <a16:creationId xmlns:a16="http://schemas.microsoft.com/office/drawing/2014/main" xmlns="" id="{BE5EFB29-0911-9AE3-5EBD-1CA71E16C27E}"/>
            </a:ext>
          </a:extLst>
        </xdr:cNvPr>
        <xdr:cNvPicPr>
          <a:picLocks noChangeAspect="1"/>
        </xdr:cNvPicPr>
      </xdr:nvPicPr>
      <xdr:blipFill>
        <a:blip xmlns:r="http://schemas.openxmlformats.org/officeDocument/2006/relationships" r:embed="rId1"/>
        <a:stretch>
          <a:fillRect/>
        </a:stretch>
      </xdr:blipFill>
      <xdr:spPr>
        <a:xfrm>
          <a:off x="400050" y="323850"/>
          <a:ext cx="9761905" cy="1752381"/>
        </a:xfrm>
        <a:prstGeom prst="rect">
          <a:avLst/>
        </a:prstGeom>
      </xdr:spPr>
    </xdr:pic>
    <xdr:clientData/>
  </xdr:twoCellAnchor>
  <xdr:twoCellAnchor editAs="oneCell">
    <xdr:from>
      <xdr:col>0</xdr:col>
      <xdr:colOff>438150</xdr:colOff>
      <xdr:row>13</xdr:row>
      <xdr:rowOff>95250</xdr:rowOff>
    </xdr:from>
    <xdr:to>
      <xdr:col>14</xdr:col>
      <xdr:colOff>408378</xdr:colOff>
      <xdr:row>22</xdr:row>
      <xdr:rowOff>161724</xdr:rowOff>
    </xdr:to>
    <xdr:pic>
      <xdr:nvPicPr>
        <xdr:cNvPr id="3" name="图片 2">
          <a:extLst>
            <a:ext uri="{FF2B5EF4-FFF2-40B4-BE49-F238E27FC236}">
              <a16:creationId xmlns:a16="http://schemas.microsoft.com/office/drawing/2014/main" xmlns="" id="{0F2A9361-A40A-9616-2995-58CFC34165BA}"/>
            </a:ext>
          </a:extLst>
        </xdr:cNvPr>
        <xdr:cNvPicPr>
          <a:picLocks noChangeAspect="1"/>
        </xdr:cNvPicPr>
      </xdr:nvPicPr>
      <xdr:blipFill>
        <a:blip xmlns:r="http://schemas.openxmlformats.org/officeDocument/2006/relationships" r:embed="rId2"/>
        <a:stretch>
          <a:fillRect/>
        </a:stretch>
      </xdr:blipFill>
      <xdr:spPr>
        <a:xfrm>
          <a:off x="438150" y="2324100"/>
          <a:ext cx="9571428" cy="1609524"/>
        </a:xfrm>
        <a:prstGeom prst="rect">
          <a:avLst/>
        </a:prstGeom>
      </xdr:spPr>
    </xdr:pic>
    <xdr:clientData/>
  </xdr:twoCellAnchor>
  <xdr:twoCellAnchor editAs="oneCell">
    <xdr:from>
      <xdr:col>0</xdr:col>
      <xdr:colOff>352425</xdr:colOff>
      <xdr:row>24</xdr:row>
      <xdr:rowOff>19050</xdr:rowOff>
    </xdr:from>
    <xdr:to>
      <xdr:col>14</xdr:col>
      <xdr:colOff>236939</xdr:colOff>
      <xdr:row>33</xdr:row>
      <xdr:rowOff>47429</xdr:rowOff>
    </xdr:to>
    <xdr:pic>
      <xdr:nvPicPr>
        <xdr:cNvPr id="4" name="图片 3">
          <a:extLst>
            <a:ext uri="{FF2B5EF4-FFF2-40B4-BE49-F238E27FC236}">
              <a16:creationId xmlns:a16="http://schemas.microsoft.com/office/drawing/2014/main" xmlns="" id="{750E1E3D-F98C-407A-A2A4-B0F0A2085288}"/>
            </a:ext>
          </a:extLst>
        </xdr:cNvPr>
        <xdr:cNvPicPr>
          <a:picLocks noChangeAspect="1"/>
        </xdr:cNvPicPr>
      </xdr:nvPicPr>
      <xdr:blipFill>
        <a:blip xmlns:r="http://schemas.openxmlformats.org/officeDocument/2006/relationships" r:embed="rId3"/>
        <a:stretch>
          <a:fillRect/>
        </a:stretch>
      </xdr:blipFill>
      <xdr:spPr>
        <a:xfrm>
          <a:off x="352425" y="4133850"/>
          <a:ext cx="9485714" cy="1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1</xdr:row>
      <xdr:rowOff>19050</xdr:rowOff>
    </xdr:from>
    <xdr:to>
      <xdr:col>10</xdr:col>
      <xdr:colOff>332514</xdr:colOff>
      <xdr:row>30</xdr:row>
      <xdr:rowOff>18429</xdr:rowOff>
    </xdr:to>
    <xdr:pic>
      <xdr:nvPicPr>
        <xdr:cNvPr id="2" name="图片 1">
          <a:extLst>
            <a:ext uri="{FF2B5EF4-FFF2-40B4-BE49-F238E27FC236}">
              <a16:creationId xmlns:a16="http://schemas.microsoft.com/office/drawing/2014/main" xmlns="" id="{3A1BB52D-F0CA-E2D3-DC0A-F9F18073C94D}"/>
            </a:ext>
          </a:extLst>
        </xdr:cNvPr>
        <xdr:cNvPicPr>
          <a:picLocks noChangeAspect="1"/>
        </xdr:cNvPicPr>
      </xdr:nvPicPr>
      <xdr:blipFill>
        <a:blip xmlns:r="http://schemas.openxmlformats.org/officeDocument/2006/relationships" r:embed="rId1"/>
        <a:stretch>
          <a:fillRect/>
        </a:stretch>
      </xdr:blipFill>
      <xdr:spPr>
        <a:xfrm>
          <a:off x="304800" y="190500"/>
          <a:ext cx="6885714" cy="4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估价对象为北京市房地产，为所有。根据《国有土地使用证》[]，估价对象（分摊）出让国有建设用地使用权面积为24215.7平方米，建筑面积为15950.36平方米。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估价对象为北京市房地产,属开发建设的，该项目尚在开发建设中。根据《国有土地使用证》[]，估价对象（分摊）出让国有建设用地使用权面积为24215.7平方米，规划建筑面积为15950.36平方米。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2025年3月24日</v>
      </c>
    </row>
    <row r="13" spans="1:2">
      <c r="A13" s="1118" t="s">
        <v>529</v>
      </c>
      <c r="B13" s="1119"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7924</v>
      </c>
    </row>
    <row r="21" spans="1:2">
      <c r="A21" s="1118" t="s">
        <v>537</v>
      </c>
      <c r="B21" s="1119">
        <f ca="1">'预评函-2'!D7</f>
        <v>4968</v>
      </c>
    </row>
    <row r="22" spans="1:2">
      <c r="A22" s="1118" t="s">
        <v>538</v>
      </c>
      <c r="B22" s="1119" t="str">
        <f ca="1">'预评函-2'!D6</f>
        <v>柒仟玖佰贰拾肆万元整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7924</v>
      </c>
    </row>
    <row r="31" spans="1:2">
      <c r="A31" s="1118" t="s">
        <v>576</v>
      </c>
      <c r="B31" s="1119">
        <f ca="1">'预评函-2'!D15</f>
        <v>4968</v>
      </c>
    </row>
    <row r="32" spans="1:2">
      <c r="A32" s="1118" t="s">
        <v>543</v>
      </c>
      <c r="B32" s="1119" t="str">
        <f ca="1">'预评函-2'!D14</f>
        <v>柒仟玖佰贰拾肆万元整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15950.36</v>
      </c>
    </row>
    <row r="44" spans="1:2">
      <c r="A44" s="1118" t="s">
        <v>575</v>
      </c>
      <c r="B44" s="1119" t="str">
        <f>'预评函-3'!C2</f>
        <v>(分摊)土地面积</v>
      </c>
    </row>
    <row r="45" spans="1:2">
      <c r="A45" s="1118" t="s">
        <v>547</v>
      </c>
      <c r="B45" s="1119">
        <f>'预评函-3'!C4</f>
        <v>24215.7</v>
      </c>
    </row>
    <row r="46" spans="1:2">
      <c r="A46" s="1118" t="s">
        <v>573</v>
      </c>
      <c r="B46" s="1119" t="str">
        <f>'预评函-3'!D2</f>
        <v>出让国有建设用地使用权价值</v>
      </c>
    </row>
    <row r="47" spans="1:2">
      <c r="A47" s="1118" t="s">
        <v>548</v>
      </c>
      <c r="B47" s="1119">
        <f ca="1">'预评函-3'!D4</f>
        <v>3740</v>
      </c>
    </row>
    <row r="48" spans="1:2">
      <c r="A48" s="1118" t="s">
        <v>549</v>
      </c>
      <c r="B48" s="1119">
        <f ca="1">'预评函-3'!E4</f>
        <v>2345</v>
      </c>
    </row>
    <row r="49" spans="1:2">
      <c r="A49" s="1118" t="s">
        <v>550</v>
      </c>
      <c r="B49" s="1119" t="str">
        <f ca="1">'预评函-3'!D5</f>
        <v>叁仟柒佰肆拾万元整</v>
      </c>
    </row>
    <row r="50" spans="1:2">
      <c r="A50" s="1118" t="s">
        <v>574</v>
      </c>
      <c r="B50" s="1119" t="str">
        <f>'预评函-3'!F2</f>
        <v>在建建筑物价值</v>
      </c>
    </row>
    <row r="51" spans="1:2">
      <c r="A51" s="1118" t="s">
        <v>551</v>
      </c>
      <c r="B51" s="1119">
        <f ca="1">'预评函-3'!F4</f>
        <v>4184</v>
      </c>
    </row>
    <row r="52" spans="1:2">
      <c r="A52" s="1118" t="s">
        <v>552</v>
      </c>
      <c r="B52" s="1119">
        <f ca="1">'预评函-3'!G4</f>
        <v>2623</v>
      </c>
    </row>
    <row r="53" spans="1:2">
      <c r="A53" s="1118" t="s">
        <v>580</v>
      </c>
      <c r="B53" s="1119" t="str">
        <f ca="1">'预评函-3'!F5</f>
        <v>肆仟壹佰捌拾肆万元整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3421</v>
      </c>
      <c r="C19" s="1441"/>
    </row>
    <row r="20" spans="1:3">
      <c r="A20" s="1440" t="s">
        <v>1048</v>
      </c>
      <c r="B20" s="1440" t="s">
        <v>3423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6" t="s">
        <v>385</v>
      </c>
      <c r="C54" s="1444" t="s">
        <v>583</v>
      </c>
    </row>
    <row r="55" spans="1:4">
      <c r="A55" s="3197"/>
      <c r="B55" s="1446" t="s">
        <v>386</v>
      </c>
      <c r="C55" s="1444" t="s">
        <v>584</v>
      </c>
    </row>
    <row r="56" spans="1:4">
      <c r="A56" s="3197"/>
      <c r="B56" s="1446" t="s">
        <v>387</v>
      </c>
      <c r="C56" s="1444" t="s">
        <v>588</v>
      </c>
    </row>
    <row r="57" spans="1:4">
      <c r="A57" s="319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198" t="s">
        <v>2580</v>
      </c>
      <c r="J2" s="3198"/>
      <c r="K2" s="3198"/>
      <c r="L2" s="3198"/>
      <c r="M2" s="3198"/>
      <c r="N2" s="3198"/>
      <c r="O2" s="3198"/>
      <c r="P2" s="3198"/>
      <c r="Q2" s="3198"/>
      <c r="R2" s="3198"/>
    </row>
    <row r="3" spans="1:18">
      <c r="A3" s="2762" t="s">
        <v>2501</v>
      </c>
      <c r="B3" s="2763">
        <f>项目基本情况!D3</f>
        <v>45740</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1.73</v>
      </c>
      <c r="D5" s="2767">
        <f>IF(ISERROR(ROUND(POWER(1+E5,A5-C5)*(POWER(1+E5,C5)-1)/(POWER(1+E5,A5)-1),3)),0,ROUND(POWER(1+E5,A5-C5)*(POWER(1+E5,C5)-1)/(POWER(1+E5,A5)-1),4))</f>
        <v>8.2900000000000001E-2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11.74</v>
      </c>
      <c r="D6" s="2767">
        <f>IF(ISERROR(ROUND(POWER(1+E6,A6-C6)*(POWER(1+E6,C6)-1)/(POWER(1+E6,A6)-1),3)),0,ROUND(POWER(1+E6,A6-C6)*(POWER(1+E6,C6)-1)/(POWER(1+E6,A6)-1),4))</f>
        <v>0.4294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31.76</v>
      </c>
      <c r="D7" s="2767">
        <f>IF(ISERROR(ROUND(POWER(1+E7,A7-C7)*(POWER(1+E7,C7)-1)/(POWER(1+E7,A7)-1),3)),0,ROUND(POWER(1+E7,A7-C7)*(POWER(1+E7,C7)-1)/(POWER(1+E7,A7)-1),4))</f>
        <v>0.7611</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6" t="str">
        <f>IF(B10="北京市","北京市",C10)&amp;F10&amp;IF(结果表!G1="在建","出让国有建设用地使用权及在建建筑物",IF(结果表!G1="土地","出让国有建设用地使用权",))&amp;B9&amp;"预评估"</f>
        <v>北京市房地产抵押价值预评估</v>
      </c>
      <c r="C1" s="3207"/>
      <c r="D1" s="3207"/>
      <c r="E1" s="3207"/>
      <c r="F1" s="3207"/>
      <c r="G1" s="3207"/>
      <c r="H1" s="3207"/>
      <c r="I1" s="320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2170</v>
      </c>
      <c r="B3" s="2184"/>
      <c r="C3" s="2185" t="s">
        <v>2171</v>
      </c>
      <c r="D3" s="2184">
        <v>45740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3405</v>
      </c>
      <c r="C8" s="2200"/>
      <c r="D8" s="3209" t="s">
        <v>2177</v>
      </c>
      <c r="E8" s="2201" t="s">
        <v>3406</v>
      </c>
      <c r="F8" s="2202"/>
      <c r="G8" s="2441"/>
      <c r="H8" s="2441"/>
      <c r="I8" s="2441"/>
      <c r="J8" s="2244"/>
      <c r="K8" s="2399"/>
      <c r="L8" s="2398"/>
      <c r="M8" s="2398"/>
      <c r="N8" s="2244"/>
      <c r="O8" s="1669"/>
      <c r="P8" s="2244"/>
      <c r="Q8" s="2244"/>
      <c r="R8" s="2244"/>
    </row>
    <row r="9" spans="1:30" ht="13.5" thickBot="1">
      <c r="A9" s="2203" t="s">
        <v>2178</v>
      </c>
      <c r="B9" s="2204" t="s">
        <v>3406</v>
      </c>
      <c r="C9" s="2205"/>
      <c r="D9" s="3210"/>
      <c r="E9" s="2204"/>
      <c r="F9" s="2206"/>
      <c r="G9" s="2442"/>
      <c r="H9" s="2442"/>
      <c r="I9" s="2442"/>
      <c r="J9" s="2244"/>
      <c r="K9" s="2401"/>
      <c r="L9" s="2398"/>
      <c r="M9" s="2398"/>
      <c r="N9" s="2244"/>
      <c r="O9" s="1669"/>
      <c r="P9" s="2244"/>
      <c r="Q9" s="2244"/>
      <c r="R9" s="2244"/>
    </row>
    <row r="10" spans="1:30" ht="13.5" thickTop="1">
      <c r="A10" s="2207" t="s">
        <v>2179</v>
      </c>
      <c r="B10" s="2208" t="s">
        <v>3407</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3408</v>
      </c>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3332</v>
      </c>
      <c r="B13" s="2217" t="s">
        <v>2190</v>
      </c>
      <c r="C13" s="802"/>
      <c r="D13" s="802"/>
      <c r="E13" s="802"/>
      <c r="F13" s="802"/>
      <c r="G13" s="802"/>
      <c r="H13" s="802">
        <v>56164</v>
      </c>
      <c r="I13" s="802"/>
      <c r="J13" s="2802"/>
      <c r="K13" s="2398"/>
      <c r="L13" s="2398"/>
      <c r="M13" s="2244"/>
      <c r="N13" s="1669"/>
      <c r="O13" s="2244"/>
      <c r="P13" s="2244"/>
      <c r="Q13" s="2244"/>
      <c r="AD13" s="1617"/>
    </row>
    <row r="14" spans="1:30">
      <c r="A14" s="1017"/>
      <c r="B14" s="2217" t="s">
        <v>2191</v>
      </c>
      <c r="C14" s="2218"/>
      <c r="D14" s="2218"/>
      <c r="E14" s="2218"/>
      <c r="F14" s="2218"/>
      <c r="G14" s="2218"/>
      <c r="H14" s="2218">
        <v>50</v>
      </c>
      <c r="I14" s="2218"/>
      <c r="J14" s="2803"/>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28.55</v>
      </c>
      <c r="I15" s="2220" t="str">
        <f>IF(A13="出让",IF(I13="","",ROUNDDOWN(MIN((I13-$D$3)/365,I14),2)),I14)</f>
        <v/>
      </c>
      <c r="J15" s="2804"/>
      <c r="K15" s="1669"/>
      <c r="L15" s="1669"/>
      <c r="M15" s="2244"/>
      <c r="N15" s="1669"/>
      <c r="O15" s="2244"/>
      <c r="P15" s="2244"/>
      <c r="Q15" s="2244"/>
      <c r="AD15" s="1617"/>
    </row>
    <row r="16" spans="1:30">
      <c r="A16" s="2210" t="s">
        <v>2193</v>
      </c>
      <c r="B16" s="3216"/>
      <c r="C16" s="3217"/>
      <c r="D16" s="3218"/>
      <c r="E16" s="2221" t="s">
        <v>2194</v>
      </c>
      <c r="F16" s="3219"/>
      <c r="G16" s="3220"/>
      <c r="H16" s="3220"/>
      <c r="I16" s="3221"/>
      <c r="J16" s="2244"/>
      <c r="K16" s="2402"/>
      <c r="L16" s="1669"/>
      <c r="M16" s="1669"/>
      <c r="N16" s="2244"/>
      <c r="O16" s="1669"/>
      <c r="P16" s="2244"/>
      <c r="Q16" s="2244"/>
      <c r="R16" s="2244"/>
    </row>
    <row r="17" spans="1:28">
      <c r="A17" s="304" t="s">
        <v>2195</v>
      </c>
      <c r="B17" s="293" t="s">
        <v>2196</v>
      </c>
      <c r="C17" s="8">
        <f>'数据-汇总表'!E3</f>
        <v>15950.36</v>
      </c>
      <c r="D17" s="1255" t="s">
        <v>2197</v>
      </c>
      <c r="E17" s="3222" t="s">
        <v>2198</v>
      </c>
      <c r="F17" s="3223"/>
      <c r="G17" s="3223"/>
      <c r="H17" s="3223"/>
      <c r="I17" s="3224"/>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24215.7</v>
      </c>
      <c r="D18" s="1028" t="s">
        <v>2201</v>
      </c>
      <c r="E18" s="3225" t="s">
        <v>2202</v>
      </c>
      <c r="F18" s="3226"/>
      <c r="G18" s="3226"/>
      <c r="H18" s="3226"/>
      <c r="I18" s="3227"/>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12" t="s">
        <v>2206</v>
      </c>
      <c r="C20" s="3213"/>
      <c r="D20" s="3214" t="s">
        <v>2207</v>
      </c>
      <c r="E20" s="3215"/>
      <c r="F20" s="2429" t="s">
        <v>1056</v>
      </c>
      <c r="G20" s="2441"/>
      <c r="H20" s="2441"/>
      <c r="I20" s="2441"/>
      <c r="J20" s="2244"/>
      <c r="K20" s="3211"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1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1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0"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0"/>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0"/>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1"/>
      <c r="B30" s="293" t="s">
        <v>2218</v>
      </c>
      <c r="C30" s="3202"/>
      <c r="D30" s="3203"/>
      <c r="E30" s="2441"/>
      <c r="F30" s="2441"/>
      <c r="G30" s="2441"/>
      <c r="H30" s="2441"/>
      <c r="I30" s="2441"/>
      <c r="J30" s="2244"/>
      <c r="K30" s="2401"/>
      <c r="L30" s="2398"/>
      <c r="M30" s="2398"/>
      <c r="N30" s="2244"/>
      <c r="O30" s="1669"/>
      <c r="P30" s="2244"/>
      <c r="Q30" s="2244"/>
      <c r="R30" s="2244"/>
      <c r="S30" s="2244"/>
      <c r="T30" s="2244"/>
      <c r="U30" s="2244"/>
      <c r="V30" s="2244"/>
    </row>
    <row r="31" spans="1:28">
      <c r="A31" s="3204"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0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0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199" t="s">
        <v>2228</v>
      </c>
      <c r="T34" s="314" t="str">
        <f>NUMBERSTRING(7-K34,1)&amp;"通"</f>
        <v>七通</v>
      </c>
      <c r="U34" s="2244"/>
      <c r="V34" s="2244"/>
    </row>
    <row r="35" spans="1:30">
      <c r="A35" s="2235"/>
      <c r="B35" s="3199" t="s">
        <v>2229</v>
      </c>
      <c r="C35" s="3199"/>
      <c r="D35" s="3199"/>
      <c r="E35" s="3199"/>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199"/>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306</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3409</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24215.7</v>
      </c>
      <c r="B3" s="11">
        <f>IF(C3="否",G5-AT5,G5)</f>
        <v>15950.36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15950.36</v>
      </c>
      <c r="H5" s="13">
        <f t="shared" ref="H5:AT5" si="0">SUM(H13:H656)</f>
        <v>15950.36</v>
      </c>
      <c r="I5" s="13">
        <f t="shared" si="0"/>
        <v>14131.06</v>
      </c>
      <c r="J5" s="13">
        <f t="shared" si="0"/>
        <v>0</v>
      </c>
      <c r="K5" s="13">
        <f t="shared" si="0"/>
        <v>1819.3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15950.36</v>
      </c>
      <c r="BA5" s="15">
        <f t="shared" si="1"/>
        <v>15950.36</v>
      </c>
      <c r="BB5" s="15">
        <f t="shared" si="1"/>
        <v>14131.06</v>
      </c>
      <c r="BC5" s="15">
        <f t="shared" si="1"/>
        <v>1819.3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24215.7</v>
      </c>
      <c r="F6" s="13" t="s">
        <v>0</v>
      </c>
      <c r="G6" s="13" t="s">
        <v>1</v>
      </c>
      <c r="H6" s="17">
        <f>SUMIF(I$12:AB$12,"总值",I6:AB6)</f>
        <v>24215.7</v>
      </c>
      <c r="I6" s="13">
        <f t="shared" ref="I6:AB6" si="2">ROUND($A$3*I5/$B$3,2)</f>
        <v>21453.65</v>
      </c>
      <c r="J6" s="13">
        <f t="shared" si="2"/>
        <v>0</v>
      </c>
      <c r="K6" s="13">
        <f t="shared" si="2"/>
        <v>2762.05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24215.7</v>
      </c>
      <c r="AZ6" s="13" t="s">
        <v>2</v>
      </c>
      <c r="BA6" s="13">
        <f>ROUND($AY$6*BA5/$AZ$5,2)</f>
        <v>24215.7</v>
      </c>
      <c r="BB6" s="13">
        <f>ROUND($AY$6*BB5/$AZ$5,2)</f>
        <v>21453.65</v>
      </c>
      <c r="BC6" s="13">
        <f t="shared" ref="BC6:BH6" si="4">ROUND($AY$6*BC5/$AZ$5,2)</f>
        <v>2762.05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3410</v>
      </c>
      <c r="J9" s="760"/>
      <c r="K9" s="1490" t="s">
        <v>3410</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3413</v>
      </c>
      <c r="J11" s="1502"/>
      <c r="K11" s="1501" t="s">
        <v>3412</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标准厂房</v>
      </c>
      <c r="BC12" s="1511" t="str">
        <f>K11</f>
        <v>办公楼</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3411</v>
      </c>
      <c r="E13" s="13">
        <f>IF($C$3="是",ROUND($A$3*G13/$B$3,2),ROUND($A$3*(G13-AT13)/$B$3,2))</f>
        <v>13488.87</v>
      </c>
      <c r="F13" s="29"/>
      <c r="G13" s="30">
        <f>H13+AC13+AT13</f>
        <v>8884.83</v>
      </c>
      <c r="H13" s="17">
        <f>SUMIF(I$12:AB$12,"总值",I13:AB13)</f>
        <v>8884.83</v>
      </c>
      <c r="I13" s="1513">
        <v>7065.53</v>
      </c>
      <c r="J13" s="1513"/>
      <c r="K13" s="1513">
        <v>1819.3</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13488.87</v>
      </c>
      <c r="AZ13" s="13">
        <f>BA13+BL13</f>
        <v>8884.83</v>
      </c>
      <c r="BA13" s="13">
        <f>SUM(BB13:BK13)</f>
        <v>8884.83</v>
      </c>
      <c r="BB13" s="13">
        <f>IF($D13="是",I13-J13,0)</f>
        <v>7065.53</v>
      </c>
      <c r="BC13" s="13">
        <f>IF($D13="是",K13-L13,0)</f>
        <v>1819.3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t="s">
        <v>3411</v>
      </c>
      <c r="E14" s="13">
        <f>IF($C$3="是",ROUND($A$3*G14/$B$3,2),ROUND($A$3*(G14-AT14)/$B$3,2))</f>
        <v>10726.83</v>
      </c>
      <c r="F14" s="29"/>
      <c r="G14" s="30">
        <f>H14+AC14+AT14</f>
        <v>7065.53</v>
      </c>
      <c r="H14" s="17">
        <f>SUMIF(I$12:AB$12,"总值",I14:AB14)</f>
        <v>7065.53</v>
      </c>
      <c r="I14" s="1513">
        <f>I13</f>
        <v>7065.53</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10726.83</v>
      </c>
      <c r="AZ14" s="13">
        <f>BA14+BL14</f>
        <v>7065.53</v>
      </c>
      <c r="BA14" s="13">
        <f>SUM(BB14:BK14)</f>
        <v>7065.53</v>
      </c>
      <c r="BB14" s="13">
        <f>IF($D14="是",I14-J14,0)</f>
        <v>7065.53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7" t="s">
        <v>1131</v>
      </c>
      <c r="B2" s="3237"/>
      <c r="C2" s="3237"/>
      <c r="D2" s="747" t="s">
        <v>1107</v>
      </c>
      <c r="E2" s="1522" t="s">
        <v>1108</v>
      </c>
      <c r="F2" s="2438"/>
      <c r="G2" s="2431"/>
      <c r="H2" s="2432"/>
      <c r="I2" s="2145" t="s">
        <v>1132</v>
      </c>
      <c r="J2" s="2438"/>
      <c r="K2" s="2438"/>
      <c r="L2" s="2438"/>
      <c r="M2" s="2438"/>
      <c r="N2" s="2439"/>
      <c r="O2" s="2438"/>
      <c r="P2" s="2438"/>
    </row>
    <row r="3" spans="1:16" ht="15.75" thickBot="1">
      <c r="A3" s="3238" t="s">
        <v>1105</v>
      </c>
      <c r="B3" s="3238"/>
      <c r="C3" s="3238"/>
      <c r="D3" s="41">
        <f>'数据-基础表'!AY6</f>
        <v>24215.7</v>
      </c>
      <c r="E3" s="41">
        <f>'数据-基础表'!AZ5</f>
        <v>15950.36</v>
      </c>
      <c r="F3" s="2438"/>
      <c r="G3" s="42"/>
      <c r="H3" s="43" t="s">
        <v>1106</v>
      </c>
      <c r="I3" s="801">
        <f>ROUND('数据-基础表'!B3/'数据-基础表'!A3,2)</f>
        <v>0.66</v>
      </c>
      <c r="J3" s="2438"/>
      <c r="K3" s="2438"/>
      <c r="L3" s="2438"/>
      <c r="M3" s="2438"/>
      <c r="N3" s="2439"/>
      <c r="O3" s="2438"/>
      <c r="P3" s="2438"/>
    </row>
    <row r="4" spans="1:16" ht="15">
      <c r="A4" s="3239"/>
      <c r="B4" s="3240"/>
      <c r="C4" s="3241"/>
      <c r="D4" s="1523" t="s">
        <v>1107</v>
      </c>
      <c r="E4" s="1524" t="s">
        <v>1108</v>
      </c>
      <c r="F4" s="2438"/>
      <c r="G4" s="2433" t="s">
        <v>1133</v>
      </c>
      <c r="H4" s="43" t="s">
        <v>1113</v>
      </c>
      <c r="I4" s="801">
        <f>ROUND(SUMIF('数据-基础表'!I9:AS9,"地上",'数据-基础表'!I5:AS5)/'数据-基础表'!A3,2)</f>
        <v>0.66</v>
      </c>
      <c r="J4" s="2438"/>
      <c r="K4" s="2438"/>
      <c r="L4" s="2438"/>
      <c r="M4" s="2438"/>
      <c r="N4" s="2439"/>
      <c r="O4" s="2438"/>
      <c r="P4" s="2438"/>
    </row>
    <row r="5" spans="1:16">
      <c r="A5" s="42" t="s">
        <v>1109</v>
      </c>
      <c r="B5" s="3242" t="s">
        <v>1110</v>
      </c>
      <c r="C5" s="3242"/>
      <c r="D5" s="43">
        <f>ROUND($D$3*E5/$E$3,2)</f>
        <v>0</v>
      </c>
      <c r="E5" s="44">
        <f>SUMIF('数据-基础表'!$11:$11,"住宅",'数据-基础表'!$5:$5)</f>
        <v>0</v>
      </c>
      <c r="F5" s="2438"/>
      <c r="G5" s="42"/>
      <c r="H5" s="43" t="s">
        <v>1106</v>
      </c>
      <c r="I5" s="801">
        <f>ROUND(E31/D31,2)</f>
        <v>0.66</v>
      </c>
      <c r="J5" s="2438"/>
      <c r="K5" s="2438"/>
      <c r="L5" s="2438"/>
      <c r="M5" s="2438"/>
      <c r="N5" s="2438"/>
      <c r="O5" s="2438"/>
      <c r="P5" s="2438"/>
    </row>
    <row r="6" spans="1:16" ht="15" thickBot="1">
      <c r="A6" s="1526"/>
      <c r="B6" s="3242" t="s">
        <v>1111</v>
      </c>
      <c r="C6" s="3242"/>
      <c r="D6" s="43">
        <f>ROUND($D$3*E6/$E$3,2)</f>
        <v>24215.7</v>
      </c>
      <c r="E6" s="44">
        <f>E3-E5</f>
        <v>15950.36</v>
      </c>
      <c r="F6" s="2438"/>
      <c r="G6" s="1528" t="s">
        <v>1112</v>
      </c>
      <c r="H6" s="45" t="s">
        <v>1113</v>
      </c>
      <c r="I6" s="2434">
        <f>ROUND(F31/D31,2)</f>
        <v>0.66</v>
      </c>
      <c r="J6" s="2438"/>
      <c r="K6" s="2438"/>
      <c r="L6" s="2438"/>
      <c r="M6" s="2438"/>
      <c r="N6" s="2438"/>
      <c r="O6" s="2438"/>
      <c r="P6" s="2438"/>
    </row>
    <row r="7" spans="1:16" ht="15.75" thickBot="1">
      <c r="A7" s="3234"/>
      <c r="B7" s="3235"/>
      <c r="C7" s="3236"/>
      <c r="D7" s="1523" t="s">
        <v>1107</v>
      </c>
      <c r="E7" s="1527"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24215.7</v>
      </c>
      <c r="E8" s="46">
        <f>SUMIF('数据-基础表'!BB10:BK10,"地上",'数据-基础表'!BB5:BK5)</f>
        <v>15950.359999999999</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24215.7</v>
      </c>
      <c r="E16" s="48">
        <f>SUM(E8:E15)</f>
        <v>15950.359999999999</v>
      </c>
      <c r="F16" s="2438"/>
      <c r="G16" s="2438"/>
      <c r="H16" s="1530" t="s">
        <v>1135</v>
      </c>
      <c r="I16" s="1531"/>
      <c r="J16" s="1070"/>
      <c r="K16" s="3231" t="s">
        <v>1135</v>
      </c>
      <c r="L16" s="3232"/>
      <c r="M16" s="3232"/>
      <c r="N16" s="3232"/>
      <c r="O16" s="3232"/>
      <c r="P16" s="3233"/>
    </row>
    <row r="17" spans="1:19" ht="15">
      <c r="A17" s="1532" t="s">
        <v>1136</v>
      </c>
      <c r="B17" s="1533" t="s">
        <v>1137</v>
      </c>
      <c r="C17" s="1534" t="s">
        <v>1138</v>
      </c>
      <c r="D17" s="1535" t="s">
        <v>1126</v>
      </c>
      <c r="E17" s="1536" t="s">
        <v>1127</v>
      </c>
      <c r="F17" s="1537"/>
      <c r="G17" s="1538"/>
      <c r="H17" s="1539" t="s">
        <v>1139</v>
      </c>
      <c r="I17" s="1540" t="s">
        <v>1124</v>
      </c>
      <c r="J17" s="1070"/>
      <c r="K17" s="3228" t="s">
        <v>1140</v>
      </c>
      <c r="L17" s="3229"/>
      <c r="M17" s="3230"/>
      <c r="N17" s="3228" t="s">
        <v>1141</v>
      </c>
      <c r="O17" s="3229"/>
      <c r="P17" s="323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3415</v>
      </c>
      <c r="D19" s="43">
        <f>ROUND($D$3*E19/$E$3,2)</f>
        <v>21453.65</v>
      </c>
      <c r="E19" s="51">
        <f t="shared" ref="E19:E26" si="1">SUM(F19:G19)</f>
        <v>14131.06</v>
      </c>
      <c r="F19" s="2557">
        <f>'数据-基础表'!I13+'数据-基础表'!I14</f>
        <v>14131.06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21453.65</v>
      </c>
      <c r="S19" s="51">
        <f t="shared" si="5"/>
        <v>14131.06</v>
      </c>
    </row>
    <row r="20" spans="1:19">
      <c r="A20" s="1548"/>
      <c r="B20" s="45" t="s">
        <v>1153</v>
      </c>
      <c r="C20" s="3115" t="s">
        <v>3416</v>
      </c>
      <c r="D20" s="43">
        <f t="shared" ref="D20:D26" si="6">ROUND($D$3*E20/$E$3,2)</f>
        <v>2762.05</v>
      </c>
      <c r="E20" s="51">
        <f t="shared" si="1"/>
        <v>1819.3</v>
      </c>
      <c r="F20" s="2557">
        <f>'数据-基础表'!K13</f>
        <v>1819.3</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2762.05</v>
      </c>
      <c r="S20" s="51">
        <f t="shared" si="5"/>
        <v>1819.3</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24215.7</v>
      </c>
      <c r="E27" s="1072">
        <f>IF(SUM(E19:E26)='数据-基础表'!BA5,SUM(E19:E26),IF(F27="地上面积有误","面积有误","地下面积有误"))</f>
        <v>15950.359999999999</v>
      </c>
      <c r="F27" s="1071">
        <f>IF(SUM(F19:F26)=E8,SUM(F19:F26),"地上面积有误")</f>
        <v>15950.359999999999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24215.7</v>
      </c>
      <c r="S27" s="43">
        <f>IF(SUM(S19:S26)=$E$3,SUM(S19:S26),SUM(S19:S26)&amp;"误差"&amp;ROUND(SUM(S19:S26)-E3,2))</f>
        <v>15950.359999999999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24215.7</v>
      </c>
      <c r="E31" s="642">
        <f>E27+E30</f>
        <v>15950.359999999999</v>
      </c>
      <c r="F31" s="643">
        <f>F27+F30</f>
        <v>15950.359999999999</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45740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3417</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厂房</v>
      </c>
      <c r="B6" s="1586" t="str">
        <f>IF(A6=0,"","经营性")</f>
        <v>经营性</v>
      </c>
      <c r="C6" s="1587" t="s">
        <v>3</v>
      </c>
      <c r="D6" s="804">
        <f>SUMIF(项目基本情况!C$12:I$12,C6,项目基本情况!C$14:I$14)</f>
        <v>50</v>
      </c>
      <c r="E6" s="803">
        <f>IF(B6="","",SUMIF(项目基本情况!C$12:I$12,C6,项目基本情况!C$13:I$13))</f>
        <v>56164</v>
      </c>
      <c r="F6" s="61">
        <f>SUMIF(项目基本情况!C$12:I$12,C6,项目基本情况!C$15:I$15)</f>
        <v>28.55</v>
      </c>
      <c r="G6" s="62">
        <f>IF(ISERROR(ROUND(POWER(1+H6,D6-F6)*(POWER(1+H6,F6)-1)/(POWER(1+H6,D6)-1),3)),0,ROUND(POWER(1+H6,D6-F6)*(POWER(1+H6,F6)-1)/(POWER(1+H6,D6)-1),3))</f>
        <v>0.80400000000000005</v>
      </c>
      <c r="H6" s="690">
        <v>4.4999999999999998E-2</v>
      </c>
      <c r="I6" s="690">
        <v>0.05</v>
      </c>
      <c r="J6" s="63">
        <v>6.5000000000000002E-2</v>
      </c>
      <c r="K6" s="969">
        <f>SUMIF('数据-汇总表'!C$19:C$33,A6,'数据-汇总表'!E$19:E$33)</f>
        <v>14131.06</v>
      </c>
      <c r="L6" s="691">
        <v>2300</v>
      </c>
      <c r="M6" s="64">
        <f t="shared" ref="M6:M14" si="0">ROUND(K6*L6/10000,0)</f>
        <v>3250</v>
      </c>
      <c r="N6" s="689">
        <f>P20</f>
        <v>0.73</v>
      </c>
      <c r="O6" s="64" t="str">
        <f>IF($N$5="成新度","——",ROUND(M6*N6,0))</f>
        <v>——</v>
      </c>
      <c r="P6" s="65" t="str">
        <f>IF($N$5="成新度","——",M6-O6)</f>
        <v>——</v>
      </c>
      <c r="Q6" s="3156">
        <v>0.1</v>
      </c>
      <c r="R6" s="66">
        <f ca="1">SUMIF('数据-汇总表'!C$19:C$33,A6,'数据-汇总表'!R$19:R$27)</f>
        <v>21453.65</v>
      </c>
      <c r="S6" s="49">
        <f>IF('数据-汇总表'!$I$17="按面积比例",SUMIF('数据-汇总表'!C$19:C$33,A6,'数据-汇总表'!K$19:K$33),SUMIF('数据-汇总表'!C$19:C$33,A6,'数据-汇总表'!N$19:N$33))</f>
        <v>0</v>
      </c>
      <c r="T6" s="1091">
        <f>ROUND($L$14*S6/10000,0)</f>
        <v>0</v>
      </c>
      <c r="U6" s="3126">
        <v>1.1000000000000001</v>
      </c>
      <c r="V6" s="67">
        <v>0.02</v>
      </c>
      <c r="W6" s="67">
        <v>0.13</v>
      </c>
      <c r="X6" s="978"/>
      <c r="Y6" s="68">
        <f>N6</f>
        <v>0.73</v>
      </c>
      <c r="Z6" s="69"/>
      <c r="AA6" s="63"/>
      <c r="AB6" s="63"/>
      <c r="AC6" s="978"/>
      <c r="AD6" s="70"/>
      <c r="AE6" s="979">
        <f ca="1">IF(AN6="",0,SUMIF(INDIRECT("'"&amp;AN6&amp;"'"&amp;"!E:E"),$AE$5,INDIRECT("'"&amp;AN6&amp;"'"&amp;"!F:F")))</f>
        <v>28.55</v>
      </c>
      <c r="AF6" s="74"/>
      <c r="AG6" s="129">
        <f>IF(AF6="",0,AE6-AF6)</f>
        <v>0</v>
      </c>
      <c r="AH6" s="71"/>
      <c r="AI6" s="73">
        <v>365</v>
      </c>
      <c r="AJ6" s="74"/>
      <c r="AK6" s="75">
        <v>5.0000000000000001E-3</v>
      </c>
      <c r="AL6" s="76">
        <v>1E-3</v>
      </c>
      <c r="AM6" s="77">
        <v>0.01</v>
      </c>
      <c r="AN6" s="1588" t="s">
        <v>3420</v>
      </c>
      <c r="AO6" s="50">
        <f ca="1">SUMIF(INDIRECT("'"&amp;AN6&amp;"'"&amp;"!A:A"),"总价",INDIRECT("'"&amp;AN6&amp;"'"&amp;"!B:B"))</f>
        <v>7357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办公楼</v>
      </c>
      <c r="B7" s="1586" t="str">
        <f t="shared" ref="B7:B13" si="1">IF(A7=0,"","经营性")</f>
        <v>经营性</v>
      </c>
      <c r="C7" s="1587" t="s">
        <v>3</v>
      </c>
      <c r="D7" s="804">
        <f>SUMIF(项目基本情况!C$12:I$12,C7,项目基本情况!C$14:I$14)</f>
        <v>50</v>
      </c>
      <c r="E7" s="803">
        <f>IF(B7="","",SUMIF(项目基本情况!C$12:I$12,C7,项目基本情况!C$13:I$13))</f>
        <v>56164</v>
      </c>
      <c r="F7" s="61">
        <f>SUMIF(项目基本情况!C$12:I$12,C7,项目基本情况!C$15:I$15)</f>
        <v>28.55</v>
      </c>
      <c r="G7" s="62">
        <f t="shared" ref="G7:G11" si="2">IF(ISERROR(ROUND(POWER(1+H7,D7-F7)*(POWER(1+H7,F7)-1)/(POWER(1+H7,D7)-1),3)),0,ROUND(POWER(1+H7,D7-F7)*(POWER(1+H7,F7)-1)/(POWER(1+H7,D7)-1),3))</f>
        <v>0.80400000000000005</v>
      </c>
      <c r="H7" s="690">
        <f>H6</f>
        <v>4.4999999999999998E-2</v>
      </c>
      <c r="I7" s="690">
        <f t="shared" ref="I7:J7" si="3">I6</f>
        <v>0.05</v>
      </c>
      <c r="J7" s="690">
        <f t="shared" si="3"/>
        <v>6.5000000000000002E-2</v>
      </c>
      <c r="K7" s="969">
        <f>SUMIF('数据-汇总表'!C$19:C$33,A7,'数据-汇总表'!E$19:E$33)</f>
        <v>1819.3</v>
      </c>
      <c r="L7" s="691">
        <v>3000</v>
      </c>
      <c r="M7" s="64">
        <f t="shared" si="0"/>
        <v>546</v>
      </c>
      <c r="N7" s="689">
        <f>P21</f>
        <v>0.76</v>
      </c>
      <c r="O7" s="64" t="str">
        <f t="shared" ref="O7:O14" si="4">IF($N$5="成新度","——",ROUND(M7*N7,0))</f>
        <v>——</v>
      </c>
      <c r="P7" s="65" t="str">
        <f t="shared" ref="P7:P14" si="5">IF($N$5="成新度","——",M7-O7)</f>
        <v>——</v>
      </c>
      <c r="Q7" s="3156">
        <v>0.1</v>
      </c>
      <c r="R7" s="66">
        <f ca="1">SUMIF('数据-汇总表'!C$19:C$33,A7,'数据-汇总表'!R$19:R$27)</f>
        <v>2762.05</v>
      </c>
      <c r="S7" s="49">
        <f>IF('数据-汇总表'!$I$17="按面积比例",SUMIF('数据-汇总表'!C$19:C$33,A7,'数据-汇总表'!K$19:K$33),SUMIF('数据-汇总表'!C$19:C$33,A7,'数据-汇总表'!N$19:N$33))</f>
        <v>0</v>
      </c>
      <c r="T7" s="1091">
        <f t="shared" ref="T7:T13" si="6">ROUND($L$14*S7/10000,0)</f>
        <v>0</v>
      </c>
      <c r="U7" s="3126">
        <v>1.3</v>
      </c>
      <c r="V7" s="67">
        <v>0.02</v>
      </c>
      <c r="W7" s="67">
        <f>W6</f>
        <v>0.13</v>
      </c>
      <c r="X7" s="978"/>
      <c r="Y7" s="68">
        <f>N7</f>
        <v>0.76</v>
      </c>
      <c r="Z7" s="69"/>
      <c r="AA7" s="63"/>
      <c r="AB7" s="63"/>
      <c r="AC7" s="978"/>
      <c r="AD7" s="70"/>
      <c r="AE7" s="979">
        <f t="shared" ref="AE7:AE13" ca="1" si="7">IF(AN7="",0,SUMIF(INDIRECT("'"&amp;AN7&amp;"'"&amp;"!E:E"),$AE$5,INDIRECT("'"&amp;AN7&amp;"'"&amp;"!F:F")))</f>
        <v>28.55</v>
      </c>
      <c r="AF7" s="74"/>
      <c r="AG7" s="129">
        <f t="shared" ref="AG7:AG13" si="8">IF(AF7="",0,AE7-AF7)</f>
        <v>0</v>
      </c>
      <c r="AH7" s="71"/>
      <c r="AI7" s="73">
        <v>365</v>
      </c>
      <c r="AJ7" s="74"/>
      <c r="AK7" s="75">
        <f>AK6</f>
        <v>5.0000000000000001E-3</v>
      </c>
      <c r="AL7" s="75">
        <f t="shared" ref="AL7:AM7" si="9">AL6</f>
        <v>1E-3</v>
      </c>
      <c r="AM7" s="75">
        <f t="shared" si="9"/>
        <v>0.01</v>
      </c>
      <c r="AN7" s="1588" t="s">
        <v>3422</v>
      </c>
      <c r="AO7" s="50">
        <f t="shared" ref="AO7:AO13" ca="1" si="10">SUMIF(INDIRECT("'"&amp;AN7&amp;"'"&amp;"!A:A"),"总价",INDIRECT("'"&amp;AN7&amp;"'"&amp;"!B:B"))</f>
        <v>1114</v>
      </c>
      <c r="AP7" s="1589">
        <f t="shared" ref="AP7:AP13" si="11">IF(C7="住宅",K7*L7,0)</f>
        <v>0</v>
      </c>
      <c r="AQ7" s="50">
        <f t="shared" ref="AQ7:AQ13" si="12">ROUND($L$14*$N$14*S7/10000,0)</f>
        <v>0</v>
      </c>
      <c r="AR7" s="50">
        <f t="shared" ref="AR7:AR13" si="13">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4"/>
        <v>——</v>
      </c>
      <c r="P8" s="65" t="str">
        <f t="shared" si="5"/>
        <v>——</v>
      </c>
      <c r="Q8" s="692"/>
      <c r="R8" s="66">
        <f ca="1">SUMIF('数据-汇总表'!C$19:C$33,A8,'数据-汇总表'!R$19:R$27)</f>
        <v>0</v>
      </c>
      <c r="S8" s="49">
        <f>IF('数据-汇总表'!$I$17="按面积比例",SUMIF('数据-汇总表'!C$19:C$33,A8,'数据-汇总表'!K$19:K$33),SUMIF('数据-汇总表'!C$19:C$33,A8,'数据-汇总表'!N$19:N$33))</f>
        <v>0</v>
      </c>
      <c r="T8" s="1091">
        <f t="shared" si="6"/>
        <v>0</v>
      </c>
      <c r="U8" s="3127"/>
      <c r="V8" s="693"/>
      <c r="W8" s="693"/>
      <c r="X8" s="978"/>
      <c r="Y8" s="68"/>
      <c r="Z8" s="69"/>
      <c r="AA8" s="63"/>
      <c r="AB8" s="63"/>
      <c r="AC8" s="978"/>
      <c r="AD8" s="70"/>
      <c r="AE8" s="979">
        <f t="shared" ca="1" si="7"/>
        <v>0</v>
      </c>
      <c r="AF8" s="74"/>
      <c r="AG8" s="129">
        <f t="shared" si="8"/>
        <v>0</v>
      </c>
      <c r="AH8" s="694"/>
      <c r="AI8" s="73"/>
      <c r="AJ8" s="74"/>
      <c r="AK8" s="695"/>
      <c r="AL8" s="696"/>
      <c r="AM8" s="106"/>
      <c r="AN8" s="1588"/>
      <c r="AO8" s="50" t="e">
        <f t="shared" ca="1" si="10"/>
        <v>#REF!</v>
      </c>
      <c r="AP8" s="1589">
        <f t="shared" si="11"/>
        <v>0</v>
      </c>
      <c r="AQ8" s="50">
        <f t="shared" si="12"/>
        <v>0</v>
      </c>
      <c r="AR8" s="50">
        <f t="shared" si="13"/>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1">
        <f t="shared" si="6"/>
        <v>0</v>
      </c>
      <c r="U9" s="3126"/>
      <c r="V9" s="67"/>
      <c r="W9" s="67"/>
      <c r="X9" s="978"/>
      <c r="Y9" s="68"/>
      <c r="Z9" s="69"/>
      <c r="AA9" s="63"/>
      <c r="AB9" s="63"/>
      <c r="AC9" s="978"/>
      <c r="AD9" s="70"/>
      <c r="AE9" s="979">
        <f t="shared" ca="1" si="7"/>
        <v>0</v>
      </c>
      <c r="AF9" s="74"/>
      <c r="AG9" s="129">
        <f t="shared" si="8"/>
        <v>0</v>
      </c>
      <c r="AH9" s="71"/>
      <c r="AI9" s="73"/>
      <c r="AJ9" s="74"/>
      <c r="AK9" s="75"/>
      <c r="AL9" s="76"/>
      <c r="AM9" s="77"/>
      <c r="AN9" s="1588"/>
      <c r="AO9" s="50" t="e">
        <f t="shared" ca="1" si="10"/>
        <v>#REF!</v>
      </c>
      <c r="AP9" s="1589">
        <f t="shared" si="11"/>
        <v>0</v>
      </c>
      <c r="AQ9" s="50">
        <f t="shared" si="12"/>
        <v>0</v>
      </c>
      <c r="AR9" s="50">
        <f t="shared" si="13"/>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1">
        <f t="shared" si="6"/>
        <v>0</v>
      </c>
      <c r="U10" s="3126"/>
      <c r="V10" s="67"/>
      <c r="W10" s="67"/>
      <c r="X10" s="978"/>
      <c r="Y10" s="68"/>
      <c r="Z10" s="69"/>
      <c r="AA10" s="63"/>
      <c r="AB10" s="63"/>
      <c r="AC10" s="978"/>
      <c r="AD10" s="70"/>
      <c r="AE10" s="979">
        <f t="shared" ca="1" si="7"/>
        <v>0</v>
      </c>
      <c r="AF10" s="74"/>
      <c r="AG10" s="129">
        <f t="shared" si="8"/>
        <v>0</v>
      </c>
      <c r="AH10" s="71"/>
      <c r="AI10" s="73"/>
      <c r="AJ10" s="74"/>
      <c r="AK10" s="75"/>
      <c r="AL10" s="76"/>
      <c r="AM10" s="77"/>
      <c r="AN10" s="1588"/>
      <c r="AO10" s="50" t="e">
        <f t="shared" ca="1" si="10"/>
        <v>#REF!</v>
      </c>
      <c r="AP10" s="1589">
        <f t="shared" si="11"/>
        <v>0</v>
      </c>
      <c r="AQ10" s="50">
        <f t="shared" si="12"/>
        <v>0</v>
      </c>
      <c r="AR10" s="50">
        <f t="shared" si="13"/>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1">
        <f t="shared" si="6"/>
        <v>0</v>
      </c>
      <c r="U11" s="3126"/>
      <c r="V11" s="63"/>
      <c r="W11" s="63"/>
      <c r="X11" s="978"/>
      <c r="Y11" s="68"/>
      <c r="Z11" s="81"/>
      <c r="AA11" s="63"/>
      <c r="AB11" s="63"/>
      <c r="AC11" s="978"/>
      <c r="AD11" s="70"/>
      <c r="AE11" s="979">
        <f t="shared" ca="1" si="7"/>
        <v>0</v>
      </c>
      <c r="AF11" s="74"/>
      <c r="AG11" s="129">
        <f t="shared" si="8"/>
        <v>0</v>
      </c>
      <c r="AH11" s="71"/>
      <c r="AI11" s="73"/>
      <c r="AJ11" s="74"/>
      <c r="AK11" s="75"/>
      <c r="AL11" s="76"/>
      <c r="AM11" s="77"/>
      <c r="AN11" s="1588"/>
      <c r="AO11" s="50" t="e">
        <f t="shared" ca="1" si="10"/>
        <v>#REF!</v>
      </c>
      <c r="AP11" s="1589">
        <f t="shared" si="11"/>
        <v>0</v>
      </c>
      <c r="AQ11" s="50">
        <f t="shared" si="12"/>
        <v>0</v>
      </c>
      <c r="AR11" s="50">
        <f t="shared" si="13"/>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1">
        <f t="shared" si="6"/>
        <v>0</v>
      </c>
      <c r="U12" s="3126"/>
      <c r="V12" s="63"/>
      <c r="W12" s="63"/>
      <c r="X12" s="978"/>
      <c r="Y12" s="68"/>
      <c r="Z12" s="81"/>
      <c r="AA12" s="63"/>
      <c r="AB12" s="63"/>
      <c r="AC12" s="978"/>
      <c r="AD12" s="70"/>
      <c r="AE12" s="979">
        <f t="shared" ca="1" si="7"/>
        <v>0</v>
      </c>
      <c r="AF12" s="74"/>
      <c r="AG12" s="129">
        <f t="shared" si="8"/>
        <v>0</v>
      </c>
      <c r="AH12" s="71"/>
      <c r="AI12" s="73"/>
      <c r="AJ12" s="74"/>
      <c r="AK12" s="75"/>
      <c r="AL12" s="76"/>
      <c r="AM12" s="77"/>
      <c r="AN12" s="1588"/>
      <c r="AO12" s="50" t="e">
        <f t="shared" ca="1" si="10"/>
        <v>#REF!</v>
      </c>
      <c r="AP12" s="1589">
        <f t="shared" si="11"/>
        <v>0</v>
      </c>
      <c r="AQ12" s="50">
        <f t="shared" si="12"/>
        <v>0</v>
      </c>
      <c r="AR12" s="50">
        <f t="shared" si="13"/>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1">
        <f t="shared" si="6"/>
        <v>0</v>
      </c>
      <c r="U13" s="3128"/>
      <c r="V13" s="67"/>
      <c r="W13" s="67"/>
      <c r="X13" s="978"/>
      <c r="Y13" s="68"/>
      <c r="Z13" s="69"/>
      <c r="AA13" s="63"/>
      <c r="AB13" s="63"/>
      <c r="AC13" s="978"/>
      <c r="AD13" s="70"/>
      <c r="AE13" s="979">
        <f t="shared" ca="1" si="7"/>
        <v>0</v>
      </c>
      <c r="AF13" s="74"/>
      <c r="AG13" s="129">
        <f t="shared" si="8"/>
        <v>0</v>
      </c>
      <c r="AH13" s="71"/>
      <c r="AI13" s="73"/>
      <c r="AJ13" s="74"/>
      <c r="AK13" s="75"/>
      <c r="AL13" s="76"/>
      <c r="AM13" s="77"/>
      <c r="AN13" s="1588"/>
      <c r="AO13" s="50" t="e">
        <f t="shared" ca="1" si="10"/>
        <v>#REF!</v>
      </c>
      <c r="AP13" s="1589">
        <f t="shared" si="11"/>
        <v>0</v>
      </c>
      <c r="AQ13" s="50">
        <f t="shared" si="12"/>
        <v>0</v>
      </c>
      <c r="AR13" s="50">
        <f t="shared" si="13"/>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4"/>
        <v>——</v>
      </c>
      <c r="P14" s="65" t="str">
        <f t="shared" si="5"/>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0.80400000000000005</v>
      </c>
      <c r="H16" s="84">
        <f>ROUND(SUMPRODUCT(H6:H13,K6:K13)/SUMPRODUCT((H6:H13&gt;0)*(K6:K13)),3)</f>
        <v>4.4999999999999998E-2</v>
      </c>
      <c r="I16" s="85"/>
      <c r="J16" s="85"/>
      <c r="K16" s="86">
        <f>SUM(K6:K15)</f>
        <v>15950.359999999999</v>
      </c>
      <c r="L16" s="87">
        <f>ROUND(M16*10000/SUM(K6:K14),0)</f>
        <v>2380</v>
      </c>
      <c r="M16" s="87">
        <f>SUM(M6:M14)</f>
        <v>3796</v>
      </c>
      <c r="N16" s="88">
        <f>ROUND(SUMPRODUCT(M6:M14,N6:N14)/M16,3)</f>
        <v>0.73399999999999999</v>
      </c>
      <c r="O16" s="87">
        <f>SUM(O6:O14)</f>
        <v>0</v>
      </c>
      <c r="P16" s="87">
        <f>SUM(P6:P14)</f>
        <v>0</v>
      </c>
      <c r="Q16" s="89">
        <f>ROUND(SUMPRODUCT(Q6:Q13,K6:K13)/SUMPRODUCT((Q6:Q13&gt;0)*(K6:K13)),2)</f>
        <v>0.1</v>
      </c>
      <c r="R16" s="973">
        <f ca="1">SUM(R6:R13)</f>
        <v>24215.7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2005</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3154" t="s">
        <v>3418</v>
      </c>
      <c r="O19" s="3154" t="s">
        <v>3419</v>
      </c>
      <c r="P19" s="3154" t="s">
        <v>458</v>
      </c>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2300</v>
      </c>
      <c r="D20" s="2451"/>
      <c r="E20" s="2438"/>
      <c r="F20" s="2438"/>
      <c r="G20" s="2438"/>
      <c r="H20" s="2438"/>
      <c r="I20" s="2438"/>
      <c r="J20" s="2438"/>
      <c r="K20" s="2449"/>
      <c r="L20" s="2449"/>
      <c r="M20" s="3154" t="s">
        <v>2610</v>
      </c>
      <c r="N20" s="2448">
        <f>1-(2025-N18)/50</f>
        <v>0.6</v>
      </c>
      <c r="O20" s="2448">
        <v>0.85</v>
      </c>
      <c r="P20" s="2448">
        <f>ROUND((N20+O20)/2,2)</f>
        <v>0.73</v>
      </c>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3154" t="s">
        <v>460</v>
      </c>
      <c r="N21" s="2448">
        <f>ROUND(1-(2025-N18)/60,2)</f>
        <v>0.67</v>
      </c>
      <c r="O21" s="2448">
        <v>0.85</v>
      </c>
      <c r="P21" s="2448">
        <f>ROUND((N21+O21)/2,2)</f>
        <v>0.76</v>
      </c>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120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191</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120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120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120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3153">
        <v>0.05</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f>C59</f>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4" t="s">
        <v>2254</v>
      </c>
      <c r="C4" s="2268" t="s">
        <v>2255</v>
      </c>
      <c r="D4" s="2265"/>
      <c r="E4" s="2269"/>
      <c r="F4" s="1280" t="s">
        <v>2256</v>
      </c>
      <c r="G4" s="2270" t="s">
        <v>2257</v>
      </c>
      <c r="H4" s="750"/>
      <c r="I4" s="750"/>
      <c r="J4" s="750"/>
      <c r="K4" s="750"/>
      <c r="L4" s="750"/>
      <c r="M4" s="750"/>
      <c r="N4" s="750"/>
      <c r="O4" s="750"/>
      <c r="P4" s="750"/>
      <c r="Q4" s="750"/>
    </row>
    <row r="5" spans="1:29" ht="36.75">
      <c r="A5" s="2247"/>
      <c r="B5" s="314" t="s">
        <v>2258</v>
      </c>
      <c r="C5" s="2268" t="s">
        <v>2259</v>
      </c>
      <c r="D5" s="2265"/>
      <c r="E5" s="2269"/>
      <c r="F5" s="314" t="s">
        <v>2260</v>
      </c>
      <c r="G5" s="2270" t="s">
        <v>2261</v>
      </c>
      <c r="H5" s="750"/>
      <c r="I5" s="750"/>
      <c r="J5" s="750"/>
      <c r="K5" s="750"/>
      <c r="L5" s="750"/>
      <c r="M5" s="750"/>
      <c r="N5" s="750"/>
      <c r="O5" s="750"/>
      <c r="P5" s="750"/>
      <c r="Q5" s="750"/>
    </row>
    <row r="6" spans="1:29" ht="36">
      <c r="A6" s="2247"/>
      <c r="B6" s="314" t="s">
        <v>2262</v>
      </c>
      <c r="C6" s="2270" t="s">
        <v>2257</v>
      </c>
      <c r="D6" s="2265"/>
      <c r="E6" s="2269"/>
      <c r="F6" s="314" t="s">
        <v>2263</v>
      </c>
      <c r="G6" s="2270" t="s">
        <v>2264</v>
      </c>
      <c r="H6" s="750"/>
      <c r="I6" s="750"/>
      <c r="J6" s="750"/>
      <c r="K6" s="750"/>
      <c r="L6" s="750"/>
      <c r="M6" s="750"/>
      <c r="N6" s="750"/>
      <c r="O6" s="750"/>
      <c r="P6" s="750"/>
      <c r="Q6" s="750"/>
    </row>
    <row r="7" spans="1:29" ht="24.75" thickBot="1">
      <c r="A7" s="2247"/>
      <c r="B7" s="314" t="s">
        <v>2260</v>
      </c>
      <c r="C7" s="2270" t="s">
        <v>2261</v>
      </c>
      <c r="D7" s="2244"/>
      <c r="E7" s="2271"/>
      <c r="F7" s="2272" t="s">
        <v>2265</v>
      </c>
      <c r="G7" s="2273" t="s">
        <v>2266</v>
      </c>
      <c r="H7" s="750"/>
      <c r="I7" s="750"/>
      <c r="J7" s="750"/>
      <c r="K7" s="750"/>
      <c r="L7" s="750"/>
      <c r="M7" s="750"/>
      <c r="N7" s="750"/>
      <c r="O7" s="750"/>
      <c r="P7" s="750"/>
      <c r="Q7" s="750"/>
    </row>
    <row r="8" spans="1:29">
      <c r="A8" s="2247"/>
      <c r="B8" s="314" t="s">
        <v>2263</v>
      </c>
      <c r="C8" s="2270" t="s">
        <v>2264</v>
      </c>
      <c r="D8" s="2244"/>
      <c r="E8" s="2244"/>
      <c r="F8" s="120"/>
      <c r="G8" s="120"/>
      <c r="H8" s="750"/>
      <c r="I8" s="750"/>
      <c r="J8" s="750"/>
      <c r="K8" s="750"/>
      <c r="L8" s="750"/>
      <c r="M8" s="750"/>
      <c r="N8" s="750"/>
      <c r="O8" s="750"/>
      <c r="P8" s="750"/>
      <c r="Q8" s="750"/>
    </row>
    <row r="9" spans="1:29" ht="24">
      <c r="A9" s="2247"/>
      <c r="B9" s="314" t="s">
        <v>2267</v>
      </c>
      <c r="C9" s="2268" t="s">
        <v>2268</v>
      </c>
      <c r="D9" s="2265"/>
      <c r="E9" s="2244"/>
      <c r="F9" s="120"/>
      <c r="G9" s="120"/>
      <c r="H9" s="750"/>
      <c r="I9" s="750"/>
      <c r="J9" s="750"/>
      <c r="K9" s="750"/>
      <c r="L9" s="750"/>
      <c r="M9" s="750"/>
      <c r="N9" s="750"/>
      <c r="O9" s="750"/>
      <c r="P9" s="750"/>
      <c r="Q9" s="750"/>
    </row>
    <row r="10" spans="1:29" ht="15" thickBot="1">
      <c r="A10" s="2248"/>
      <c r="B10" s="2274" t="s">
        <v>2269</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4"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4" t="s">
        <v>2263</v>
      </c>
      <c r="G20" s="2293" t="str">
        <f>G6</f>
        <v>估价对象所在区域基础设施水平</v>
      </c>
    </row>
    <row r="21" spans="1:17" ht="25.5">
      <c r="A21" s="2251"/>
      <c r="B21" s="314" t="s">
        <v>2260</v>
      </c>
      <c r="C21" s="2293" t="str">
        <f>C7</f>
        <v>估价对象所在区域公共配套设施齐备情况</v>
      </c>
      <c r="D21" s="2265"/>
      <c r="E21" s="2252"/>
      <c r="F21" s="2292" t="s">
        <v>2278</v>
      </c>
      <c r="G21" s="2295"/>
    </row>
    <row r="22" spans="1:17" ht="13.5" customHeight="1">
      <c r="A22" s="2251"/>
      <c r="B22" s="314"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15950.359999999999</v>
      </c>
      <c r="C1" s="2461"/>
      <c r="D1" s="2461"/>
      <c r="E1" s="2461"/>
      <c r="F1" s="2461"/>
      <c r="G1" s="2462"/>
      <c r="H1" s="2462"/>
      <c r="I1" s="2462"/>
      <c r="J1" s="2462"/>
      <c r="K1" s="2462"/>
    </row>
    <row r="2" spans="1:11" ht="16.5">
      <c r="A2" s="2299" t="s">
        <v>653</v>
      </c>
      <c r="B2" s="2299">
        <f>SUM(C14:C23)</f>
        <v>24215.7</v>
      </c>
      <c r="C2" s="2461"/>
      <c r="D2" s="2461"/>
      <c r="E2" s="2461"/>
      <c r="F2" s="2461"/>
      <c r="G2" s="2462"/>
      <c r="H2" s="2462"/>
      <c r="I2" s="2462"/>
      <c r="J2" s="2462"/>
      <c r="K2" s="2462"/>
    </row>
    <row r="3" spans="1:11" ht="16.5">
      <c r="A3" s="2299" t="s">
        <v>662</v>
      </c>
      <c r="B3" s="2301">
        <f>项目基本情况!D3</f>
        <v>45740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7924</v>
      </c>
      <c r="C5" s="2299">
        <f ca="1">IF(B5=D14,结果表!H102,ROUND(B5*10000/$B$1,0))</f>
        <v>4968</v>
      </c>
      <c r="D5" s="2299">
        <f ca="1">ROUND(B5*10000/$B$2,0)</f>
        <v>3272</v>
      </c>
      <c r="E5" s="2461"/>
      <c r="F5" s="2462"/>
      <c r="G5" s="2462"/>
      <c r="H5" s="2462"/>
      <c r="I5" s="2462"/>
      <c r="J5" s="2462"/>
      <c r="K5" s="2462"/>
    </row>
    <row r="6" spans="1:11" ht="16.5">
      <c r="A6" s="2299" t="s">
        <v>656</v>
      </c>
      <c r="B6" s="2299">
        <f ca="1">SUM(G14:G23)</f>
        <v>7924</v>
      </c>
      <c r="C6" s="2299">
        <f ca="1">IF(B6=G14,结果表!H108,ROUND(B6*10000/$B$1,0))</f>
        <v>4968</v>
      </c>
      <c r="D6" s="2299">
        <f ca="1">ROUND(B6*10000/$B$2,0)</f>
        <v>3272</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3356</v>
      </c>
      <c r="D10" s="2299" t="s">
        <v>3357</v>
      </c>
      <c r="E10" s="3136"/>
      <c r="F10" s="3140" t="s">
        <v>3358</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'数据-汇总表'!E31</f>
        <v>15950.359999999999</v>
      </c>
      <c r="C14" s="2305">
        <f>'数据-汇总表'!D31</f>
        <v>24215.7</v>
      </c>
      <c r="D14" s="2305">
        <f ca="1">结果表!G19</f>
        <v>7924</v>
      </c>
      <c r="E14" s="2305">
        <f ca="1">ROUND(D14*10000/B14,0)</f>
        <v>4968</v>
      </c>
      <c r="F14" s="2305">
        <f ca="1">ROUND(D14*10000/C14,0)</f>
        <v>3272</v>
      </c>
      <c r="G14" s="2305">
        <f ca="1">D14</f>
        <v>7924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M30" sqref="M30"/>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279" t="str">
        <f>项目基本情况!S2</f>
        <v>北京市房地产</v>
      </c>
      <c r="B2" s="3280"/>
      <c r="C2" s="3280"/>
      <c r="D2" s="3280"/>
      <c r="E2" s="3280"/>
      <c r="F2" s="3280"/>
      <c r="G2" s="3280"/>
      <c r="H2" s="3280"/>
      <c r="I2" s="3281"/>
    </row>
    <row r="3" spans="1:12" ht="12.75">
      <c r="A3" s="3283" t="s">
        <v>1264</v>
      </c>
      <c r="B3" s="3284"/>
      <c r="C3" s="3284"/>
      <c r="D3" s="3284"/>
      <c r="E3" s="3284"/>
      <c r="F3" s="3284"/>
      <c r="G3" s="3284"/>
      <c r="H3" s="3284"/>
      <c r="I3" s="3284"/>
    </row>
    <row r="4" spans="1:12" ht="14.25">
      <c r="A4" s="1623" t="s">
        <v>1265</v>
      </c>
      <c r="B4" s="1624" t="s">
        <v>1266</v>
      </c>
      <c r="C4" s="1625" t="s">
        <v>3429</v>
      </c>
      <c r="D4" s="1625" t="s">
        <v>3430</v>
      </c>
      <c r="E4" s="3285" t="s">
        <v>1267</v>
      </c>
      <c r="F4" s="3286"/>
      <c r="G4" s="3286"/>
      <c r="H4" s="3286"/>
      <c r="I4" s="3287"/>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59" t="s">
        <v>1268</v>
      </c>
      <c r="B5" s="3246">
        <v>25</v>
      </c>
      <c r="C5" s="3262"/>
      <c r="D5" s="3282"/>
      <c r="E5" s="122" t="s">
        <v>1269</v>
      </c>
      <c r="F5" s="1626"/>
      <c r="G5" s="1626"/>
      <c r="H5" s="1626"/>
      <c r="I5" s="1280"/>
    </row>
    <row r="6" spans="1:12" ht="12.75">
      <c r="A6" s="3259"/>
      <c r="B6" s="3246"/>
      <c r="C6" s="3263"/>
      <c r="D6" s="3282"/>
      <c r="E6" s="122" t="s">
        <v>1270</v>
      </c>
      <c r="F6" s="1626"/>
      <c r="G6" s="1626"/>
      <c r="H6" s="1626"/>
      <c r="I6" s="1280"/>
    </row>
    <row r="7" spans="1:12" ht="12.75">
      <c r="A7" s="3259"/>
      <c r="B7" s="3246"/>
      <c r="C7" s="3264"/>
      <c r="D7" s="3282"/>
      <c r="E7" s="122" t="s">
        <v>1271</v>
      </c>
      <c r="F7" s="1626"/>
      <c r="G7" s="1626"/>
      <c r="H7" s="1626"/>
      <c r="I7" s="1280"/>
    </row>
    <row r="8" spans="1:12" ht="12.75">
      <c r="A8" s="3259" t="s">
        <v>1272</v>
      </c>
      <c r="B8" s="3246">
        <v>15</v>
      </c>
      <c r="C8" s="3262"/>
      <c r="D8" s="3282"/>
      <c r="E8" s="122" t="s">
        <v>1273</v>
      </c>
      <c r="F8" s="1626"/>
      <c r="G8" s="1626"/>
      <c r="H8" s="1626"/>
      <c r="I8" s="1280"/>
    </row>
    <row r="9" spans="1:12" ht="12.75">
      <c r="A9" s="3259"/>
      <c r="B9" s="3246"/>
      <c r="C9" s="3264"/>
      <c r="D9" s="3282"/>
      <c r="E9" s="122" t="s">
        <v>1274</v>
      </c>
      <c r="F9" s="1626"/>
      <c r="G9" s="1626"/>
      <c r="H9" s="1626"/>
      <c r="I9" s="1280"/>
    </row>
    <row r="10" spans="1:12" ht="12.75">
      <c r="A10" s="3259" t="s">
        <v>1275</v>
      </c>
      <c r="B10" s="3246">
        <v>15</v>
      </c>
      <c r="C10" s="3262"/>
      <c r="D10" s="3282"/>
      <c r="E10" s="122" t="s">
        <v>1276</v>
      </c>
      <c r="F10" s="1626"/>
      <c r="G10" s="1626"/>
      <c r="H10" s="1626"/>
      <c r="I10" s="1280"/>
    </row>
    <row r="11" spans="1:12" ht="12.75">
      <c r="A11" s="3259"/>
      <c r="B11" s="3246"/>
      <c r="C11" s="3264"/>
      <c r="D11" s="3282"/>
      <c r="E11" s="122" t="s">
        <v>1277</v>
      </c>
      <c r="F11" s="1626"/>
      <c r="G11" s="1626"/>
      <c r="H11" s="1626"/>
      <c r="I11" s="1280"/>
    </row>
    <row r="12" spans="1:12" ht="12.75">
      <c r="A12" s="3259" t="s">
        <v>1278</v>
      </c>
      <c r="B12" s="3246">
        <v>15</v>
      </c>
      <c r="C12" s="3262"/>
      <c r="D12" s="3282"/>
      <c r="E12" s="122" t="s">
        <v>1279</v>
      </c>
      <c r="F12" s="1626"/>
      <c r="G12" s="1626"/>
      <c r="H12" s="1626"/>
      <c r="I12" s="1280"/>
    </row>
    <row r="13" spans="1:12" ht="12.75">
      <c r="A13" s="3259"/>
      <c r="B13" s="3246"/>
      <c r="C13" s="3264"/>
      <c r="D13" s="3282"/>
      <c r="E13" s="122" t="s">
        <v>1280</v>
      </c>
      <c r="F13" s="1626"/>
      <c r="G13" s="1626"/>
      <c r="H13" s="1626"/>
      <c r="I13" s="1280"/>
    </row>
    <row r="14" spans="1:12" ht="12.75">
      <c r="A14" s="3259" t="s">
        <v>1281</v>
      </c>
      <c r="B14" s="3246">
        <v>30</v>
      </c>
      <c r="C14" s="3262">
        <v>5</v>
      </c>
      <c r="D14" s="3282">
        <v>5</v>
      </c>
      <c r="E14" s="122" t="s">
        <v>1282</v>
      </c>
      <c r="F14" s="1626"/>
      <c r="G14" s="1626"/>
      <c r="H14" s="1626"/>
      <c r="I14" s="1280"/>
    </row>
    <row r="15" spans="1:12" ht="12.75">
      <c r="A15" s="3259"/>
      <c r="B15" s="3246"/>
      <c r="C15" s="3263"/>
      <c r="D15" s="3282"/>
      <c r="E15" s="122" t="s">
        <v>1283</v>
      </c>
      <c r="F15" s="1626"/>
      <c r="G15" s="1626"/>
      <c r="H15" s="1626"/>
      <c r="I15" s="1280"/>
    </row>
    <row r="16" spans="1:12" ht="12.75">
      <c r="A16" s="3259"/>
      <c r="B16" s="3246"/>
      <c r="C16" s="3264"/>
      <c r="D16" s="3282"/>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269" t="s">
        <v>2131</v>
      </c>
      <c r="F18" s="3270"/>
      <c r="G18" s="3270"/>
      <c r="H18" s="3270"/>
      <c r="I18" s="3270"/>
      <c r="K18" s="293" t="s">
        <v>1289</v>
      </c>
      <c r="L18" s="293">
        <f>IF(C1="",'数据-汇总表'!E3,SUMIF(项目类型,C1,'数据-汇总表'!E17:E26)+SUMIF(项目类型,C1,'数据-汇总表'!I17:I26))</f>
        <v>15950.36</v>
      </c>
      <c r="M18" s="293">
        <f>IF(C1="",'数据-汇总表'!E3,SUMIF(项目类型,C1,'数据-汇总表'!E17:E26))</f>
        <v>15950.36</v>
      </c>
    </row>
    <row r="19" spans="1:36" ht="15">
      <c r="A19" s="1629" t="s">
        <v>1290</v>
      </c>
      <c r="B19" s="1630" t="s">
        <v>1291</v>
      </c>
      <c r="C19" s="125">
        <f ca="1">SUMIF(INDIRECT("'"&amp;C4&amp;"'"&amp;"!A:A"),结果表!B19,INDIRECT("'"&amp;C4&amp;"'"&amp;"!B:B"))</f>
        <v>7376</v>
      </c>
      <c r="D19" s="126">
        <f ca="1">SUMIF(INDIRECT("'"&amp;D4&amp;"'"&amp;"!A:A"),结果表!B19,INDIRECT("'"&amp;D4&amp;"'"&amp;"!B:B"))</f>
        <v>8471</v>
      </c>
      <c r="E19" s="1629" t="s">
        <v>1292</v>
      </c>
      <c r="F19" s="1630" t="s">
        <v>1291</v>
      </c>
      <c r="G19" s="127">
        <f ca="1">ROUND(C19*$C$18+D19*$D$18,0)</f>
        <v>7924</v>
      </c>
      <c r="H19" s="1631" t="s">
        <v>1293</v>
      </c>
      <c r="I19" s="120"/>
      <c r="K19" s="293" t="s">
        <v>1294</v>
      </c>
      <c r="L19" s="293">
        <f>IF(C1="",'数据-汇总表'!D3,SUMIF(项目类型,C1,'数据-汇总表'!D17:D26)+SUMIF(项目类型,C1,'数据-汇总表'!H17:H27))</f>
        <v>24215.7</v>
      </c>
      <c r="M19" s="293">
        <f>IF(C1="",'数据-汇总表'!D3,SUMIF(项目类型,C1,'数据-汇总表'!D17:D26))</f>
        <v>24215.7</v>
      </c>
    </row>
    <row r="20" spans="1:36" ht="15">
      <c r="A20" s="1632"/>
      <c r="B20" s="43" t="s">
        <v>1295</v>
      </c>
      <c r="C20" s="128">
        <f ca="1">SUMIF(INDIRECT("'"&amp;C4&amp;"'"&amp;"!A:A"),结果表!B20,INDIRECT("'"&amp;C4&amp;"'"&amp;"!B:B"))</f>
        <v>4624</v>
      </c>
      <c r="D20" s="129">
        <f ca="1">SUMIF(INDIRECT("'"&amp;D4&amp;"'"&amp;"!A:A"),结果表!B20,INDIRECT("'"&amp;D4&amp;"'"&amp;"!B:B"))</f>
        <v>5311</v>
      </c>
      <c r="E20" s="1632"/>
      <c r="F20" s="43" t="s">
        <v>1295</v>
      </c>
      <c r="G20" s="130">
        <f ca="1">ROUND(C20*$C$18+D20*$D$18,0)</f>
        <v>4968</v>
      </c>
      <c r="H20" s="759" t="s">
        <v>1296</v>
      </c>
      <c r="I20" s="120"/>
    </row>
    <row r="21" spans="1:36" ht="15" customHeight="1" thickBot="1">
      <c r="A21" s="448"/>
      <c r="B21" s="93" t="s">
        <v>1297</v>
      </c>
      <c r="C21" s="677">
        <f ca="1">ROUND(C19*10000/L19,0)</f>
        <v>3046</v>
      </c>
      <c r="D21" s="678">
        <f ca="1">ROUND(D19*10000/L19,0)</f>
        <v>3498</v>
      </c>
      <c r="E21" s="448"/>
      <c r="F21" s="93" t="s">
        <v>1297</v>
      </c>
      <c r="G21" s="131">
        <f ca="1">ROUND(G19*10000/L19,0)</f>
        <v>3272</v>
      </c>
      <c r="H21" s="1633" t="s">
        <v>1296</v>
      </c>
      <c r="I21" s="120"/>
    </row>
    <row r="22" spans="1:36" ht="15" thickBot="1">
      <c r="A22" s="1563" t="s">
        <v>1298</v>
      </c>
      <c r="B22" s="1634"/>
      <c r="C22" s="1635"/>
      <c r="D22" s="679">
        <f ca="1">IF(C19&lt;D19,D19/C19-1,C19/D19-1)</f>
        <v>0.1484544468546638</v>
      </c>
      <c r="E22" s="120"/>
      <c r="F22" s="120"/>
      <c r="G22" s="120"/>
      <c r="H22" s="120"/>
      <c r="I22" s="120"/>
    </row>
    <row r="23" spans="1:36" ht="13.5" thickBot="1">
      <c r="A23" s="645"/>
      <c r="B23" s="645"/>
      <c r="C23" s="645"/>
      <c r="D23" s="645"/>
      <c r="E23" s="120"/>
      <c r="F23" s="120"/>
      <c r="G23" s="120"/>
      <c r="H23" s="120"/>
      <c r="I23" s="120"/>
    </row>
    <row r="24" spans="1:36" ht="14.25">
      <c r="A24" s="3253" t="s">
        <v>1299</v>
      </c>
      <c r="B24" s="1630" t="s">
        <v>1291</v>
      </c>
      <c r="C24" s="127">
        <f>IF(B30=0,0,D30)</f>
        <v>0</v>
      </c>
      <c r="D24" s="1636"/>
      <c r="E24" s="120"/>
      <c r="F24" s="120"/>
      <c r="G24" s="120"/>
      <c r="H24" s="120"/>
      <c r="I24" s="120"/>
    </row>
    <row r="25" spans="1:36" ht="14.25">
      <c r="A25" s="3254"/>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7924</v>
      </c>
      <c r="D32" s="1640" t="s">
        <v>3447</v>
      </c>
      <c r="E32" s="120"/>
      <c r="F32" s="120"/>
      <c r="G32" s="120"/>
      <c r="H32" s="120"/>
      <c r="I32" s="120"/>
    </row>
    <row r="33" spans="1:15" ht="15">
      <c r="A33" s="739" t="s">
        <v>1306</v>
      </c>
      <c r="B33" s="122"/>
      <c r="C33" s="1641" t="s">
        <v>3448</v>
      </c>
      <c r="D33" s="1642" t="s">
        <v>3429</v>
      </c>
      <c r="E33" s="1643" t="s">
        <v>1307</v>
      </c>
      <c r="F33" s="1644" t="str">
        <f>IF(D32="楼面单价","取值（单价）","取值（总价）")</f>
        <v>取值（总价）</v>
      </c>
      <c r="G33" s="120"/>
      <c r="H33" s="120"/>
      <c r="I33" s="120"/>
    </row>
    <row r="34" spans="1:15" ht="15">
      <c r="A34" s="1645"/>
      <c r="B34" s="1646" t="s">
        <v>1308</v>
      </c>
      <c r="C34" s="139">
        <f ca="1">IF(C33="自定义",F34,C32-C35)</f>
        <v>3740</v>
      </c>
      <c r="D34" s="807">
        <f ca="1">IF(C33="自定义",ROUND(C34/C32,3),IF(C33="收益比率",SUMIF(INDIRECT("'"&amp;D33&amp;"'"&amp;"!b:b"),"土地收益比率",INDIRECT("'"&amp;D33&amp;"'"&amp;"!c:c")),SUMIF(INDIRECT("'"&amp;D33&amp;"'"&amp;"!b:b"),"土地成本比率",INDIRECT("'"&amp;D33&amp;"'"&amp;"!c:c"))))</f>
        <v>0.47199999999999998</v>
      </c>
      <c r="E34" s="1647" t="s">
        <v>1309</v>
      </c>
      <c r="F34" s="1242"/>
      <c r="G34" s="120"/>
      <c r="H34" s="120"/>
      <c r="I34" s="120"/>
    </row>
    <row r="35" spans="1:15" ht="15.75" thickBot="1">
      <c r="A35" s="1648"/>
      <c r="B35" s="1649" t="s">
        <v>1310</v>
      </c>
      <c r="C35" s="1089">
        <f ca="1">IF(C33="自定义",F35,ROUND(C32*D35,0))</f>
        <v>4184</v>
      </c>
      <c r="D35" s="1090">
        <f ca="1">IF(C33="自定义",ROUND(C35/C32,3),IF(C33="收益比率",SUMIF(INDIRECT("'"&amp;D33&amp;"'"&amp;"!b:b"),"建筑物收益比率",INDIRECT("'"&amp;D33&amp;"'"&amp;"!c:c")),SUMIF(INDIRECT("'"&amp;D33&amp;"'"&amp;"!b:b"),"建筑物成本比率",INDIRECT("'"&amp;D33&amp;"'"&amp;"!c:c"))))</f>
        <v>0.52800000000000002</v>
      </c>
      <c r="E35" s="1650" t="s">
        <v>1311</v>
      </c>
      <c r="F35" s="145"/>
      <c r="G35" s="120"/>
      <c r="H35" s="120"/>
      <c r="I35" s="120"/>
    </row>
    <row r="36" spans="1:15" ht="15.75" thickBot="1">
      <c r="A36" s="3273" t="s">
        <v>1312</v>
      </c>
      <c r="B36" s="1651" t="s">
        <v>1313</v>
      </c>
      <c r="C36" s="136"/>
      <c r="D36" s="1652"/>
      <c r="E36" s="1566"/>
      <c r="F36" s="1653"/>
      <c r="G36" s="120"/>
      <c r="H36" s="120"/>
      <c r="I36" s="120"/>
    </row>
    <row r="37" spans="1:15" ht="15.75" thickBot="1">
      <c r="A37" s="3274"/>
      <c r="B37" s="1554" t="s">
        <v>1314</v>
      </c>
      <c r="C37" s="138"/>
      <c r="D37" s="1070"/>
      <c r="E37" s="1070"/>
      <c r="F37" s="1653"/>
      <c r="G37" s="120"/>
      <c r="H37" s="120"/>
      <c r="I37" s="120"/>
    </row>
    <row r="38" spans="1:15" ht="15.75" thickBot="1">
      <c r="A38" s="3275"/>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0" t="s">
        <v>1326</v>
      </c>
      <c r="B45" s="3251"/>
      <c r="C45" s="3252"/>
      <c r="D45" s="146">
        <f ca="1">ROUND(H101*F45,0)</f>
        <v>7924</v>
      </c>
      <c r="E45" s="147" t="s">
        <v>1327</v>
      </c>
      <c r="F45" s="148">
        <v>1</v>
      </c>
      <c r="G45" s="149" t="s">
        <v>1328</v>
      </c>
      <c r="H45" s="120"/>
      <c r="I45" s="120"/>
      <c r="J45" s="3328" t="s">
        <v>1329</v>
      </c>
      <c r="K45" s="3328"/>
      <c r="L45" s="3328"/>
      <c r="M45" s="3328"/>
      <c r="N45" s="3328"/>
      <c r="O45" s="3328"/>
    </row>
    <row r="46" spans="1:15" ht="14.25" customHeight="1">
      <c r="A46" s="3247" t="s">
        <v>1330</v>
      </c>
      <c r="B46" s="3248"/>
      <c r="C46" s="3248"/>
      <c r="D46" s="3248"/>
      <c r="E46" s="3248"/>
      <c r="F46" s="3248"/>
      <c r="G46" s="3249"/>
      <c r="H46" s="1667"/>
      <c r="I46" s="150"/>
      <c r="J46" s="2309">
        <v>1</v>
      </c>
      <c r="K46" s="3309" t="s">
        <v>1331</v>
      </c>
      <c r="L46" s="3309"/>
      <c r="M46" s="3329"/>
      <c r="N46" s="3329"/>
      <c r="O46" s="3329"/>
    </row>
    <row r="47" spans="1:15" ht="12" customHeight="1">
      <c r="A47" s="151" t="s">
        <v>1332</v>
      </c>
      <c r="B47" s="152"/>
      <c r="C47" s="153"/>
      <c r="D47" s="1023" t="s">
        <v>1333</v>
      </c>
      <c r="E47" s="293" t="s">
        <v>1334</v>
      </c>
      <c r="F47" s="154" t="s">
        <v>1335</v>
      </c>
      <c r="G47" s="2332" t="s">
        <v>1336</v>
      </c>
      <c r="H47" s="2333"/>
      <c r="I47" s="150"/>
      <c r="J47" s="2309">
        <v>2</v>
      </c>
      <c r="K47" s="3309" t="s">
        <v>1337</v>
      </c>
      <c r="L47" s="3309"/>
      <c r="M47" s="3330">
        <f>'数据-取费表'!B2</f>
        <v>45740</v>
      </c>
      <c r="N47" s="3330"/>
      <c r="O47" s="3330"/>
    </row>
    <row r="48" spans="1:15" ht="25.5">
      <c r="A48" s="3278" t="s">
        <v>1338</v>
      </c>
      <c r="B48" s="3261"/>
      <c r="C48" s="3261"/>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09" t="s">
        <v>1340</v>
      </c>
      <c r="L48" s="3309"/>
      <c r="M48" s="3331">
        <f ca="1">H101</f>
        <v>7924</v>
      </c>
      <c r="N48" s="3331"/>
      <c r="O48" s="3331"/>
    </row>
    <row r="49" spans="1:35" ht="25.5" customHeight="1">
      <c r="A49" s="2151" t="s">
        <v>1341</v>
      </c>
      <c r="B49" s="3245" t="s">
        <v>1342</v>
      </c>
      <c r="C49" s="3245"/>
      <c r="D49" s="1477">
        <v>0</v>
      </c>
      <c r="E49" s="315" t="s">
        <v>1343</v>
      </c>
      <c r="F49" s="2232" t="s">
        <v>28</v>
      </c>
      <c r="G49" s="3315"/>
      <c r="H49" s="2133" t="s">
        <v>2134</v>
      </c>
      <c r="I49" s="2134"/>
      <c r="J49" s="2309">
        <v>4</v>
      </c>
      <c r="K49" s="3309" t="str">
        <f>IF(项目基本情况!E8="房地产抵押价值","房地产抵押价值","抵押担保权已注销时的房地产抵押价值")</f>
        <v>房地产抵押价值</v>
      </c>
      <c r="L49" s="3309"/>
      <c r="M49" s="3331">
        <f ca="1">IF(项目基本情况!E8="房地产抵押价值",H107,H109)</f>
        <v>7924</v>
      </c>
      <c r="N49" s="3331"/>
      <c r="O49" s="3331"/>
    </row>
    <row r="50" spans="1:35" ht="25.5" customHeight="1">
      <c r="A50" s="2337"/>
      <c r="B50" s="3245" t="s">
        <v>1344</v>
      </c>
      <c r="C50" s="3245"/>
      <c r="D50" s="2188"/>
      <c r="E50" s="322"/>
      <c r="F50" s="2232"/>
      <c r="G50" s="3316"/>
      <c r="H50" s="2135" t="s">
        <v>2135</v>
      </c>
      <c r="I50" s="2134"/>
      <c r="J50" s="3328" t="s">
        <v>1345</v>
      </c>
      <c r="K50" s="3328"/>
      <c r="L50" s="3328"/>
      <c r="M50" s="3328"/>
      <c r="N50" s="3328"/>
      <c r="O50" s="3328"/>
    </row>
    <row r="51" spans="1:35" ht="20.45" customHeight="1">
      <c r="A51" s="2338"/>
      <c r="B51" s="3245" t="s">
        <v>1346</v>
      </c>
      <c r="C51" s="3245"/>
      <c r="D51" s="1023"/>
      <c r="E51" s="318"/>
      <c r="F51" s="2232"/>
      <c r="G51" s="3317"/>
      <c r="H51" s="2135" t="s">
        <v>2136</v>
      </c>
      <c r="I51" s="2134"/>
      <c r="J51" s="2310" t="s">
        <v>1347</v>
      </c>
      <c r="K51" s="3309" t="s">
        <v>1348</v>
      </c>
      <c r="L51" s="3309"/>
      <c r="M51" s="2310" t="s">
        <v>1349</v>
      </c>
      <c r="N51" s="2310" t="s">
        <v>1350</v>
      </c>
      <c r="O51" s="2310" t="s">
        <v>1351</v>
      </c>
    </row>
    <row r="52" spans="1:35" ht="24" customHeight="1">
      <c r="A52" s="2152" t="s">
        <v>1352</v>
      </c>
      <c r="B52" s="3245" t="s">
        <v>1353</v>
      </c>
      <c r="C52" s="3245"/>
      <c r="D52" s="1023">
        <f ca="1">ROUND(D45*'数据-取费表'!B41/(1+'数据-取费表'!C42),0)</f>
        <v>415</v>
      </c>
      <c r="E52" s="1255" t="s">
        <v>1354</v>
      </c>
      <c r="F52" s="2339">
        <f>'数据-取费表'!B41</f>
        <v>5.5000000000000007E-2</v>
      </c>
      <c r="G52" s="2340"/>
      <c r="H52" s="2330"/>
      <c r="I52" s="1668"/>
      <c r="J52" s="2309">
        <v>1</v>
      </c>
      <c r="K52" s="3310" t="s">
        <v>1355</v>
      </c>
      <c r="L52" s="3310"/>
      <c r="M52" s="2311" t="b">
        <f>D48</f>
        <v>0</v>
      </c>
      <c r="N52" s="2309" t="str">
        <f>E48</f>
        <v>销售额×税（费）率</v>
      </c>
      <c r="O52" s="2312">
        <f>F48</f>
        <v>5.5000000000000007E-2</v>
      </c>
    </row>
    <row r="53" spans="1:35" ht="12" customHeight="1">
      <c r="A53" s="2152" t="s">
        <v>1356</v>
      </c>
      <c r="B53" s="3271" t="s">
        <v>2291</v>
      </c>
      <c r="C53" s="3272"/>
      <c r="D53" s="1023">
        <f ca="1">ROUND(D45*'数据-取费表'!B41/(1+'数据-取费表'!C42),0)</f>
        <v>415</v>
      </c>
      <c r="E53" s="1255" t="s">
        <v>1354</v>
      </c>
      <c r="F53" s="2339">
        <f>'数据-取费表'!B41</f>
        <v>5.5000000000000007E-2</v>
      </c>
      <c r="G53" s="2340"/>
      <c r="H53" s="2330"/>
      <c r="I53" s="1668"/>
      <c r="J53" s="2309">
        <v>2</v>
      </c>
      <c r="K53" s="3310" t="s">
        <v>1357</v>
      </c>
      <c r="L53" s="3310"/>
      <c r="M53" s="2311">
        <f t="shared" ref="M53:O54" ca="1" si="0">D55</f>
        <v>4</v>
      </c>
      <c r="N53" s="2309" t="str">
        <f t="shared" si="0"/>
        <v>销售额×税（费）率</v>
      </c>
      <c r="O53" s="2312" t="str">
        <f t="shared" si="0"/>
        <v>免征</v>
      </c>
    </row>
    <row r="54" spans="1:35" ht="12" customHeight="1">
      <c r="A54" s="2152" t="s">
        <v>1358</v>
      </c>
      <c r="B54" s="3271" t="s">
        <v>2292</v>
      </c>
      <c r="C54" s="3272"/>
      <c r="D54" s="1023">
        <f ca="1">C68</f>
        <v>415</v>
      </c>
      <c r="E54" s="318" t="s">
        <v>1359</v>
      </c>
      <c r="F54" s="2339">
        <f>'数据-取费表'!B41</f>
        <v>5.5000000000000007E-2</v>
      </c>
      <c r="G54" s="2340"/>
      <c r="H54" s="2341"/>
      <c r="I54" s="1668"/>
      <c r="J54" s="2309">
        <v>3</v>
      </c>
      <c r="K54" s="3310" t="s">
        <v>1360</v>
      </c>
      <c r="L54" s="3310"/>
      <c r="M54" s="2311">
        <f t="shared" ca="1" si="0"/>
        <v>4492</v>
      </c>
      <c r="N54" s="2309" t="str">
        <f t="shared" si="0"/>
        <v>增值额×税（费）率</v>
      </c>
      <c r="O54" s="2313" t="str">
        <f t="shared" si="0"/>
        <v>免征</v>
      </c>
    </row>
    <row r="55" spans="1:35" ht="24" customHeight="1">
      <c r="A55" s="3260" t="s">
        <v>1361</v>
      </c>
      <c r="B55" s="3261"/>
      <c r="C55" s="3261"/>
      <c r="D55" s="12">
        <f ca="1">IF(H55="个人住宅",0,ROUND(D45*I55,0))</f>
        <v>4</v>
      </c>
      <c r="E55" s="1255" t="s">
        <v>1362</v>
      </c>
      <c r="F55" s="2339" t="str">
        <f>IF(H55="正常",I55,"免征")</f>
        <v>免征</v>
      </c>
      <c r="G55" s="2340"/>
      <c r="H55" s="2336"/>
      <c r="I55" s="156">
        <f>'数据-取费表'!B49</f>
        <v>5.0000000000000001E-4</v>
      </c>
      <c r="J55" s="2309">
        <f>IF(H59="非个人房产","",4)</f>
        <v>4</v>
      </c>
      <c r="K55" s="3310" t="str">
        <f>IF(H59="非个人房产","——","个人所得税")</f>
        <v>个人所得税</v>
      </c>
      <c r="L55" s="3310"/>
      <c r="M55" s="2314">
        <f ca="1">D59</f>
        <v>75</v>
      </c>
      <c r="N55" s="1882" t="str">
        <f>E59</f>
        <v>差额计税</v>
      </c>
      <c r="O55" s="2315">
        <f>F59</f>
        <v>0.01</v>
      </c>
    </row>
    <row r="56" spans="1:35" ht="24.75">
      <c r="A56" s="3260" t="s">
        <v>1363</v>
      </c>
      <c r="B56" s="3261"/>
      <c r="C56" s="3261"/>
      <c r="D56" s="12">
        <f ca="1">IF(H56="个人住宅",D57,D58)</f>
        <v>4492</v>
      </c>
      <c r="E56" s="1255" t="s">
        <v>1364</v>
      </c>
      <c r="F56" s="2339" t="str">
        <f>IF(H56="正常",F58,"免征")</f>
        <v>免征</v>
      </c>
      <c r="G56" s="2342" t="s">
        <v>1365</v>
      </c>
      <c r="H56" s="2343"/>
      <c r="I56" s="1669"/>
      <c r="J56" s="2309" t="str">
        <f>IF(项目基本情况!K6="上海银行",IF(J55="",4,J55+1),"")</f>
        <v/>
      </c>
      <c r="K56" s="3333" t="str">
        <f>IF(项目基本情况!K6="上海银行","其他处置费用","")</f>
        <v/>
      </c>
      <c r="L56" s="3334"/>
      <c r="M56" s="2311" t="str">
        <f>IF(项目基本情况!K6="上海银行",M69,"")</f>
        <v/>
      </c>
      <c r="N56" s="3333" t="str">
        <f>IF(项目基本情况!K6="上海银行","包含处置中涉及的律师、诉讼、拍卖、评估等费用","")</f>
        <v/>
      </c>
      <c r="O56" s="3336"/>
    </row>
    <row r="57" spans="1:35" ht="12.75">
      <c r="A57" s="2152" t="s">
        <v>1341</v>
      </c>
      <c r="B57" s="3271" t="s">
        <v>1366</v>
      </c>
      <c r="C57" s="3272"/>
      <c r="D57" s="1477">
        <v>0</v>
      </c>
      <c r="E57" s="315" t="s">
        <v>1343</v>
      </c>
      <c r="F57" s="293"/>
      <c r="G57" s="2340"/>
      <c r="H57" s="2344"/>
      <c r="I57" s="1669"/>
      <c r="J57" s="3310">
        <f>IF(AND(J55="",J56=""),4,IF(项目基本情况!K6="上海银行",结果表!J56+1,结果表!J55+1))</f>
        <v>5</v>
      </c>
      <c r="K57" s="3310" t="s">
        <v>1367</v>
      </c>
      <c r="L57" s="2316" t="s">
        <v>1368</v>
      </c>
      <c r="M57" s="2317"/>
      <c r="N57" s="2318">
        <f ca="1">SUMIF(M52:M56,"&lt;9e307")</f>
        <v>4571</v>
      </c>
      <c r="O57" s="2319"/>
      <c r="P57" s="2464">
        <f ca="1">N57/M49</f>
        <v>0.57685512367491165</v>
      </c>
    </row>
    <row r="58" spans="1:35" ht="24.75">
      <c r="A58" s="2152" t="s">
        <v>1352</v>
      </c>
      <c r="B58" s="3271" t="s">
        <v>1369</v>
      </c>
      <c r="C58" s="3245"/>
      <c r="D58" s="12">
        <f ca="1">IF(H58="转让取得",C81,C97)</f>
        <v>4492</v>
      </c>
      <c r="E58" s="1255" t="s">
        <v>1364</v>
      </c>
      <c r="F58" s="293" t="s">
        <v>28</v>
      </c>
      <c r="G58" s="2340"/>
      <c r="H58" s="2343"/>
      <c r="I58" s="1669"/>
      <c r="J58" s="3310"/>
      <c r="K58" s="3310"/>
      <c r="L58" s="2316" t="s">
        <v>1370</v>
      </c>
      <c r="M58" s="2320"/>
      <c r="N58" s="2321" t="str">
        <f ca="1">NUMBERSTRING(INT(N57*10000),2)&amp;"元整"</f>
        <v>肆仟伍佰柒拾壹万元整</v>
      </c>
      <c r="O58" s="2322"/>
    </row>
    <row r="59" spans="1:35" ht="24.75" thickBot="1">
      <c r="A59" s="3313" t="s">
        <v>1371</v>
      </c>
      <c r="B59" s="3314"/>
      <c r="C59" s="3314"/>
      <c r="D59" s="2345">
        <f ca="1">IF(H59="非个人房产","——",IF(H59="个人住宅（满五唯一有凭证）",0,IF(H59="个人其他（无凭证）",ROUND(D45*F59,0),ROUND(C67*F59,0))))</f>
        <v>75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11">
        <f>J57+1</f>
        <v>6</v>
      </c>
      <c r="K59" s="3310" t="s">
        <v>1372</v>
      </c>
      <c r="L59" s="2309" t="s">
        <v>1368</v>
      </c>
      <c r="M59" s="2323"/>
      <c r="N59" s="2324">
        <f ca="1">M49-N57</f>
        <v>3353</v>
      </c>
      <c r="O59" s="2325"/>
    </row>
    <row r="60" spans="1:35" ht="12" customHeight="1">
      <c r="A60" s="1670"/>
      <c r="B60" s="645"/>
      <c r="C60" s="645"/>
      <c r="D60" s="645"/>
      <c r="E60" s="1465"/>
      <c r="F60" s="1669"/>
      <c r="G60" s="1669"/>
      <c r="H60" s="150"/>
      <c r="I60" s="120"/>
      <c r="J60" s="3312"/>
      <c r="K60" s="3310"/>
      <c r="L60" s="2316" t="s">
        <v>1370</v>
      </c>
      <c r="M60" s="2320"/>
      <c r="N60" s="2321" t="str">
        <f ca="1">NUMBERSTRING(INT(N59*10000),2)&amp;"元整"</f>
        <v>叁仟叁佰伍拾叁万元整</v>
      </c>
      <c r="O60" s="2322"/>
    </row>
    <row r="61" spans="1:35" ht="13.5" thickBot="1">
      <c r="A61" s="3258" t="s">
        <v>1373</v>
      </c>
      <c r="B61" s="3258"/>
      <c r="C61" s="3258"/>
      <c r="D61" s="3258"/>
      <c r="E61" s="3258"/>
      <c r="F61" s="1669"/>
      <c r="G61" s="1669"/>
      <c r="H61" s="150"/>
      <c r="I61" s="120"/>
      <c r="J61" s="2309">
        <f>J59+1</f>
        <v>7</v>
      </c>
      <c r="K61" s="3310" t="s">
        <v>1374</v>
      </c>
      <c r="L61" s="3310"/>
      <c r="M61" s="2326"/>
      <c r="N61" s="2327">
        <f ca="1">ROUND(N59*10000/'数据-汇总表'!E3,0)</f>
        <v>2102</v>
      </c>
      <c r="O61" s="2328"/>
    </row>
    <row r="62" spans="1:35" ht="12.75">
      <c r="A62" s="3276" t="s">
        <v>1375</v>
      </c>
      <c r="B62" s="3277"/>
      <c r="C62" s="1864"/>
      <c r="D62" s="1864" t="s">
        <v>1376</v>
      </c>
      <c r="E62" s="157" t="s">
        <v>1377</v>
      </c>
      <c r="F62" s="1669"/>
      <c r="G62" s="1669"/>
      <c r="H62" s="150"/>
      <c r="I62" s="120"/>
    </row>
    <row r="63" spans="1:35" ht="12.75">
      <c r="A63" s="164" t="s">
        <v>330</v>
      </c>
      <c r="B63" s="158" t="s">
        <v>1378</v>
      </c>
      <c r="C63" s="2349">
        <f ca="1">ROUND((C64+C65)/(1+'数据-取费表'!C42),0)</f>
        <v>7547</v>
      </c>
      <c r="D63" s="158"/>
      <c r="E63" s="159"/>
      <c r="F63" s="1669"/>
      <c r="G63" s="1669"/>
      <c r="H63" s="150"/>
      <c r="I63" s="120"/>
      <c r="J63" s="3335" t="s">
        <v>1379</v>
      </c>
      <c r="K63" s="1244" t="s">
        <v>1380</v>
      </c>
      <c r="L63" s="1244">
        <f ca="1">IF(M49&gt;10000,M49*0.5%,IF(AND(M49&gt;1000,M49&lt;=10000),M49*1%,IF(AND(M49&gt;100,M49&lt;=1000),M49*3%,IF(AND(M49&gt;10,M49&lt;=100),M49*5%,M49*8%))))</f>
        <v>79.239999999999995</v>
      </c>
      <c r="M63" s="293">
        <f ca="1">ROUND(L63,1)</f>
        <v>79.2</v>
      </c>
      <c r="N63" s="2329"/>
      <c r="Z63" s="1622"/>
      <c r="AI63" s="1560"/>
    </row>
    <row r="64" spans="1:35" ht="14.25" customHeight="1">
      <c r="A64" s="160" t="s">
        <v>325</v>
      </c>
      <c r="B64" s="161" t="s">
        <v>1381</v>
      </c>
      <c r="C64" s="2350">
        <f ca="1">D45</f>
        <v>7924</v>
      </c>
      <c r="D64" s="161" t="s">
        <v>26</v>
      </c>
      <c r="E64" s="163"/>
      <c r="F64" s="1669"/>
      <c r="G64" s="1669"/>
      <c r="H64" s="150"/>
      <c r="I64" s="120"/>
      <c r="J64" s="3335"/>
      <c r="K64" s="1244" t="s">
        <v>1382</v>
      </c>
      <c r="L64" s="1244">
        <f ca="1">IF(M49&gt;2000,M49*0.5%,IF(AND(M49&gt;1000,M49&lt;=2000),M49*0.6%,IF(AND(M49&gt;500,M49&lt;=1000),M49*0.7%,IF(AND(M49&gt;200,M49&lt;=500),M49*0.8%,IF(AND(M49&gt;100,M49&lt;=200),M49*0.9%,IF(AND(M49&gt;50,M49&lt;=100),M49*1%,IF(AND(M49&gt;20,M49&lt;=50),M49*1.5%,IF(AND(M49&gt;10,M49&lt;=20),M49*2%,IF(AND(M49&gt;1,M49&lt;=10),M49*2.5%)))))))))</f>
        <v>39.619999999999997</v>
      </c>
      <c r="M64" s="293">
        <f t="shared" ref="M64:M65" ca="1" si="1">ROUND(L64,1)</f>
        <v>39.6</v>
      </c>
      <c r="N64" s="2330" t="s">
        <v>1383</v>
      </c>
      <c r="Z64" s="1622"/>
      <c r="AI64" s="1560"/>
    </row>
    <row r="65" spans="1:35" ht="14.25" customHeight="1">
      <c r="A65" s="160" t="s">
        <v>326</v>
      </c>
      <c r="B65" s="161" t="s">
        <v>1384</v>
      </c>
      <c r="C65" s="2351"/>
      <c r="D65" s="161"/>
      <c r="E65" s="163"/>
      <c r="F65" s="1669"/>
      <c r="G65" s="1669"/>
      <c r="H65" s="150"/>
      <c r="I65" s="120"/>
      <c r="J65" s="3335"/>
      <c r="K65" s="1244" t="s">
        <v>1385</v>
      </c>
      <c r="L65" s="1244">
        <f ca="1">IF(M49&gt;1000,M49*0.1%,IF(AND(M49&gt;500,M49&lt;=1000),M49*0.5%,IF(AND(M49&gt;50,M49&lt;=500),M49*1%,IF(AND(M49&gt;1,M49&lt;=50),M49*1.5%))))</f>
        <v>7.9240000000000004</v>
      </c>
      <c r="M65" s="293">
        <f t="shared" ca="1" si="1"/>
        <v>7.9</v>
      </c>
      <c r="N65" s="2330" t="s">
        <v>1383</v>
      </c>
      <c r="Z65" s="1622"/>
      <c r="AI65" s="1560"/>
    </row>
    <row r="66" spans="1:35" ht="14.25" customHeight="1">
      <c r="A66" s="164" t="s">
        <v>327</v>
      </c>
      <c r="B66" s="165" t="s">
        <v>1386</v>
      </c>
      <c r="C66" s="2352"/>
      <c r="D66" s="165" t="s">
        <v>26</v>
      </c>
      <c r="E66" s="1250" t="s">
        <v>671</v>
      </c>
      <c r="F66" s="1669"/>
      <c r="G66" s="1669"/>
      <c r="H66" s="150"/>
      <c r="I66" s="120"/>
      <c r="J66" s="3335"/>
      <c r="K66" s="1244" t="s">
        <v>1387</v>
      </c>
      <c r="L66" s="1244">
        <f ca="1">M49*0.5%</f>
        <v>39.619999999999997</v>
      </c>
      <c r="M66" s="293">
        <f ca="1">IF(L66&gt;0.5,0.5,ROUND(L66,0))</f>
        <v>0.5</v>
      </c>
      <c r="N66" s="2330" t="s">
        <v>1388</v>
      </c>
      <c r="Z66" s="1622"/>
      <c r="AI66" s="1560"/>
    </row>
    <row r="67" spans="1:35" ht="14.25" customHeight="1">
      <c r="A67" s="164" t="s">
        <v>328</v>
      </c>
      <c r="B67" s="165" t="s">
        <v>1389</v>
      </c>
      <c r="C67" s="2353">
        <f ca="1">C63-C66</f>
        <v>7547</v>
      </c>
      <c r="D67" s="161" t="s">
        <v>26</v>
      </c>
      <c r="E67" s="163"/>
      <c r="F67" s="1669"/>
      <c r="G67" s="1669"/>
      <c r="H67" s="150"/>
      <c r="I67" s="120"/>
      <c r="J67" s="3335"/>
      <c r="K67" s="1244" t="s">
        <v>1390</v>
      </c>
      <c r="L67" s="1244">
        <f ca="1">IF(M49&gt;=10000,(8.25+(M49-10000)*0.01%),IF(AND(M49&gt;=8000,M49&lt;10000),(7.85+(M49-8000)*0.02%),IF(AND(M49&gt;=5000,M49&lt;8000),(6.65+(M49-5000)*0.04%),IF(AND(M49&gt;=2000,M49&lt;5000),(4.25+(PM49-2000)*0.08%),IF(AND(M49&gt;=1000,M49&lt;2000),(2.75+(M49-1000)*0.15%),IF(AND(M49&gt;=100,M49&lt;1000),(0.5+(M49-100)*0.25%),IF(AND(M49&gt;0,M49&lt;100),M49*0.5%)))))))</f>
        <v>7.8196000000000003</v>
      </c>
      <c r="M67" s="293">
        <f ca="1">ROUND(L67*0.9,1)</f>
        <v>7</v>
      </c>
      <c r="N67" s="2329"/>
      <c r="Z67" s="1622"/>
      <c r="AI67" s="1560"/>
    </row>
    <row r="68" spans="1:35" ht="14.25" customHeight="1" thickBot="1">
      <c r="A68" s="167" t="s">
        <v>329</v>
      </c>
      <c r="B68" s="168" t="s">
        <v>1391</v>
      </c>
      <c r="C68" s="2354">
        <f ca="1">IF(C67&lt;=0,0,ROUND(C67*D68,0))</f>
        <v>415</v>
      </c>
      <c r="D68" s="2355">
        <f>'数据-取费表'!B41</f>
        <v>5.5000000000000007E-2</v>
      </c>
      <c r="E68" s="169"/>
      <c r="F68" s="1669"/>
      <c r="G68" s="1669"/>
      <c r="H68" s="150"/>
      <c r="I68" s="120"/>
      <c r="J68" s="3335"/>
      <c r="K68" s="1244" t="s">
        <v>1392</v>
      </c>
      <c r="L68" s="1244">
        <f ca="1">IF(M49&gt;10000,M49*0.5%,IF(AND(M49&gt;5000,M49&lt;=10000),M49*1%,IF(AND(M49&gt;1000,M49&lt;=5000),M49*2%,IF(AND(M49&gt;200,M49&lt;=1000),M49*3%,M49*5%))))</f>
        <v>79.239999999999995</v>
      </c>
      <c r="M68" s="293">
        <f ca="1">ROUND(L68,1)</f>
        <v>79.2</v>
      </c>
      <c r="N68" s="2329"/>
      <c r="Z68" s="1622"/>
      <c r="AI68" s="1560"/>
    </row>
    <row r="69" spans="1:35" ht="16.5" customHeight="1">
      <c r="A69" s="1671"/>
      <c r="B69" s="1672"/>
      <c r="C69" s="1673"/>
      <c r="D69" s="1674"/>
      <c r="E69" s="1675"/>
      <c r="F69" s="1465"/>
      <c r="G69" s="1465"/>
      <c r="H69" s="1466"/>
      <c r="I69" s="645"/>
      <c r="J69" s="3335"/>
      <c r="K69" s="1244" t="s">
        <v>1393</v>
      </c>
      <c r="L69" s="1244"/>
      <c r="M69" s="293">
        <f ca="1">ROUND(SUM(M63:M68),0)</f>
        <v>213</v>
      </c>
      <c r="N69" s="2331">
        <f ca="1">M69/M49</f>
        <v>2.6880363452801617E-2</v>
      </c>
      <c r="Z69" s="1622"/>
      <c r="AI69" s="1560"/>
    </row>
    <row r="70" spans="1:35" s="641" customFormat="1" ht="15" thickBot="1">
      <c r="A70" s="3297" t="s">
        <v>1394</v>
      </c>
      <c r="B70" s="3298"/>
      <c r="C70" s="3298"/>
      <c r="D70" s="3298"/>
      <c r="E70" s="3298"/>
      <c r="F70" s="3298"/>
      <c r="G70" s="3298"/>
      <c r="H70" s="3298"/>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6" t="s">
        <v>1375</v>
      </c>
      <c r="B71" s="3277"/>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7547</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38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271" t="s">
        <v>1402</v>
      </c>
      <c r="F76" s="3245"/>
      <c r="G76" s="3245"/>
      <c r="H76" s="329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38</v>
      </c>
      <c r="D78" s="2362">
        <f>'数据-取费表'!B43</f>
        <v>5.000000000000001E-3</v>
      </c>
      <c r="E78" s="3255" t="s">
        <v>1406</v>
      </c>
      <c r="F78" s="3256"/>
      <c r="G78" s="3256"/>
      <c r="H78" s="326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7509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197.60526315789474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4492</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7" t="s">
        <v>1410</v>
      </c>
      <c r="B83" s="3298"/>
      <c r="C83" s="3298"/>
      <c r="D83" s="3298"/>
      <c r="E83" s="3298"/>
      <c r="F83" s="3298"/>
      <c r="G83" s="3298"/>
      <c r="H83" s="329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6" t="s">
        <v>1375</v>
      </c>
      <c r="B84" s="3277"/>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7547</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38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37" t="s">
        <v>2129</v>
      </c>
      <c r="H90" s="3338"/>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55" t="s">
        <v>1419</v>
      </c>
      <c r="F91" s="3256"/>
      <c r="G91" s="325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55" t="s">
        <v>1422</v>
      </c>
      <c r="F92" s="3256"/>
      <c r="G92" s="3256"/>
      <c r="H92" s="3265"/>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38</v>
      </c>
      <c r="D93" s="2362">
        <f>'数据-取费表'!B43</f>
        <v>5.000000000000001E-3</v>
      </c>
      <c r="E93" s="3255" t="s">
        <v>1406</v>
      </c>
      <c r="F93" s="3256"/>
      <c r="G93" s="3256"/>
      <c r="H93" s="326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266" t="s">
        <v>1426</v>
      </c>
      <c r="F94" s="3267"/>
      <c r="G94" s="3267"/>
      <c r="H94" s="32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7509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197.60526315789474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4492</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39" t="s">
        <v>1428</v>
      </c>
      <c r="B100" s="3240"/>
      <c r="C100" s="3240"/>
      <c r="D100" s="3257"/>
      <c r="E100" s="3240" t="s">
        <v>1429</v>
      </c>
      <c r="F100" s="3240"/>
      <c r="G100" s="3240"/>
      <c r="H100" s="3257"/>
      <c r="I100" s="120"/>
    </row>
    <row r="101" spans="1:35" ht="18.75" customHeight="1">
      <c r="A101" s="3318" t="s">
        <v>1430</v>
      </c>
      <c r="B101" s="3319"/>
      <c r="C101" s="2370" t="str">
        <f>C4</f>
        <v>成本法</v>
      </c>
      <c r="D101" s="2371" t="str">
        <f>D4</f>
        <v>收益法（汇总）</v>
      </c>
      <c r="E101" s="3332" t="s">
        <v>1431</v>
      </c>
      <c r="F101" s="3289"/>
      <c r="G101" s="1686" t="s">
        <v>1432</v>
      </c>
      <c r="H101" s="2380">
        <f ca="1">H118</f>
        <v>7924</v>
      </c>
      <c r="I101" s="120"/>
    </row>
    <row r="102" spans="1:35" ht="18.75" customHeight="1">
      <c r="A102" s="3291" t="s">
        <v>1433</v>
      </c>
      <c r="B102" s="2369" t="s">
        <v>1432</v>
      </c>
      <c r="C102" s="2370">
        <f ca="1">IF(D32="楼面单价",ROUND(C19,0),C19)</f>
        <v>7376</v>
      </c>
      <c r="D102" s="2371">
        <f ca="1">IF(D32="楼面单价",ROUND(D19,0),D19)</f>
        <v>8471</v>
      </c>
      <c r="E102" s="3332"/>
      <c r="F102" s="3289"/>
      <c r="G102" s="1686" t="s">
        <v>1434</v>
      </c>
      <c r="H102" s="2340">
        <f ca="1">I118</f>
        <v>4968</v>
      </c>
      <c r="I102" s="120"/>
    </row>
    <row r="103" spans="1:35" ht="42.75" customHeight="1">
      <c r="A103" s="3291"/>
      <c r="B103" s="2369" t="s">
        <v>1434</v>
      </c>
      <c r="C103" s="2372">
        <f ca="1">C20</f>
        <v>4624</v>
      </c>
      <c r="D103" s="2373">
        <f ca="1">D20</f>
        <v>5311</v>
      </c>
      <c r="E103" s="3326" t="s">
        <v>1435</v>
      </c>
      <c r="F103" s="3327"/>
      <c r="G103" s="1687" t="s">
        <v>1436</v>
      </c>
      <c r="H103" s="2380">
        <f>IF(D36="正常操作",H104+H105+H106,H105+H106)</f>
        <v>0</v>
      </c>
      <c r="I103" s="120"/>
    </row>
    <row r="104" spans="1:35" ht="18.75" customHeight="1">
      <c r="A104" s="3291" t="s">
        <v>1437</v>
      </c>
      <c r="B104" s="2374" t="s">
        <v>1432</v>
      </c>
      <c r="C104" s="2375">
        <f ca="1">H118</f>
        <v>7924</v>
      </c>
      <c r="D104" s="2376"/>
      <c r="E104" s="1554" t="s">
        <v>1438</v>
      </c>
      <c r="F104" s="1547"/>
      <c r="G104" s="1687" t="s">
        <v>1436</v>
      </c>
      <c r="H104" s="2381">
        <f>IF(D36="同一抵押权人同一抵押物续贷",C36&amp;"（续贷，未扣减，详见特别提示）",C36)</f>
        <v>0</v>
      </c>
      <c r="I104" s="120"/>
    </row>
    <row r="105" spans="1:35" ht="18.75" customHeight="1" thickBot="1">
      <c r="A105" s="3292"/>
      <c r="B105" s="2377" t="s">
        <v>1434</v>
      </c>
      <c r="C105" s="2378">
        <f ca="1">I118</f>
        <v>4968</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288" t="str">
        <f>IF(项目基本情况!E8="已注销","——","3.房地产抵押价值")</f>
        <v>3.房地产抵押价值</v>
      </c>
      <c r="F107" s="3289"/>
      <c r="G107" s="1686" t="s">
        <v>1432</v>
      </c>
      <c r="H107" s="2380">
        <f ca="1">IF(E107="——","——",H101-H103)</f>
        <v>7924</v>
      </c>
      <c r="I107" s="120"/>
    </row>
    <row r="108" spans="1:35" ht="18.75" customHeight="1">
      <c r="A108" s="120"/>
      <c r="B108" s="120"/>
      <c r="C108" s="120"/>
      <c r="D108" s="120"/>
      <c r="E108" s="3288"/>
      <c r="F108" s="3289"/>
      <c r="G108" s="1686" t="s">
        <v>1434</v>
      </c>
      <c r="H108" s="2340">
        <f ca="1">IF(H107=H101,H102,ROUND(H107*10000/'数据-汇总表'!E3,0))</f>
        <v>4968</v>
      </c>
      <c r="I108" s="120"/>
    </row>
    <row r="109" spans="1:35" ht="18.75" customHeight="1">
      <c r="A109" s="120"/>
      <c r="B109" s="120"/>
      <c r="C109" s="120"/>
      <c r="D109" s="120"/>
      <c r="E109" s="3288" t="str">
        <f>IF(项目基本情况!E8="已注销及未注销","4.抵押担保权已注销时的房地产抵押价值",IF(项目基本情况!E8="已注销","3.抵押担保权已注销时的房地产抵押价值","——"))</f>
        <v>——</v>
      </c>
      <c r="F109" s="3289"/>
      <c r="G109" s="1686" t="s">
        <v>1432</v>
      </c>
      <c r="H109" s="2383" t="str">
        <f>IF(E109="——","——",H101-H105-H106)</f>
        <v>——</v>
      </c>
      <c r="I109" s="120"/>
    </row>
    <row r="110" spans="1:35" ht="18.75" customHeight="1">
      <c r="A110" s="120"/>
      <c r="B110" s="120"/>
      <c r="C110" s="120"/>
      <c r="D110" s="120"/>
      <c r="E110" s="3288"/>
      <c r="F110" s="3289"/>
      <c r="G110" s="1686" t="s">
        <v>1434</v>
      </c>
      <c r="H110" s="2340" t="str">
        <f>IF(H109="——","——",ROUND(H109*10000/'数据-汇总表'!E3,0))</f>
        <v>——</v>
      </c>
      <c r="I110" s="120"/>
    </row>
    <row r="111" spans="1:35" ht="18.75" customHeight="1">
      <c r="A111" s="120"/>
      <c r="B111" s="120"/>
      <c r="C111" s="120"/>
      <c r="D111" s="120"/>
      <c r="E111" s="3320" t="str">
        <f>IF(项目基本情况!E9="抵押净值",IF(OR(项目基本情况!E8="已注销",项目基本情况!E8="房地产抵押价值"),"4.抵押净值","5.抵押净值"),"——")</f>
        <v>——</v>
      </c>
      <c r="F111" s="3290"/>
      <c r="G111" s="1686" t="s">
        <v>1432</v>
      </c>
      <c r="H111" s="2380" t="str">
        <f>IF(E111="——","——",N59)</f>
        <v>——</v>
      </c>
      <c r="I111" s="120"/>
    </row>
    <row r="112" spans="1:35" ht="18.75" customHeight="1" thickBot="1">
      <c r="A112" s="120"/>
      <c r="B112" s="120"/>
      <c r="C112" s="120"/>
      <c r="D112" s="120"/>
      <c r="E112" s="3321"/>
      <c r="F112" s="3322"/>
      <c r="G112" s="1689" t="s">
        <v>1434</v>
      </c>
      <c r="H112" s="2384" t="str">
        <f>IF(E111="——","——",N61)</f>
        <v>——</v>
      </c>
      <c r="I112" s="120"/>
    </row>
    <row r="113" spans="1:27" ht="18.75" customHeight="1">
      <c r="A113" s="120"/>
      <c r="B113" s="120"/>
      <c r="C113" s="120"/>
      <c r="D113" s="120"/>
      <c r="E113" s="3293" t="s">
        <v>1440</v>
      </c>
      <c r="F113" s="3293"/>
      <c r="G113" s="3293"/>
      <c r="H113" s="3293"/>
      <c r="I113" s="120"/>
    </row>
    <row r="114" spans="1:27" ht="3.75" customHeight="1">
      <c r="A114" s="645"/>
      <c r="B114" s="645"/>
      <c r="C114" s="645"/>
      <c r="D114" s="645"/>
      <c r="E114" s="1670"/>
      <c r="F114" s="1670"/>
      <c r="G114" s="1670"/>
      <c r="H114" s="1670"/>
      <c r="I114" s="645"/>
    </row>
    <row r="115" spans="1:27" ht="18.75" customHeight="1">
      <c r="A115" s="3303" t="s">
        <v>1442</v>
      </c>
      <c r="B115" s="3304"/>
      <c r="C115" s="3304"/>
      <c r="D115" s="3304"/>
      <c r="E115" s="3304"/>
      <c r="F115" s="3304"/>
      <c r="G115" s="3304"/>
      <c r="H115" s="3304"/>
      <c r="I115" s="3305"/>
    </row>
    <row r="116" spans="1:27" ht="27" customHeight="1">
      <c r="A116" s="3259" t="s">
        <v>1443</v>
      </c>
      <c r="B116" s="3294" t="s">
        <v>1444</v>
      </c>
      <c r="C116" s="3294" t="s">
        <v>1445</v>
      </c>
      <c r="D116" s="3307" t="s">
        <v>1446</v>
      </c>
      <c r="E116" s="3308"/>
      <c r="F116" s="3302" t="s">
        <v>1447</v>
      </c>
      <c r="G116" s="3302"/>
      <c r="H116" s="3259" t="s">
        <v>1448</v>
      </c>
      <c r="I116" s="3259"/>
    </row>
    <row r="117" spans="1:27" ht="18.75" customHeight="1">
      <c r="A117" s="3259"/>
      <c r="B117" s="3295"/>
      <c r="C117" s="329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15950.36</v>
      </c>
      <c r="C118" s="2149">
        <f>M19</f>
        <v>24215.7</v>
      </c>
      <c r="D118" s="2149">
        <f ca="1">ROUND(IF(D32="总价",C34,E118*B118/10000),0)</f>
        <v>3740</v>
      </c>
      <c r="E118" s="2149">
        <f ca="1">ROUND(IF(C33="自定义",IF(D32="楼面单价",C34,D118*10000/B118),I118-G118),0)</f>
        <v>2345</v>
      </c>
      <c r="F118" s="2149">
        <f ca="1">ROUND(IF(D32="总价",C35,G118*B118/10000),0)</f>
        <v>4184</v>
      </c>
      <c r="G118" s="2149">
        <f ca="1">ROUND(IF(D32="楼面单价",C35,F118*10000/B118),0)</f>
        <v>2623</v>
      </c>
      <c r="H118" s="2149">
        <f ca="1">ROUND(IF(D32="总价",C32,I118*B118/10000),0)</f>
        <v>7924</v>
      </c>
      <c r="I118" s="2149">
        <f ca="1">ROUND(IF(D32="楼面单价",C32,H118*10000/B118),0)</f>
        <v>4968</v>
      </c>
    </row>
    <row r="119" spans="1:27" ht="18.75" customHeight="1">
      <c r="A119" s="3259" t="s">
        <v>1452</v>
      </c>
      <c r="B119" s="3259"/>
      <c r="C119" s="3259"/>
      <c r="D119" s="3299" t="str">
        <f ca="1">NUMBERSTRING(INT(D118*10000),2)&amp;"元整"</f>
        <v>叁仟柒佰肆拾万元整</v>
      </c>
      <c r="E119" s="3301"/>
      <c r="F119" s="3299" t="str">
        <f ca="1">NUMBERSTRING(INT(F118*10000),2)&amp;"元整"</f>
        <v>肆仟壹佰捌拾肆万元整</v>
      </c>
      <c r="G119" s="3301"/>
      <c r="H119" s="3299" t="str">
        <f ca="1">NUMBERSTRING(INT(H118*10000),2)&amp;"元整"</f>
        <v>柒仟玖佰贰拾肆万元整</v>
      </c>
      <c r="I119" s="3301"/>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9" t="s">
        <v>1452</v>
      </c>
      <c r="B121" s="3300"/>
      <c r="C121" s="3301"/>
      <c r="D121" s="3299" t="str">
        <f>IF(D120=0,"零元整",NUMBERSTRING(INT(D120*10000),2)&amp;"元整")</f>
        <v>零元整</v>
      </c>
      <c r="E121" s="3300"/>
      <c r="F121" s="3300"/>
      <c r="G121" s="3300"/>
      <c r="H121" s="3300"/>
      <c r="I121" s="3301"/>
      <c r="AA121" s="683"/>
    </row>
    <row r="122" spans="1:27" ht="18.75" customHeight="1">
      <c r="A122" s="3290" t="str">
        <f>IF(项目基本情况!B9="房地产市场价值","",MID(E107,3,LEN(E107)-2))</f>
        <v>房地产抵押价值</v>
      </c>
      <c r="B122" s="3290"/>
      <c r="C122" s="3290"/>
      <c r="D122" s="3323">
        <f ca="1">H107</f>
        <v>7924</v>
      </c>
      <c r="E122" s="3324"/>
      <c r="F122" s="3324"/>
      <c r="G122" s="3324"/>
      <c r="H122" s="3324"/>
      <c r="I122" s="3325"/>
      <c r="AA122" s="683"/>
    </row>
    <row r="123" spans="1:27" ht="18.75" customHeight="1">
      <c r="A123" s="3259" t="s">
        <v>1452</v>
      </c>
      <c r="B123" s="3259"/>
      <c r="C123" s="3259"/>
      <c r="D123" s="3299" t="str">
        <f ca="1">NUMBERSTRING(INT(D122*10000),2)&amp;"元整"</f>
        <v>柒仟玖佰贰拾肆万元整</v>
      </c>
      <c r="E123" s="3300"/>
      <c r="F123" s="3300"/>
      <c r="G123" s="3300"/>
      <c r="H123" s="3300"/>
      <c r="I123" s="3301"/>
      <c r="AA123" s="683"/>
    </row>
    <row r="124" spans="1:27" ht="18.75" customHeight="1">
      <c r="A124" s="3290" t="str">
        <f>IF(项目基本情况!B9="房地产市场价值","",MID(E109,3,LEN(E109)-2))</f>
        <v/>
      </c>
      <c r="B124" s="3290"/>
      <c r="C124" s="3290"/>
      <c r="D124" s="3323" t="str">
        <f>H109</f>
        <v>——</v>
      </c>
      <c r="E124" s="3324"/>
      <c r="F124" s="3324"/>
      <c r="G124" s="3324"/>
      <c r="H124" s="3324"/>
      <c r="I124" s="3325"/>
      <c r="AA124" s="683"/>
    </row>
    <row r="125" spans="1:27" ht="18.75" customHeight="1">
      <c r="A125" s="3259" t="s">
        <v>1452</v>
      </c>
      <c r="B125" s="3259"/>
      <c r="C125" s="3259"/>
      <c r="D125" s="3299" t="e">
        <f>NUMBERSTRING(INT(D124*10000),2)&amp;"元整"</f>
        <v>#VALUE!</v>
      </c>
      <c r="E125" s="3300"/>
      <c r="F125" s="3300"/>
      <c r="G125" s="3300"/>
      <c r="H125" s="3300"/>
      <c r="I125" s="3301"/>
      <c r="AA125" s="683"/>
    </row>
    <row r="126" spans="1:27" ht="18.75" customHeight="1">
      <c r="A126" s="3290" t="str">
        <f>IF(项目基本情况!B9="房地产市场价值","",MID(E111,3,LEN(E111)-2))</f>
        <v/>
      </c>
      <c r="B126" s="3290"/>
      <c r="C126" s="3290"/>
      <c r="D126" s="3323" t="str">
        <f>H111</f>
        <v>——</v>
      </c>
      <c r="E126" s="3324"/>
      <c r="F126" s="3324"/>
      <c r="G126" s="3324"/>
      <c r="H126" s="3324"/>
      <c r="I126" s="3325"/>
      <c r="AA126" s="683"/>
    </row>
    <row r="127" spans="1:27" ht="18.75" customHeight="1">
      <c r="A127" s="3259" t="s">
        <v>1452</v>
      </c>
      <c r="B127" s="3259"/>
      <c r="C127" s="3259"/>
      <c r="D127" s="3299" t="e">
        <f>NUMBERSTRING(INT(D126*10000),2)&amp;"元整"</f>
        <v>#VALUE!</v>
      </c>
      <c r="E127" s="3300"/>
      <c r="F127" s="3300"/>
      <c r="G127" s="3300"/>
      <c r="H127" s="3300"/>
      <c r="I127" s="3301"/>
      <c r="AA127" s="683"/>
    </row>
    <row r="128" spans="1:27" ht="21.75" customHeight="1">
      <c r="A128" s="3306" t="s">
        <v>1453</v>
      </c>
      <c r="B128" s="3306"/>
      <c r="C128" s="3306"/>
      <c r="D128" s="3306"/>
      <c r="E128" s="3306"/>
      <c r="F128" s="3306"/>
      <c r="G128" s="3306"/>
      <c r="H128" s="3306"/>
      <c r="I128" s="330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2" sqref="R32"/>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7" t="str">
        <f>项目基本情况!B1</f>
        <v>北京市房地产抵押价值预评估</v>
      </c>
      <c r="C37" s="3157"/>
      <c r="D37" s="3157"/>
      <c r="E37" s="3157"/>
      <c r="F37" s="3157"/>
      <c r="G37" s="3157"/>
      <c r="H37" s="3157"/>
      <c r="I37" s="315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J39" sqref="J3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f ca="1">IF(D2="——",C52,C52-E2)</f>
        <v>7376</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4624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2717</v>
      </c>
      <c r="D5" s="202" t="s">
        <v>1469</v>
      </c>
      <c r="E5" s="203" t="s">
        <v>1470</v>
      </c>
      <c r="F5" s="203" t="s">
        <v>1471</v>
      </c>
      <c r="G5" s="204"/>
    </row>
    <row r="6" spans="1:9" s="205" customFormat="1" ht="13.5" customHeight="1">
      <c r="A6" s="731" t="s">
        <v>1472</v>
      </c>
      <c r="B6" s="206" t="s">
        <v>1473</v>
      </c>
      <c r="C6" s="207">
        <f>基准地价修正!B2</f>
        <v>2451</v>
      </c>
      <c r="D6" s="208"/>
      <c r="E6" s="209"/>
      <c r="F6" s="209"/>
      <c r="G6" s="210"/>
    </row>
    <row r="7" spans="1:9" s="205" customFormat="1" ht="13.5" customHeight="1">
      <c r="A7" s="731" t="s">
        <v>1474</v>
      </c>
      <c r="B7" s="206" t="s">
        <v>1475</v>
      </c>
      <c r="C7" s="211">
        <f>ROUND(C6*F7,0)</f>
        <v>75</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191</v>
      </c>
      <c r="D8" s="213"/>
      <c r="E8" s="211"/>
      <c r="F8" s="212"/>
      <c r="G8" s="1713" t="s">
        <v>3444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3445</v>
      </c>
      <c r="H9" s="1069"/>
      <c r="I9" s="1715" t="s">
        <v>1479</v>
      </c>
    </row>
    <row r="10" spans="1:9" s="205" customFormat="1" ht="13.5" customHeight="1">
      <c r="A10" s="732" t="s">
        <v>356</v>
      </c>
      <c r="B10" s="215" t="s">
        <v>1480</v>
      </c>
      <c r="C10" s="216">
        <f ca="1">ROUND(D10*E10/10000,0)</f>
        <v>191</v>
      </c>
      <c r="D10" s="794">
        <f ca="1">IF(B1="",'数据-汇总表'!E6,IF(INDIRECT("'数据-取费表'!c"&amp;$G$1)="住宅",INDIRECT("'数据-取费表'!s"&amp;$G$1),INDIRECT("'数据-取费表'!k"&amp;$G$1)+INDIRECT("'数据-取费表'!s"&amp;$G$1)))</f>
        <v>15950.36</v>
      </c>
      <c r="E10" s="216">
        <f>'数据-取费表'!B28</f>
        <v>120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15950.36</v>
      </c>
      <c r="E19" s="202">
        <f>'数据-取费表'!B31</f>
        <v>120</v>
      </c>
      <c r="F19" s="222"/>
      <c r="G19" s="1713" t="s">
        <v>3446</v>
      </c>
    </row>
    <row r="20" spans="1:7" s="205" customFormat="1" ht="13.5" customHeight="1">
      <c r="A20" s="246" t="s">
        <v>1493</v>
      </c>
      <c r="B20" s="201" t="s">
        <v>1494</v>
      </c>
      <c r="C20" s="223">
        <f ca="1">ROUND((C5+C19)*F20,0)</f>
        <v>54</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173</v>
      </c>
      <c r="D22" s="226">
        <f ca="1">C26</f>
        <v>5.9999999999999995E-4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171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277</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277</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3482</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4253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3796</v>
      </c>
      <c r="D34" s="208"/>
      <c r="E34" s="211"/>
      <c r="F34" s="248">
        <f ca="1">IF('数据-取费表'!B24=0,1,IF(B1="",'数据-取费表'!N16,INDIRECT("'数据-取费表'!n"&amp;$G$1)))</f>
        <v>1</v>
      </c>
      <c r="G34" s="210" t="s">
        <v>1526</v>
      </c>
    </row>
    <row r="35" spans="1:7" ht="13.5" customHeight="1">
      <c r="A35" s="733" t="s">
        <v>351</v>
      </c>
      <c r="B35" s="206" t="s">
        <v>1527</v>
      </c>
      <c r="C35" s="211">
        <f ca="1">ROUND(C34*F35,0)</f>
        <v>190</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191</v>
      </c>
      <c r="D37" s="208">
        <f ca="1">D19</f>
        <v>15950.36</v>
      </c>
      <c r="E37" s="240">
        <f>'数据-取费表'!B35</f>
        <v>120</v>
      </c>
      <c r="F37" s="250"/>
      <c r="G37" s="252" t="s">
        <v>1532</v>
      </c>
    </row>
    <row r="38" spans="1:7" ht="13.5" customHeight="1">
      <c r="A38" s="733" t="s">
        <v>354</v>
      </c>
      <c r="B38" s="206" t="s">
        <v>1533</v>
      </c>
      <c r="C38" s="211">
        <f ca="1">ROUND(C34*F38,0)</f>
        <v>76</v>
      </c>
      <c r="D38" s="211"/>
      <c r="E38" s="211"/>
      <c r="F38" s="250">
        <f>'数据-取费表'!B36</f>
        <v>0.02</v>
      </c>
      <c r="G38" s="210" t="s">
        <v>1528</v>
      </c>
    </row>
    <row r="39" spans="1:7" s="205" customFormat="1" ht="13.5" customHeight="1">
      <c r="A39" s="246" t="s">
        <v>1534</v>
      </c>
      <c r="B39" s="201" t="s">
        <v>1535</v>
      </c>
      <c r="C39" s="223">
        <f ca="1">ROUND(C33*F20,0)</f>
        <v>85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135</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132</v>
      </c>
      <c r="D42" s="229"/>
      <c r="E42" s="229"/>
      <c r="F42" s="230"/>
      <c r="G42" s="3339" t="s">
        <v>1544</v>
      </c>
    </row>
    <row r="43" spans="1:7" ht="13.5" customHeight="1">
      <c r="A43" s="733" t="s">
        <v>347</v>
      </c>
      <c r="B43" s="206" t="s">
        <v>1545</v>
      </c>
      <c r="C43" s="229">
        <f ca="1">ROUND(IF('数据-取费表'!B22&lt;=1,C39*F22*'数据-取费表'!B21/2,C39*(POWER((1+F22),'数据-取费表'!B21/2)-1)),0)</f>
        <v>3</v>
      </c>
      <c r="D43" s="229"/>
      <c r="E43" s="229"/>
      <c r="F43" s="230"/>
      <c r="G43" s="3340"/>
    </row>
    <row r="44" spans="1:7" ht="13.5" customHeight="1">
      <c r="A44" s="733" t="s">
        <v>348</v>
      </c>
      <c r="B44" s="206" t="s">
        <v>1546</v>
      </c>
      <c r="C44" s="229">
        <f ca="1">ROUND(IF('数据-取费表'!B22&lt;=1,C40*F22*'数据-取费表'!B21/2,C40*(POWER((1+F22),'数据-取费表'!B21/2)-1)),4)</f>
        <v>5.9999999999999995E-4</v>
      </c>
      <c r="D44" s="229"/>
      <c r="E44" s="229"/>
      <c r="F44" s="230"/>
      <c r="G44" s="3341"/>
    </row>
    <row r="45" spans="1:7" s="205" customFormat="1" ht="13.5" customHeight="1">
      <c r="A45" s="246" t="s">
        <v>1547</v>
      </c>
      <c r="B45" s="235" t="s">
        <v>1513</v>
      </c>
      <c r="C45" s="236">
        <f ca="1">C46</f>
        <v>434</v>
      </c>
      <c r="D45" s="226">
        <f ca="1">C47</f>
        <v>2E-3</v>
      </c>
      <c r="E45" s="227" t="s">
        <v>1539</v>
      </c>
      <c r="F45" s="237">
        <f ca="1">F27</f>
        <v>0.1</v>
      </c>
      <c r="G45" s="238" t="s">
        <v>1548</v>
      </c>
    </row>
    <row r="46" spans="1:7" s="205" customFormat="1" ht="13.5" customHeight="1">
      <c r="A46" s="733" t="s">
        <v>346</v>
      </c>
      <c r="B46" s="239" t="s">
        <v>1549</v>
      </c>
      <c r="C46" s="240">
        <f ca="1">ROUND((C33+C39)*F27,0)</f>
        <v>434</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5305</v>
      </c>
      <c r="D49" s="223"/>
      <c r="E49" s="223"/>
      <c r="F49" s="255"/>
      <c r="G49" s="225" t="s">
        <v>1554</v>
      </c>
    </row>
    <row r="50" spans="1:7" s="249" customFormat="1" ht="24">
      <c r="A50" s="246" t="s">
        <v>1555</v>
      </c>
      <c r="B50" s="201" t="s">
        <v>1556</v>
      </c>
      <c r="C50" s="223"/>
      <c r="D50" s="223"/>
      <c r="E50" s="223"/>
      <c r="F50" s="255">
        <f>IF('数据-取费表'!B24=0,'数据-取费表'!N16,1)</f>
        <v>0.73399999999999999</v>
      </c>
      <c r="G50" s="238" t="s">
        <v>1557</v>
      </c>
    </row>
    <row r="51" spans="1:7" ht="16.5" customHeight="1">
      <c r="A51" s="246" t="s">
        <v>1558</v>
      </c>
      <c r="B51" s="201" t="s">
        <v>1559</v>
      </c>
      <c r="C51" s="223">
        <f ca="1">ROUND(C49*F50,0)</f>
        <v>3894</v>
      </c>
      <c r="D51" s="223"/>
      <c r="E51" s="223"/>
      <c r="F51" s="255"/>
      <c r="G51" s="225" t="s">
        <v>1560</v>
      </c>
    </row>
    <row r="52" spans="1:7" s="199" customFormat="1" ht="16.5" thickBot="1">
      <c r="A52" s="256" t="s">
        <v>1561</v>
      </c>
      <c r="B52" s="257"/>
      <c r="C52" s="258">
        <f ca="1">C31+C51</f>
        <v>7376</v>
      </c>
      <c r="D52" s="257"/>
      <c r="E52" s="257"/>
      <c r="F52" s="257"/>
      <c r="G52" s="259"/>
    </row>
    <row r="55" spans="1:7" ht="15">
      <c r="B55" s="261" t="s">
        <v>1562</v>
      </c>
      <c r="C55" s="262"/>
    </row>
    <row r="56" spans="1:7">
      <c r="B56" s="264" t="s">
        <v>802</v>
      </c>
      <c r="C56" s="266">
        <f ca="1">1-C57</f>
        <v>0.47199999999999998</v>
      </c>
    </row>
    <row r="57" spans="1:7">
      <c r="B57" s="264" t="s">
        <v>803</v>
      </c>
      <c r="C57" s="265">
        <f ca="1">ROUND(C51/C52,3)</f>
        <v>0.52800000000000002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2">
        <f ca="1">ROUND(IF(D2="——",C52/10000,C52/10000-E2),4)</f>
        <v>4383.9501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2748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1914043</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1914043</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1914043</v>
      </c>
      <c r="D10" s="794">
        <f ca="1">IF(B1="",'数据-汇总表'!E6,IF(INDIRECT("'数据-取费表'!c"&amp;$G$1)="住宅",INDIRECT("'数据-取费表'!s"&amp;$G$1),INDIRECT("'数据-取费表'!k"&amp;$G$1)+INDIRECT("'数据-取费表'!s"&amp;$G$1)))</f>
        <v>15950.36</v>
      </c>
      <c r="E10" s="216">
        <f>'数据-取费表'!B28</f>
        <v>120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1914043</v>
      </c>
      <c r="D19" s="203">
        <f ca="1">D9+D10</f>
        <v>15950.36</v>
      </c>
      <c r="E19" s="202">
        <f>'数据-取费表'!B31</f>
        <v>120</v>
      </c>
      <c r="F19" s="222"/>
      <c r="G19" s="1713"/>
    </row>
    <row r="20" spans="1:7" s="205" customFormat="1" ht="13.5" customHeight="1">
      <c r="A20" s="246" t="s">
        <v>1574</v>
      </c>
      <c r="B20" s="201" t="s">
        <v>1575</v>
      </c>
      <c r="C20" s="223">
        <f ca="1">ROUND((C5+C19)*F20,0)</f>
        <v>76562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243393</v>
      </c>
      <c r="D22" s="226">
        <f ca="1">C26</f>
        <v>5.9999999999999995E-4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120510</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120510</v>
      </c>
      <c r="D24" s="229"/>
      <c r="E24" s="229"/>
      <c r="F24" s="230"/>
      <c r="G24" s="231" t="s">
        <v>1586</v>
      </c>
    </row>
    <row r="25" spans="1:7" s="205" customFormat="1" ht="24">
      <c r="A25" s="733" t="s">
        <v>1476</v>
      </c>
      <c r="B25" s="206" t="s">
        <v>1587</v>
      </c>
      <c r="C25" s="229">
        <f ca="1">ROUND(IF('数据-取费表'!B22&lt;=1,C20*F22*'数据-取费表'!B22/2,C20*(POWER((1+F22),'数据-取费表'!B22/2)-1)),0)</f>
        <v>2373</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390465</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390465</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4906493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42530535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37959338</v>
      </c>
      <c r="D34" s="208"/>
      <c r="E34" s="211"/>
      <c r="F34" s="248"/>
      <c r="G34" s="210"/>
    </row>
    <row r="35" spans="1:7" ht="13.5" customHeight="1">
      <c r="A35" s="733" t="s">
        <v>351</v>
      </c>
      <c r="B35" s="206" t="s">
        <v>1527</v>
      </c>
      <c r="C35" s="211">
        <f ca="1">ROUND(C34*F35,0)</f>
        <v>1897967</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1914043</v>
      </c>
      <c r="D37" s="208">
        <f ca="1">D19</f>
        <v>15950.36</v>
      </c>
      <c r="E37" s="240">
        <f>'数据-取费表'!B35</f>
        <v>120</v>
      </c>
      <c r="F37" s="250"/>
      <c r="G37" s="252"/>
    </row>
    <row r="38" spans="1:7" ht="13.5" customHeight="1">
      <c r="A38" s="733" t="s">
        <v>354</v>
      </c>
      <c r="B38" s="206" t="s">
        <v>1533</v>
      </c>
      <c r="C38" s="211">
        <f ca="1">ROUND(C34*F38,0)</f>
        <v>759187</v>
      </c>
      <c r="D38" s="211"/>
      <c r="E38" s="211"/>
      <c r="F38" s="250">
        <f>'数据-取费表'!B36</f>
        <v>0.02</v>
      </c>
      <c r="G38" s="210" t="s">
        <v>1528</v>
      </c>
    </row>
    <row r="39" spans="1:7" s="205" customFormat="1" ht="13.5" customHeight="1">
      <c r="A39" s="246" t="s">
        <v>1534</v>
      </c>
      <c r="B39" s="201" t="s">
        <v>1535</v>
      </c>
      <c r="C39" s="223">
        <f ca="1">ROUND(C33*F20,0)</f>
        <v>850611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1344816</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1318447</v>
      </c>
      <c r="D42" s="229"/>
      <c r="E42" s="229"/>
      <c r="F42" s="230"/>
      <c r="G42" s="3339" t="s">
        <v>1591</v>
      </c>
    </row>
    <row r="43" spans="1:7" ht="13.5" customHeight="1">
      <c r="A43" s="733" t="s">
        <v>347</v>
      </c>
      <c r="B43" s="206" t="s">
        <v>1545</v>
      </c>
      <c r="C43" s="229">
        <f ca="1">ROUND(IF('数据-取费表'!B22&lt;=1,C39*F22*'数据-取费表'!B20/2,C39*(POWER((1+F22),'数据-取费表'!B20/2)-1)),0)</f>
        <v>26369</v>
      </c>
      <c r="D43" s="229"/>
      <c r="E43" s="229"/>
      <c r="F43" s="230"/>
      <c r="G43" s="3340"/>
    </row>
    <row r="44" spans="1:7" ht="13.5" customHeight="1">
      <c r="A44" s="733" t="s">
        <v>348</v>
      </c>
      <c r="B44" s="206" t="s">
        <v>1546</v>
      </c>
      <c r="C44" s="229">
        <f ca="1">ROUND(IF('数据-取费表'!B22&lt;=1,C40*F22*'数据-取费表'!B20/2,C40*(POWER((1+F22),'数据-取费表'!B20/2)-1)),4)</f>
        <v>5.9999999999999995E-4</v>
      </c>
      <c r="D44" s="229"/>
      <c r="E44" s="229"/>
      <c r="F44" s="230"/>
      <c r="G44" s="3341"/>
    </row>
    <row r="45" spans="1:7" s="205" customFormat="1" ht="13.5" customHeight="1">
      <c r="A45" s="246" t="s">
        <v>1547</v>
      </c>
      <c r="B45" s="235" t="s">
        <v>1513</v>
      </c>
      <c r="C45" s="236">
        <f ca="1">C46</f>
        <v>4338115</v>
      </c>
      <c r="D45" s="226">
        <f ca="1">C47</f>
        <v>2E-3</v>
      </c>
      <c r="E45" s="227" t="s">
        <v>1539</v>
      </c>
      <c r="F45" s="237">
        <f ca="1">F27</f>
        <v>0.1</v>
      </c>
      <c r="G45" s="238" t="s">
        <v>1548</v>
      </c>
    </row>
    <row r="46" spans="1:7" s="205" customFormat="1" ht="13.5" customHeight="1">
      <c r="A46" s="733" t="s">
        <v>346</v>
      </c>
      <c r="B46" s="239" t="s">
        <v>1549</v>
      </c>
      <c r="C46" s="240">
        <f ca="1">ROUND((C33+C39)*F27,0)</f>
        <v>4338115</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53042245</v>
      </c>
      <c r="D49" s="223"/>
      <c r="E49" s="223"/>
      <c r="F49" s="255"/>
      <c r="G49" s="225" t="s">
        <v>1554</v>
      </c>
    </row>
    <row r="50" spans="1:7" s="249" customFormat="1">
      <c r="A50" s="246" t="s">
        <v>1555</v>
      </c>
      <c r="B50" s="201" t="s">
        <v>1556</v>
      </c>
      <c r="C50" s="223"/>
      <c r="D50" s="223"/>
      <c r="E50" s="223"/>
      <c r="F50" s="255">
        <f>IF('数据-取费表'!B24=0,'数据-取费表'!N16,1)</f>
        <v>0.73399999999999999</v>
      </c>
      <c r="G50" s="238"/>
    </row>
    <row r="51" spans="1:7" ht="16.5" customHeight="1">
      <c r="A51" s="246" t="s">
        <v>1558</v>
      </c>
      <c r="B51" s="201" t="s">
        <v>1593</v>
      </c>
      <c r="C51" s="223">
        <f ca="1">ROUND(C49*F50,0)</f>
        <v>38933008</v>
      </c>
      <c r="D51" s="223"/>
      <c r="E51" s="223"/>
      <c r="F51" s="255"/>
      <c r="G51" s="225" t="s">
        <v>1560</v>
      </c>
    </row>
    <row r="52" spans="1:7" s="199" customFormat="1" ht="16.5" thickBot="1">
      <c r="A52" s="256" t="s">
        <v>1561</v>
      </c>
      <c r="B52" s="257"/>
      <c r="C52" s="258">
        <f ca="1">C31+C51</f>
        <v>43839501</v>
      </c>
      <c r="D52" s="257"/>
      <c r="E52" s="257"/>
      <c r="F52" s="257"/>
      <c r="G52" s="259"/>
    </row>
    <row r="55" spans="1:7" ht="15">
      <c r="B55" s="261" t="s">
        <v>1562</v>
      </c>
      <c r="C55" s="262"/>
    </row>
    <row r="56" spans="1:7">
      <c r="B56" s="264" t="s">
        <v>802</v>
      </c>
      <c r="C56" s="266">
        <f ca="1">1-C57</f>
        <v>0.11199999999999999</v>
      </c>
    </row>
    <row r="57" spans="1:7">
      <c r="B57" s="264" t="s">
        <v>803</v>
      </c>
      <c r="C57" s="265">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8</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15950.36</v>
      </c>
      <c r="E14" s="21">
        <f>'数据-取费表'!B35</f>
        <v>120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15950.36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191</v>
      </c>
      <c r="D20" s="795">
        <f ca="1">IF(C1="",'数据-汇总表'!E6,IF(INDIRECT("'数据-取费表'!c"&amp;$K$1)="住宅",INDIRECT("'数据-取费表'!s"&amp;$K$1),INDIRECT("'数据-取费表'!k"&amp;$K$1)+INDIRECT("'数据-取费表'!s"&amp;$K$1)))</f>
        <v>15950.36</v>
      </c>
      <c r="E20" s="21">
        <f>'数据-取费表'!B28</f>
        <v>120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G83" sqref="G83:G9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24215.7</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2451</v>
      </c>
      <c r="C2" s="1845" t="s">
        <v>1935</v>
      </c>
      <c r="D2" s="161" t="s">
        <v>1936</v>
      </c>
      <c r="E2" s="3120"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Ⅸ-雁栖开发区A</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1.5418000000000001</v>
      </c>
      <c r="T2" s="3063">
        <f t="shared" ref="T2:T16" si="0">ROUND($C$5*$C$22*$C$23*$C$24*S2*$C$28,0)</f>
        <v>1560</v>
      </c>
      <c r="U2" s="1129"/>
      <c r="V2" s="3063">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1012</v>
      </c>
      <c r="C3" s="1845" t="s">
        <v>1941</v>
      </c>
      <c r="D3" s="161" t="s">
        <v>1942</v>
      </c>
      <c r="E3" s="3118" t="s">
        <v>2479</v>
      </c>
      <c r="F3" s="1847" t="s">
        <v>3431</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1.1883999999999999</v>
      </c>
      <c r="T3" s="3063">
        <f t="shared" si="0"/>
        <v>1202</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349"/>
      <c r="B4" s="3350"/>
      <c r="C4" s="3350"/>
      <c r="D4" s="3351"/>
      <c r="E4" s="3351"/>
      <c r="F4" s="3351"/>
      <c r="G4" s="3351"/>
      <c r="H4" s="3351"/>
      <c r="I4" s="3351"/>
      <c r="J4" s="335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0.96940000000000004</v>
      </c>
      <c r="T4" s="3063">
        <f t="shared" si="0"/>
        <v>981</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1120</v>
      </c>
      <c r="D5" s="1251">
        <f>ROUND(C6*C17+C20,0)</f>
        <v>1120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0.82299999999999995</v>
      </c>
      <c r="T5" s="3063">
        <f t="shared" si="0"/>
        <v>833</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1080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0.74980000000000002</v>
      </c>
      <c r="T6" s="3063">
        <f t="shared" si="0"/>
        <v>759</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九级</v>
      </c>
      <c r="Y7" s="1130" t="s">
        <v>1956</v>
      </c>
      <c r="Z7" s="1131">
        <f>G3</f>
        <v>1</v>
      </c>
      <c r="AA7" s="1132"/>
      <c r="AB7" s="1132"/>
      <c r="AC7" s="1133"/>
      <c r="AD7" s="1134"/>
      <c r="AE7" s="1134"/>
      <c r="AF7" s="1134"/>
      <c r="AG7" s="1134"/>
      <c r="AH7" s="1134"/>
      <c r="AI7" s="1134"/>
      <c r="AJ7" s="1135"/>
    </row>
    <row r="8" spans="1:36" ht="25.5">
      <c r="A8" s="3009"/>
      <c r="B8" s="161" t="s">
        <v>1957</v>
      </c>
      <c r="C8" s="1869" t="s">
        <v>3432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346" t="s">
        <v>1960</v>
      </c>
      <c r="X8" s="334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1080</v>
      </c>
      <c r="N9" s="812">
        <f>SUMPRODUCT((因素修正幅度!B277:B326=I2)*(因素修正幅度!C3:G3=E2)*(因素修正幅度!C277:G326))</f>
        <v>0.05</v>
      </c>
      <c r="O9" s="1055"/>
      <c r="P9" s="1055"/>
      <c r="Q9" s="1055"/>
      <c r="R9" s="1128">
        <v>8</v>
      </c>
      <c r="S9" s="1129"/>
      <c r="T9" s="3063">
        <f t="shared" si="0"/>
        <v>0</v>
      </c>
      <c r="U9" s="1129"/>
      <c r="V9" s="3063">
        <f t="shared" si="1"/>
        <v>0</v>
      </c>
      <c r="W9" s="3348"/>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34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353" t="s">
        <v>3254</v>
      </c>
      <c r="B20" s="158" t="s">
        <v>1994</v>
      </c>
      <c r="C20" s="3031">
        <f>ROUND(IF(F21="与级别开发程度一致",0,(G21-E21)/C21),0)</f>
        <v>40</v>
      </c>
      <c r="D20" s="3046" t="s">
        <v>1998</v>
      </c>
      <c r="E20" s="3047"/>
      <c r="F20" s="3359" t="s">
        <v>1995</v>
      </c>
      <c r="G20" s="3360"/>
      <c r="H20" s="3032" t="s">
        <v>3435</v>
      </c>
      <c r="I20" s="3032" t="s">
        <v>3434</v>
      </c>
      <c r="J20" s="3033" t="s">
        <v>3436</v>
      </c>
      <c r="K20" s="1888" t="s">
        <v>3437</v>
      </c>
      <c r="L20" s="1888" t="s">
        <v>3438</v>
      </c>
      <c r="M20" s="1888" t="s">
        <v>3439</v>
      </c>
      <c r="N20" s="1888"/>
      <c r="O20" s="1889" t="s">
        <v>3440</v>
      </c>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354"/>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3433</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0</v>
      </c>
      <c r="O21" s="2004">
        <f>SUMPRODUCT((七通一平=O20)*(修正!B1:M1=G2)*(修正!B8:M16))</f>
        <v>10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5" t="s">
        <v>2002</v>
      </c>
      <c r="E23" s="716">
        <v>44197</v>
      </c>
      <c r="F23" s="1895" t="s">
        <v>2003</v>
      </c>
      <c r="G23" s="717">
        <f>'数据-取费表'!B2</f>
        <v>45740</v>
      </c>
      <c r="H23" s="3048" t="s">
        <v>3256</v>
      </c>
      <c r="I23" s="3049" t="str">
        <f>IF(H23="季度增幅（自定义）",SUMIF(N25:N28,E2,O25:O28),"")</f>
        <v/>
      </c>
      <c r="J23" s="3141" t="s">
        <v>3255</v>
      </c>
      <c r="K23" s="1060"/>
      <c r="L23" s="1896" t="s">
        <v>2004</v>
      </c>
      <c r="M23" s="1240">
        <f>ROUND(SUMIF(地价!B2:G2,E2,地价!B16:G16),0)</f>
        <v>318</v>
      </c>
      <c r="N23" s="1897" t="s">
        <v>2005</v>
      </c>
      <c r="O23" s="718">
        <f>ROUNDDOWN(DATEDIF(E23,G23,"M")/3,0)</f>
        <v>16</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0.82350000000000001</v>
      </c>
      <c r="D24" s="1901" t="s">
        <v>2007</v>
      </c>
      <c r="E24" s="1247">
        <f>存贷款利率!E27/100</f>
        <v>4.3499999999999997E-2</v>
      </c>
      <c r="F24" s="1901" t="s">
        <v>1999</v>
      </c>
      <c r="G24" s="723">
        <f>SUMIF(M30:Q30,E2,M33:Q33)</f>
        <v>0.05</v>
      </c>
      <c r="H24" s="1901" t="s">
        <v>2008</v>
      </c>
      <c r="I24" s="724">
        <f>SUMIF('数据-取费表'!C6:C15,E2,'数据-取费表'!F6:F15)/COUNTIF('数据-取费表'!C6:C15,E2)</f>
        <v>28.55</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3335</v>
      </c>
      <c r="C25" s="460">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1.0132000000000001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2451</v>
      </c>
      <c r="D30" s="1924"/>
      <c r="E30" s="1841"/>
      <c r="F30" s="1925"/>
      <c r="G30" s="1841"/>
      <c r="H30" s="1841"/>
      <c r="I30" s="1841"/>
      <c r="J30" s="1926"/>
      <c r="K30" s="1055"/>
      <c r="L30" s="3055" t="s">
        <v>1936</v>
      </c>
      <c r="M30" s="3056" t="s">
        <v>1990</v>
      </c>
      <c r="N30" s="3056" t="s">
        <v>1991</v>
      </c>
      <c r="O30" s="3056" t="s">
        <v>1992</v>
      </c>
      <c r="P30" s="3056" t="s">
        <v>1993</v>
      </c>
      <c r="Q30" s="3059"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1012</v>
      </c>
      <c r="D33" s="1939">
        <f>'数据-基础表'!A3</f>
        <v>24215.7</v>
      </c>
      <c r="E33" s="726">
        <f>ROUND(C33*D33/10000,0)</f>
        <v>2451</v>
      </c>
      <c r="F33" s="3050" t="s">
        <v>3260</v>
      </c>
      <c r="G33" s="1940"/>
      <c r="H33" s="1940"/>
      <c r="I33" s="1940"/>
      <c r="J33" s="1941"/>
      <c r="K33" s="1055"/>
      <c r="L33" s="3053" t="s">
        <v>3263</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152</v>
      </c>
      <c r="D34" s="1944"/>
      <c r="E34" s="726">
        <f>ROUND(IF(B25="楼层修正",SUM(V2:V16)*M40,C34*D34/10000),0)</f>
        <v>0</v>
      </c>
      <c r="F34" s="1945" t="s">
        <v>2032</v>
      </c>
      <c r="G34" s="1946"/>
      <c r="H34" s="1946"/>
      <c r="I34" s="1946"/>
      <c r="J34" s="1947"/>
      <c r="K34" s="1055"/>
      <c r="L34" s="3053" t="s">
        <v>3264</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57"/>
      <c r="B37" s="1954" t="s">
        <v>2036</v>
      </c>
      <c r="C37" s="166">
        <f>ROUND(D5*C22*C23*C24*C28*F37,0)</f>
        <v>506</v>
      </c>
      <c r="D37" s="1939"/>
      <c r="E37" s="162">
        <f>ROUND(C37*D37/10000,0)</f>
        <v>0</v>
      </c>
      <c r="F37" s="162">
        <f>SUMIF(修正!A57:A68,G2,修正!B57:B68)</f>
        <v>0.5</v>
      </c>
      <c r="G37" s="162">
        <f>ROUND(IF(E2="工业",C37*$M$42,C37*$M$41),0)</f>
        <v>76</v>
      </c>
      <c r="H37" s="162">
        <f>D37</f>
        <v>0</v>
      </c>
      <c r="I37" s="162">
        <f>ROUND(G37*H37/10000,0)</f>
        <v>0</v>
      </c>
      <c r="J37" s="2754"/>
      <c r="K37" s="3061"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58"/>
      <c r="B38" s="1883" t="s">
        <v>2037</v>
      </c>
      <c r="C38" s="166">
        <f>ROUND(D5*C22*C23*C24*C28*F38,0)</f>
        <v>202</v>
      </c>
      <c r="D38" s="1939"/>
      <c r="E38" s="162">
        <f t="shared" ref="E38:E42" si="4">ROUND(C38*D38/10000,0)</f>
        <v>0</v>
      </c>
      <c r="F38" s="162">
        <f>SUMIF(修正!A57:A68,G2,修正!C57:C68)</f>
        <v>0.2</v>
      </c>
      <c r="G38" s="162">
        <f>ROUND(IF(E2="工业",C38*$M$42,C38*$M$41),0)</f>
        <v>30</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58"/>
      <c r="B39" s="1883" t="s">
        <v>3259</v>
      </c>
      <c r="C39" s="166">
        <f>ROUND(D5*C22*C23*C24*C28*F39,0)</f>
        <v>202</v>
      </c>
      <c r="D39" s="1939"/>
      <c r="E39" s="162">
        <f t="shared" si="4"/>
        <v>0</v>
      </c>
      <c r="F39" s="162">
        <f>SUMIF(修正!A57:A68,G2,修正!D57:D68)</f>
        <v>0.2</v>
      </c>
      <c r="G39" s="162">
        <f>ROUND(IF(E2="工业",C39*$M$42,C39*$M$41),0)</f>
        <v>30</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202</v>
      </c>
      <c r="D40" s="1939"/>
      <c r="E40" s="162">
        <f t="shared" si="4"/>
        <v>0</v>
      </c>
      <c r="F40" s="166">
        <f>SUMIF(修正!A57:A68,G2,修正!E57:E68)</f>
        <v>0.2</v>
      </c>
      <c r="G40" s="162">
        <f>ROUND(IF(E2="工业",C40*$M$42,C40*$M$41),0)</f>
        <v>30</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62"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3269</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3269</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3269</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1.0132000000000001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3155" t="s">
        <v>3441</v>
      </c>
      <c r="D83" s="1001">
        <f t="shared" ref="D83:D90" si="22">SUMIF($J$82:$N$82,C83,J83:N83)</f>
        <v>6.4999999999999997E-3</v>
      </c>
      <c r="E83" s="701">
        <f>ROUND(SUM(D83:D90),4)</f>
        <v>1.32E-2</v>
      </c>
      <c r="F83" s="1674">
        <f>IF(E2="工业",SUMIF(L1:L12,G2,N1:N12),"——")</f>
        <v>0.05</v>
      </c>
      <c r="G83" s="999">
        <f>H83</f>
        <v>6.4999999999999997E-3</v>
      </c>
      <c r="H83" s="1002">
        <f t="shared" ref="H83:H90" si="23">IFERROR(ROUNDDOWN($F$83*I83/2,4),"——")</f>
        <v>6.4999999999999997E-3</v>
      </c>
      <c r="I83" s="3068">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38.25">
      <c r="A84" s="1969" t="s">
        <v>2053</v>
      </c>
      <c r="B84" s="1261" t="str">
        <f>估价对象房地状况!G16</f>
        <v>估价对象周边道路状况、公共交通通达情况、停车便捷程度，综合评价交通便捷度较好</v>
      </c>
      <c r="C84" s="3155" t="s">
        <v>3442</v>
      </c>
      <c r="D84" s="1001">
        <f t="shared" si="22"/>
        <v>0</v>
      </c>
      <c r="E84" s="704"/>
      <c r="F84" s="1674"/>
      <c r="G84" s="999">
        <f t="shared" ref="G84:G90" si="27">H84</f>
        <v>7.4999999999999997E-3</v>
      </c>
      <c r="H84" s="1002">
        <f t="shared" si="23"/>
        <v>7.4999999999999997E-3</v>
      </c>
      <c r="I84" s="3068">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70" t="s">
        <v>3270</v>
      </c>
      <c r="B85" s="1261">
        <f>估价对象房地状况!G17</f>
        <v>0</v>
      </c>
      <c r="C85" s="3155" t="s">
        <v>3441</v>
      </c>
      <c r="D85" s="1001">
        <f t="shared" si="22"/>
        <v>2.5000000000000001E-3</v>
      </c>
      <c r="E85" s="704"/>
      <c r="F85" s="1674"/>
      <c r="G85" s="999">
        <f t="shared" si="27"/>
        <v>2.5000000000000001E-3</v>
      </c>
      <c r="H85" s="1002">
        <f t="shared" si="23"/>
        <v>2.5000000000000001E-3</v>
      </c>
      <c r="I85" s="3068">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2067</v>
      </c>
      <c r="B86" s="1261">
        <f>估价对象房地状况!G22</f>
        <v>0</v>
      </c>
      <c r="C86" s="3155" t="s">
        <v>3442</v>
      </c>
      <c r="D86" s="1001">
        <f t="shared" si="22"/>
        <v>0</v>
      </c>
      <c r="E86" s="704"/>
      <c r="F86" s="1674"/>
      <c r="G86" s="999">
        <f t="shared" si="27"/>
        <v>1.1999999999999999E-3</v>
      </c>
      <c r="H86" s="1002">
        <f t="shared" si="23"/>
        <v>1.1999999999999999E-3</v>
      </c>
      <c r="I86" s="3068">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5.5">
      <c r="A87" s="1969" t="s">
        <v>2059</v>
      </c>
      <c r="B87" s="1239" t="str">
        <f>估价对象房地状况!G19</f>
        <v>估价对象所在区域公共配套设施齐备情况</v>
      </c>
      <c r="C87" s="3155" t="s">
        <v>3442</v>
      </c>
      <c r="D87" s="1001">
        <f t="shared" si="22"/>
        <v>0</v>
      </c>
      <c r="E87" s="704"/>
      <c r="F87" s="1674"/>
      <c r="G87" s="999">
        <f t="shared" si="27"/>
        <v>1.5E-3</v>
      </c>
      <c r="H87" s="1002">
        <f t="shared" si="23"/>
        <v>1.5E-3</v>
      </c>
      <c r="I87" s="3068">
        <v>0.06</v>
      </c>
      <c r="J87" s="1000">
        <f t="shared" si="24"/>
        <v>3.0000000000000001E-3</v>
      </c>
      <c r="K87" s="1000">
        <f t="shared" si="25"/>
        <v>1.5E-3</v>
      </c>
      <c r="L87" s="1000">
        <v>0</v>
      </c>
      <c r="M87" s="1000">
        <f t="shared" si="26"/>
        <v>-1.5E-3</v>
      </c>
      <c r="N87" s="1000">
        <f t="shared" si="26"/>
        <v>-3.0000000000000001E-3</v>
      </c>
    </row>
    <row r="88" spans="1:37" ht="25.5">
      <c r="A88" s="1969" t="s">
        <v>2060</v>
      </c>
      <c r="B88" s="1239" t="str">
        <f>估价对象房地状况!G20</f>
        <v>估价对象所在区域基础设施水平</v>
      </c>
      <c r="C88" s="3155" t="s">
        <v>3442</v>
      </c>
      <c r="D88" s="1001">
        <f t="shared" si="22"/>
        <v>0</v>
      </c>
      <c r="E88" s="704"/>
      <c r="F88" s="1674"/>
      <c r="G88" s="999">
        <f t="shared" si="27"/>
        <v>3.0000000000000001E-3</v>
      </c>
      <c r="H88" s="1002">
        <f t="shared" si="23"/>
        <v>3.0000000000000001E-3</v>
      </c>
      <c r="I88" s="3068">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2057</v>
      </c>
      <c r="B89" s="1974" t="s">
        <v>2071</v>
      </c>
      <c r="C89" s="3155" t="s">
        <v>3443</v>
      </c>
      <c r="D89" s="1001">
        <f t="shared" si="22"/>
        <v>3.0000000000000001E-3</v>
      </c>
      <c r="E89" s="704"/>
      <c r="F89" s="1674"/>
      <c r="G89" s="999">
        <f t="shared" si="27"/>
        <v>1.5E-3</v>
      </c>
      <c r="H89" s="1002">
        <f t="shared" si="23"/>
        <v>1.5E-3</v>
      </c>
      <c r="I89" s="3068">
        <v>0.06</v>
      </c>
      <c r="J89" s="1000">
        <f t="shared" si="24"/>
        <v>3.0000000000000001E-3</v>
      </c>
      <c r="K89" s="1000">
        <f t="shared" si="25"/>
        <v>1.5E-3</v>
      </c>
      <c r="L89" s="1000">
        <v>0</v>
      </c>
      <c r="M89" s="1000">
        <f t="shared" si="26"/>
        <v>-1.5E-3</v>
      </c>
      <c r="N89" s="1000">
        <f t="shared" si="26"/>
        <v>-3.0000000000000001E-3</v>
      </c>
    </row>
    <row r="90" spans="1:37" ht="39" thickBot="1">
      <c r="A90" s="1976" t="s">
        <v>2072</v>
      </c>
      <c r="B90" s="1981" t="str">
        <f>估价对象房地状况!G18</f>
        <v>该园区内是否有污染型企业，绿化情况，卫生条件，整体环境状况判断</v>
      </c>
      <c r="C90" s="3155" t="s">
        <v>3441</v>
      </c>
      <c r="D90" s="1001">
        <f t="shared" si="22"/>
        <v>1.1999999999999999E-3</v>
      </c>
      <c r="E90" s="705"/>
      <c r="F90" s="1674"/>
      <c r="G90" s="999">
        <f t="shared" si="27"/>
        <v>1.1999999999999999E-3</v>
      </c>
      <c r="H90" s="1002">
        <f t="shared" si="23"/>
        <v>1.1999999999999999E-3</v>
      </c>
      <c r="I90" s="3069">
        <v>0.05</v>
      </c>
      <c r="J90" s="1000">
        <f t="shared" si="24"/>
        <v>2.3999999999999998E-3</v>
      </c>
      <c r="K90" s="1000">
        <f t="shared" si="25"/>
        <v>1.1999999999999999E-3</v>
      </c>
      <c r="L90" s="1000">
        <v>0</v>
      </c>
      <c r="M90" s="1000">
        <f t="shared" si="26"/>
        <v>-1.1999999999999999E-3</v>
      </c>
      <c r="N90" s="1000">
        <f t="shared" si="26"/>
        <v>-2.3999999999999998E-3</v>
      </c>
    </row>
    <row r="91" spans="1:37" ht="15">
      <c r="A91" s="3078" t="s">
        <v>2612</v>
      </c>
      <c r="B91" s="3079">
        <f>1+E93</f>
        <v>1</v>
      </c>
      <c r="C91" s="3072"/>
      <c r="D91" s="3073"/>
      <c r="E91" s="1674"/>
      <c r="F91" s="1674"/>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38.25">
      <c r="A94" s="3080" t="s">
        <v>3273</v>
      </c>
      <c r="B94" s="3071" t="str">
        <f>估价对象房地状况!C18</f>
        <v>估价对象周边道路状况、公共交通通达情况、停车便捷程度，综合评价交通便捷度较好</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3269</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3274</v>
      </c>
      <c r="B96" s="3086" t="s">
        <v>3285</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3275</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3276</v>
      </c>
      <c r="B98" s="3087" t="s">
        <v>3286</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5.5">
      <c r="A99" s="3080" t="s">
        <v>3277</v>
      </c>
      <c r="B99" s="3071" t="str">
        <f>估价对象房地状况!C21</f>
        <v>估价对象所在区域公共配套设施齐备情况</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5.5">
      <c r="A100" s="3080" t="s">
        <v>3278</v>
      </c>
      <c r="B100" s="3071" t="str">
        <f>估价对象房地状况!C22</f>
        <v>估价对象所在区域基础设施水平</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6.25" thickBot="1">
      <c r="A101" s="3081" t="s">
        <v>3279</v>
      </c>
      <c r="B101" s="3088" t="str">
        <f>估价对象房地状况!C20</f>
        <v>区域自然环境：；人文环境；综合评价环境状况一般</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5" t="s">
        <v>3294</v>
      </c>
      <c r="B103" s="3355"/>
      <c r="C103" s="3355"/>
      <c r="D103" s="3355"/>
      <c r="E103" s="3355"/>
      <c r="F103" s="3355"/>
      <c r="G103" s="3355"/>
      <c r="H103" s="3355"/>
      <c r="I103" s="3355"/>
      <c r="J103" s="3355"/>
      <c r="K103" s="1666"/>
      <c r="L103" s="1666"/>
      <c r="M103" s="1666"/>
      <c r="N103" s="1666"/>
    </row>
    <row r="104" spans="1:14">
      <c r="A104" s="3356" t="s">
        <v>3295</v>
      </c>
      <c r="B104" s="3356" t="s">
        <v>3296</v>
      </c>
      <c r="C104" s="3090" t="s">
        <v>3297</v>
      </c>
      <c r="D104" s="3091"/>
      <c r="E104" s="3091"/>
      <c r="F104" s="3091"/>
      <c r="G104" s="3091"/>
      <c r="H104" s="3091"/>
      <c r="I104" s="3091"/>
      <c r="J104" s="3092"/>
      <c r="K104" s="3093"/>
      <c r="L104" s="3093"/>
      <c r="M104" s="3093"/>
      <c r="N104" s="3093"/>
    </row>
    <row r="105" spans="1:14">
      <c r="A105" s="3356"/>
      <c r="B105" s="3356"/>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42"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3"/>
      <c r="B111" s="3094" t="s">
        <v>3268</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4"/>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5" t="s">
        <v>3311</v>
      </c>
      <c r="B113" s="3345"/>
      <c r="C113" s="3345"/>
      <c r="D113" s="3345"/>
      <c r="E113" s="3345"/>
      <c r="F113" s="3345"/>
      <c r="G113" s="3345"/>
      <c r="H113" s="3345"/>
      <c r="I113" s="3345"/>
      <c r="J113" s="334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1</v>
      </c>
      <c r="C116" s="3099" t="s">
        <v>3313</v>
      </c>
      <c r="D116" s="3100">
        <f>SUMPRODUCT((A118:A122=F116)*(B117:M117=H116)*B118:M122)</f>
        <v>0.57150000000000001</v>
      </c>
      <c r="E116" s="161" t="s">
        <v>3314</v>
      </c>
      <c r="F116" s="3101" t="str">
        <f>E2</f>
        <v>工业</v>
      </c>
      <c r="G116" s="161" t="s">
        <v>3315</v>
      </c>
      <c r="H116" s="3101" t="str">
        <f>G2</f>
        <v>九级</v>
      </c>
      <c r="I116" s="161"/>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3329</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3330</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3331</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93:C101 C9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90" zoomScaleNormal="70" zoomScaleSheetLayoutView="90" workbookViewId="0">
      <selection activeCell="J56" sqref="J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3414</v>
      </c>
      <c r="D1" s="1270" t="s">
        <v>43</v>
      </c>
      <c r="E1" s="1271" t="s">
        <v>678</v>
      </c>
      <c r="F1" s="998">
        <f ca="1">J53</f>
        <v>28.55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7357</v>
      </c>
      <c r="C2" s="1288" t="s">
        <v>805</v>
      </c>
      <c r="D2" s="1288"/>
      <c r="E2" s="1294"/>
      <c r="F2" s="1295"/>
      <c r="G2" s="2478"/>
      <c r="H2" s="2468"/>
      <c r="I2" s="2468"/>
      <c r="J2" s="2468"/>
      <c r="K2" s="2469"/>
      <c r="L2" s="2468"/>
      <c r="M2" s="2468"/>
    </row>
    <row r="3" spans="1:37" ht="18" customHeight="1" thickBot="1">
      <c r="A3" s="1296" t="s">
        <v>806</v>
      </c>
      <c r="B3" s="1297">
        <f ca="1">IF(ISERROR(B2*10000/F43),0,ROUND(B2*10000/F43,0))</f>
        <v>5206</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495</v>
      </c>
      <c r="D5" s="1272" t="s">
        <v>693</v>
      </c>
      <c r="E5" s="1007"/>
      <c r="F5" s="1008"/>
      <c r="G5" s="1291"/>
      <c r="H5" s="290">
        <v>1</v>
      </c>
      <c r="I5" s="291" t="s">
        <v>692</v>
      </c>
      <c r="J5" s="1006">
        <f ca="1">J6+J10+J12</f>
        <v>0</v>
      </c>
      <c r="K5" s="1272" t="s">
        <v>693</v>
      </c>
      <c r="L5" s="1007"/>
      <c r="M5" s="1008"/>
    </row>
    <row r="6" spans="1:37" ht="18" customHeight="1">
      <c r="A6" s="1005" t="s">
        <v>398</v>
      </c>
      <c r="B6" s="3363" t="s">
        <v>694</v>
      </c>
      <c r="C6" s="1010">
        <f ca="1">ROUND(F6*F8*F7*(1-F9)/10000,0)</f>
        <v>494</v>
      </c>
      <c r="D6" s="146" t="s">
        <v>2109</v>
      </c>
      <c r="E6" s="293" t="s">
        <v>696</v>
      </c>
      <c r="F6" s="294">
        <f ca="1">INDIRECT("'数据-取费表'!u"&amp;$G$1)</f>
        <v>1.1000000000000001</v>
      </c>
      <c r="G6" s="1291"/>
      <c r="H6" s="1005" t="s">
        <v>398</v>
      </c>
      <c r="I6" s="3363" t="s">
        <v>694</v>
      </c>
      <c r="J6" s="292">
        <f ca="1">ROUND(M6*M8*M7*(1-M9)/10000,0)</f>
        <v>0</v>
      </c>
      <c r="K6" s="146" t="s">
        <v>2108</v>
      </c>
      <c r="L6" s="293" t="s">
        <v>696</v>
      </c>
      <c r="M6" s="294">
        <f ca="1">INDIRECT("'数据-取费表'!z"&amp;$G$1)</f>
        <v>0</v>
      </c>
    </row>
    <row r="7" spans="1:37" ht="18" customHeight="1">
      <c r="A7" s="1009"/>
      <c r="B7" s="3364"/>
      <c r="C7" s="1011"/>
      <c r="D7" s="298"/>
      <c r="E7" s="1012" t="s">
        <v>697</v>
      </c>
      <c r="F7" s="294">
        <f ca="1">IF(INDIRECT("'数据-取费表'!ah"&amp;$G$1)="",INDIRECT("'数据-取费表'!k"&amp;$G$1),INDIRECT("'数据-取费表'!ah"&amp;$G$1))</f>
        <v>14131.06</v>
      </c>
      <c r="G7" s="1291"/>
      <c r="H7" s="295"/>
      <c r="I7" s="3364"/>
      <c r="J7" s="297"/>
      <c r="K7" s="298"/>
      <c r="L7" s="293" t="s">
        <v>697</v>
      </c>
      <c r="M7" s="294">
        <f ca="1">F7</f>
        <v>14131.06</v>
      </c>
    </row>
    <row r="8" spans="1:37" ht="18" customHeight="1">
      <c r="A8" s="295"/>
      <c r="B8" s="3364"/>
      <c r="C8" s="297"/>
      <c r="D8" s="298"/>
      <c r="E8" s="293" t="s">
        <v>698</v>
      </c>
      <c r="F8" s="294">
        <f ca="1">INDIRECT("'数据-取费表'!ai"&amp;$G$1)</f>
        <v>365</v>
      </c>
      <c r="G8" s="1291"/>
      <c r="H8" s="295"/>
      <c r="I8" s="3364"/>
      <c r="J8" s="297"/>
      <c r="K8" s="298"/>
      <c r="L8" s="293" t="s">
        <v>698</v>
      </c>
      <c r="M8" s="294">
        <f ca="1">INDIRECT("'数据-取费表'!ai"&amp;$G$1)</f>
        <v>365</v>
      </c>
    </row>
    <row r="9" spans="1:37" ht="18" customHeight="1">
      <c r="A9" s="295"/>
      <c r="B9" s="3365"/>
      <c r="C9" s="297"/>
      <c r="D9" s="298"/>
      <c r="E9" s="293" t="s">
        <v>699</v>
      </c>
      <c r="F9" s="303">
        <f ca="1">INDIRECT("'数据-取费表'!w"&amp;$G$1)</f>
        <v>0.13</v>
      </c>
      <c r="G9" s="1291"/>
      <c r="H9" s="295"/>
      <c r="I9" s="3365"/>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2117</v>
      </c>
      <c r="E10" s="304" t="s">
        <v>701</v>
      </c>
      <c r="F10" s="1052" t="s">
        <v>3424</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3321</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3250</v>
      </c>
      <c r="D14" s="1256" t="s">
        <v>708</v>
      </c>
      <c r="E14" s="1254"/>
      <c r="F14" s="310"/>
      <c r="G14" s="1291"/>
      <c r="H14" s="927" t="s">
        <v>398</v>
      </c>
      <c r="I14" s="293" t="s">
        <v>709</v>
      </c>
      <c r="J14" s="21">
        <f ca="1">C29</f>
        <v>4549</v>
      </c>
      <c r="K14" s="12"/>
      <c r="L14" s="758"/>
      <c r="M14" s="759"/>
    </row>
    <row r="15" spans="1:37" s="1303" customFormat="1" ht="18" customHeight="1" thickBot="1">
      <c r="A15" s="927" t="s">
        <v>399</v>
      </c>
      <c r="B15" s="293" t="s">
        <v>710</v>
      </c>
      <c r="C15" s="21">
        <f ca="1">ROUND(C14*F15,0)</f>
        <v>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26</v>
      </c>
      <c r="K16" s="1023" t="s">
        <v>715</v>
      </c>
      <c r="L16" s="1024"/>
      <c r="M16" s="1008"/>
    </row>
    <row r="17" spans="1:37" s="1303" customFormat="1" ht="18" customHeight="1">
      <c r="A17" s="927" t="s">
        <v>681</v>
      </c>
      <c r="B17" s="293" t="s">
        <v>716</v>
      </c>
      <c r="C17" s="21">
        <f ca="1">ROUND(F17*(F43+INDIRECT("'数据-取费表'!S"&amp;$G$1))/10000,0)</f>
        <v>170</v>
      </c>
      <c r="D17" s="293" t="s">
        <v>717</v>
      </c>
      <c r="E17" s="293" t="s">
        <v>718</v>
      </c>
      <c r="F17" s="23">
        <f>'数据-取费表'!B35</f>
        <v>120</v>
      </c>
      <c r="G17" s="1302"/>
      <c r="H17" s="927" t="s">
        <v>398</v>
      </c>
      <c r="I17" s="293" t="s">
        <v>719</v>
      </c>
      <c r="J17" s="2139">
        <f ca="1">ROUND(IF(AND(项目基本情况!B11="自然人",项目基本情况!B10="北京市"),J6*M17/(1+'数据-取费表'!C42),J18+J19+J20),2)</f>
        <v>3.22</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65</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3648</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73</v>
      </c>
      <c r="D20" s="314" t="s">
        <v>729</v>
      </c>
      <c r="E20" s="293" t="s">
        <v>712</v>
      </c>
      <c r="F20" s="313">
        <f>'数据-取费表'!B37</f>
        <v>0.02</v>
      </c>
      <c r="G20" s="1302"/>
      <c r="H20" s="927" t="s">
        <v>680</v>
      </c>
      <c r="I20" s="146" t="s">
        <v>730</v>
      </c>
      <c r="J20" s="22">
        <f ca="1">ROUND(M20*M21/10000,2)</f>
        <v>3.22</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21453.65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22.75</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115</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-26</v>
      </c>
      <c r="K25" s="1031" t="s">
        <v>753</v>
      </c>
      <c r="L25" s="1032"/>
      <c r="M25" s="1033"/>
    </row>
    <row r="26" spans="1:37">
      <c r="A26" s="927" t="s">
        <v>397</v>
      </c>
      <c r="B26" s="293" t="s">
        <v>754</v>
      </c>
      <c r="C26" s="21">
        <f ca="1">ROUND((C19+C20)*F26,0)</f>
        <v>372</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4549</v>
      </c>
      <c r="D29" s="1028"/>
      <c r="E29" s="1026"/>
      <c r="F29" s="1029"/>
      <c r="G29" s="1302"/>
      <c r="H29" s="324" t="s">
        <v>396</v>
      </c>
      <c r="I29" s="325" t="s">
        <v>768</v>
      </c>
      <c r="J29" s="326">
        <f ca="1">ROUND(J26/(1+F40)^F41,0)</f>
        <v>0</v>
      </c>
      <c r="K29" s="327" t="s">
        <v>769</v>
      </c>
      <c r="L29" s="328"/>
      <c r="M29" s="329">
        <f ca="1">INDIRECT("'数据-取费表'!k"&amp;$G$1)</f>
        <v>14131.06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117</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85.56</v>
      </c>
      <c r="D31" s="1256" t="s">
        <v>720</v>
      </c>
      <c r="E31" s="1255" t="s">
        <v>770</v>
      </c>
      <c r="F31" s="2138" t="str">
        <f>IF(项目基本情况!B11="企业","——",IF(M47="住宅",IF(F6*F7*F8/12/(1+'数据-取费表'!F30)&gt;100000,4%,2.5%),IF(F6*F7*F8/12/(1+'数据-取费表'!F30)&gt;100000,12%,7%)))</f>
        <v>——</v>
      </c>
      <c r="G31" s="1291"/>
      <c r="H31" s="2569" t="s">
        <v>2306</v>
      </c>
      <c r="I31" s="1304"/>
      <c r="J31" s="1305"/>
      <c r="K31" s="120"/>
      <c r="L31" s="2471"/>
      <c r="M31" s="2472"/>
    </row>
    <row r="32" spans="1:37" ht="18" customHeight="1">
      <c r="A32" s="927" t="s">
        <v>397</v>
      </c>
      <c r="B32" s="293" t="s">
        <v>723</v>
      </c>
      <c r="C32" s="21">
        <f ca="1">IF(项目基本情况!B11="自然人","——",ROUND(C6*F32/(1+'数据-取费表'!C42),2))</f>
        <v>25.88</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56.46</v>
      </c>
      <c r="D33" s="1277" t="s">
        <v>3336</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3.22</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21453.65</v>
      </c>
      <c r="G35" s="1291"/>
      <c r="H35" s="2470"/>
      <c r="I35" s="1304"/>
      <c r="J35" s="1305"/>
      <c r="K35" s="2474"/>
      <c r="L35" s="2473"/>
      <c r="M35" s="2473"/>
    </row>
    <row r="36" spans="1:18" ht="18" customHeight="1">
      <c r="A36" s="1038" t="s">
        <v>402</v>
      </c>
      <c r="B36" s="293" t="s">
        <v>738</v>
      </c>
      <c r="C36" s="21">
        <f ca="1">ROUND(C29*F36,2)</f>
        <v>22.75</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3.32</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ROUND(C5*F38,2)</f>
        <v>4.95</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378</v>
      </c>
      <c r="D39" s="1031" t="s">
        <v>773</v>
      </c>
      <c r="E39" s="1032"/>
      <c r="F39" s="1033"/>
      <c r="G39" s="1291"/>
      <c r="H39" s="2473"/>
      <c r="I39" s="1304"/>
      <c r="J39" s="1305"/>
      <c r="K39" s="2471"/>
      <c r="L39" s="2473"/>
      <c r="M39" s="2473"/>
    </row>
    <row r="40" spans="1:18" ht="18" customHeight="1">
      <c r="A40" s="290" t="s">
        <v>395</v>
      </c>
      <c r="B40" s="291" t="s">
        <v>774</v>
      </c>
      <c r="C40" s="292">
        <f ca="1">ROUND(C39*(1-((1+F42)/(1+F40))^F41)/(F40-F42),0)</f>
        <v>7093</v>
      </c>
      <c r="D40" s="315" t="s">
        <v>758</v>
      </c>
      <c r="E40" s="293" t="s">
        <v>759</v>
      </c>
      <c r="F40" s="303">
        <f ca="1">INDIRECT("'数据-取费表'!I"&amp;$G$1)</f>
        <v>0.05</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28.55</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5019</v>
      </c>
      <c r="D43" s="327" t="s">
        <v>777</v>
      </c>
      <c r="E43" s="328" t="s">
        <v>778</v>
      </c>
      <c r="F43" s="329">
        <f ca="1">INDIRECT("'数据-取费表'!k"&amp;$G$1)</f>
        <v>14131.06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-7529</v>
      </c>
      <c r="D46" s="1312" t="str">
        <f>C2</f>
        <v>万元</v>
      </c>
      <c r="E46" s="1306"/>
      <c r="F46" s="1306"/>
      <c r="I46" s="1313" t="s">
        <v>810</v>
      </c>
      <c r="J46" s="1314"/>
      <c r="K46" s="1315"/>
      <c r="L46" s="1316">
        <f ca="1">IF(M47="住宅",0,IF(L48&gt;J51,L60,J60))</f>
        <v>264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3425</v>
      </c>
      <c r="K47" s="1322" t="s">
        <v>816</v>
      </c>
      <c r="L47" s="1323">
        <f ca="1">INDIRECT("'数据-取费表'!d"&amp;$G$1)</f>
        <v>50</v>
      </c>
      <c r="M47" s="1287" t="str">
        <f>IF(ISNUMBER(FIND("住宅",C1)),"住宅","非住宅")</f>
        <v>非住宅</v>
      </c>
      <c r="O47" s="1324" t="s">
        <v>403</v>
      </c>
      <c r="P47" s="1325" t="s">
        <v>817</v>
      </c>
      <c r="Q47" s="1326">
        <f ca="1">C40+J29</f>
        <v>7093</v>
      </c>
      <c r="R47" s="1326" t="s">
        <v>818</v>
      </c>
    </row>
    <row r="48" spans="1:18" s="1291" customFormat="1" ht="28.5" thickBot="1">
      <c r="A48" s="1046" t="s">
        <v>438</v>
      </c>
      <c r="B48" s="291" t="s">
        <v>692</v>
      </c>
      <c r="C48" s="1267">
        <f ca="1">C49+C53+C55</f>
        <v>0</v>
      </c>
      <c r="D48" s="1048"/>
      <c r="E48" s="1049"/>
      <c r="F48" s="907"/>
      <c r="G48" s="680"/>
      <c r="H48" s="681"/>
      <c r="I48" s="1327" t="s">
        <v>819</v>
      </c>
      <c r="J48" s="1328" t="s">
        <v>3426</v>
      </c>
      <c r="K48" s="1329" t="s">
        <v>820</v>
      </c>
      <c r="L48" s="1330">
        <f ca="1">INDIRECT("'数据-取费表'!f"&amp;$G$1)</f>
        <v>28.55</v>
      </c>
      <c r="O48" s="1324" t="s">
        <v>404</v>
      </c>
      <c r="P48" s="1325" t="s">
        <v>821</v>
      </c>
      <c r="Q48" s="1326">
        <f ca="1">J60</f>
        <v>264</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f>'数据-取费表'!N18</f>
        <v>2005</v>
      </c>
      <c r="K49" s="1329" t="s">
        <v>824</v>
      </c>
      <c r="L49" s="1332"/>
      <c r="O49" s="1333" t="s">
        <v>405</v>
      </c>
      <c r="P49" s="1325" t="s">
        <v>825</v>
      </c>
      <c r="Q49" s="1326">
        <f ca="1">C29</f>
        <v>4549</v>
      </c>
      <c r="R49" s="1326" t="s">
        <v>818</v>
      </c>
    </row>
    <row r="50" spans="1:18" s="1291" customFormat="1" ht="13.5" thickBot="1">
      <c r="A50" s="921"/>
      <c r="B50" s="924"/>
      <c r="C50" s="1054"/>
      <c r="D50" s="898"/>
      <c r="E50" s="992" t="s">
        <v>697</v>
      </c>
      <c r="F50" s="993">
        <f ca="1">F7</f>
        <v>14131.06</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30</v>
      </c>
      <c r="K51" s="1338" t="s">
        <v>830</v>
      </c>
      <c r="L51" s="1339">
        <f ca="1">ROUND(-PV(INDIRECT("'数据-取费表'!h"&amp;$G$1),J51,(C39-C13*C76),0),0)</f>
        <v>2641</v>
      </c>
      <c r="M51" s="1340"/>
      <c r="O51" s="1333" t="s">
        <v>407</v>
      </c>
      <c r="P51" s="1325" t="s">
        <v>831</v>
      </c>
      <c r="Q51" s="1336">
        <f>J52</f>
        <v>7.0000000000000007E-2</v>
      </c>
      <c r="R51" s="1326"/>
    </row>
    <row r="52" spans="1:18" s="1291" customFormat="1" ht="13.5" thickBot="1">
      <c r="A52" s="922"/>
      <c r="B52" s="924"/>
      <c r="C52" s="925"/>
      <c r="D52" s="898"/>
      <c r="E52" s="926" t="s">
        <v>699</v>
      </c>
      <c r="F52" s="990"/>
      <c r="I52" s="1341" t="s">
        <v>832</v>
      </c>
      <c r="J52" s="1342">
        <f>'数据-取费表'!J6+0.005</f>
        <v>7.0000000000000007E-2</v>
      </c>
      <c r="K52" s="1341" t="s">
        <v>833</v>
      </c>
      <c r="L52" s="1342"/>
      <c r="O52" s="1333" t="s">
        <v>408</v>
      </c>
      <c r="P52" s="1325" t="s">
        <v>834</v>
      </c>
      <c r="Q52" s="1326">
        <f ca="1">J53</f>
        <v>28.55</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28.55</v>
      </c>
      <c r="K53" s="3361" t="s">
        <v>837</v>
      </c>
      <c r="L53" s="3362"/>
      <c r="O53" s="1324" t="s">
        <v>409</v>
      </c>
      <c r="P53" s="1325" t="s">
        <v>838</v>
      </c>
      <c r="Q53" s="1326">
        <f ca="1">Q47+Q48</f>
        <v>7357</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2.9000000000000001E-2</v>
      </c>
      <c r="K55" s="1349" t="s">
        <v>841</v>
      </c>
      <c r="L55" s="1350"/>
      <c r="O55" s="1317" t="s">
        <v>811</v>
      </c>
      <c r="P55" s="1318" t="s">
        <v>812</v>
      </c>
      <c r="Q55" s="1319" t="s">
        <v>813</v>
      </c>
      <c r="R55" s="1319" t="s">
        <v>814</v>
      </c>
    </row>
    <row r="56" spans="1:18" s="1291" customFormat="1" ht="25.5" thickTop="1" thickBot="1">
      <c r="A56" s="902">
        <v>2</v>
      </c>
      <c r="B56" s="903" t="s">
        <v>704</v>
      </c>
      <c r="C56" s="223">
        <f ca="1">C13</f>
        <v>3321</v>
      </c>
      <c r="D56" s="1351"/>
      <c r="E56" s="1352"/>
      <c r="F56" s="1344"/>
      <c r="I56" s="1353" t="s">
        <v>842</v>
      </c>
      <c r="J56" s="1354" t="s">
        <v>3427</v>
      </c>
      <c r="K56" s="1327" t="s">
        <v>843</v>
      </c>
      <c r="L56" s="1330" t="str">
        <f ca="1">IF(L48&lt;J51,"——",L48-J53)</f>
        <v>——</v>
      </c>
      <c r="O56" s="1324" t="s">
        <v>403</v>
      </c>
      <c r="P56" s="1325" t="s">
        <v>817</v>
      </c>
      <c r="Q56" s="1326">
        <f ca="1">C40+J29</f>
        <v>7093</v>
      </c>
      <c r="R56" s="1326" t="s">
        <v>818</v>
      </c>
    </row>
    <row r="57" spans="1:18" s="1291" customFormat="1" ht="24.75" thickBot="1">
      <c r="A57" s="1355"/>
      <c r="B57" s="895" t="s">
        <v>767</v>
      </c>
      <c r="C57" s="229">
        <f ca="1">C29</f>
        <v>4549</v>
      </c>
      <c r="D57" s="1356"/>
      <c r="E57" s="1357"/>
      <c r="F57" s="1358"/>
      <c r="I57" s="1359" t="s">
        <v>844</v>
      </c>
      <c r="J57" s="1360">
        <f ca="1">IF(OR(M47="住宅",J51&lt;L48,J56="是"),"——",J51-L48)</f>
        <v>1.4499999999999993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29</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3</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1820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3.22</v>
      </c>
      <c r="D62" s="910" t="s">
        <v>786</v>
      </c>
      <c r="E62" s="895" t="s">
        <v>787</v>
      </c>
      <c r="F62" s="316">
        <f t="shared" si="0"/>
        <v>1.5</v>
      </c>
      <c r="I62" s="1366" t="s">
        <v>858</v>
      </c>
      <c r="J62" s="609" t="s">
        <v>859</v>
      </c>
      <c r="K62" s="609" t="s">
        <v>860</v>
      </c>
      <c r="L62" s="609" t="s">
        <v>861</v>
      </c>
      <c r="M62" s="1367" t="s">
        <v>862</v>
      </c>
      <c r="O62" s="1324" t="s">
        <v>409</v>
      </c>
      <c r="P62" s="1325" t="s">
        <v>863</v>
      </c>
      <c r="Q62" s="1326">
        <f ca="1">Q56+Q57</f>
        <v>7093</v>
      </c>
      <c r="R62" s="1326" t="s">
        <v>410</v>
      </c>
    </row>
    <row r="63" spans="1:18" s="1291" customFormat="1" ht="13.5" thickBot="1">
      <c r="A63" s="317"/>
      <c r="B63" s="901"/>
      <c r="C63" s="26"/>
      <c r="D63" s="911"/>
      <c r="E63" s="895" t="s">
        <v>788</v>
      </c>
      <c r="F63" s="294">
        <f t="shared" ca="1" si="0"/>
        <v>21453.65</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22.75</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3.32</v>
      </c>
      <c r="D65" s="909" t="s">
        <v>743</v>
      </c>
      <c r="E65" s="895" t="s">
        <v>744</v>
      </c>
      <c r="F65" s="320">
        <f t="shared" ca="1" si="0"/>
        <v>1E-3</v>
      </c>
      <c r="I65" s="1366" t="s">
        <v>867</v>
      </c>
      <c r="J65" s="609">
        <v>40</v>
      </c>
      <c r="K65" s="609">
        <v>30</v>
      </c>
      <c r="L65" s="609">
        <v>50</v>
      </c>
      <c r="M65" s="1368">
        <v>0.02</v>
      </c>
      <c r="O65" s="1324" t="s">
        <v>403</v>
      </c>
      <c r="P65" s="1325" t="s">
        <v>868</v>
      </c>
      <c r="Q65" s="1326">
        <f ca="1">C40+J29</f>
        <v>7093</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-29</v>
      </c>
      <c r="D67" s="908" t="s">
        <v>753</v>
      </c>
      <c r="E67" s="913"/>
      <c r="F67" s="914"/>
      <c r="O67" s="1333" t="s">
        <v>405</v>
      </c>
      <c r="P67" s="1325" t="s">
        <v>850</v>
      </c>
      <c r="Q67" s="1369">
        <f ca="1">L51</f>
        <v>2641</v>
      </c>
      <c r="R67" s="1326" t="s">
        <v>870</v>
      </c>
    </row>
    <row r="68" spans="1:18" s="1291" customFormat="1" ht="16.5" thickBot="1">
      <c r="A68" s="892" t="s">
        <v>395</v>
      </c>
      <c r="B68" s="893" t="s">
        <v>774</v>
      </c>
      <c r="C68" s="292">
        <f ca="1">ROUND(C67*(1-((1+F70)/(1+F68))^F69)/(F68-F70),0)</f>
        <v>-436</v>
      </c>
      <c r="D68" s="910" t="s">
        <v>758</v>
      </c>
      <c r="E68" s="895" t="s">
        <v>759</v>
      </c>
      <c r="F68" s="303">
        <f ca="1">F40</f>
        <v>0.05</v>
      </c>
      <c r="O68" s="1333" t="s">
        <v>406</v>
      </c>
      <c r="P68" s="1370" t="s">
        <v>871</v>
      </c>
      <c r="Q68" s="1326">
        <f ca="1">ROUND(Q69-Q70*Q71,0)</f>
        <v>162</v>
      </c>
      <c r="R68" s="1326" t="s">
        <v>414</v>
      </c>
    </row>
    <row r="69" spans="1:18" s="1291" customFormat="1" ht="13.5" thickBot="1">
      <c r="A69" s="896"/>
      <c r="B69" s="897"/>
      <c r="C69" s="297"/>
      <c r="D69" s="915" t="s">
        <v>762</v>
      </c>
      <c r="E69" s="895" t="s">
        <v>763</v>
      </c>
      <c r="F69" s="323">
        <f ca="1">F41</f>
        <v>28.55</v>
      </c>
      <c r="O69" s="1333" t="s">
        <v>411</v>
      </c>
      <c r="P69" s="1370" t="s">
        <v>872</v>
      </c>
      <c r="Q69" s="1326">
        <f ca="1">C39</f>
        <v>378</v>
      </c>
      <c r="R69" s="1326" t="s">
        <v>818</v>
      </c>
    </row>
    <row r="70" spans="1:18" s="1291" customFormat="1" ht="13.5" thickBot="1">
      <c r="A70" s="899"/>
      <c r="B70" s="900"/>
      <c r="C70" s="301"/>
      <c r="D70" s="911"/>
      <c r="E70" s="895" t="s">
        <v>766</v>
      </c>
      <c r="F70" s="990"/>
      <c r="O70" s="1333" t="s">
        <v>412</v>
      </c>
      <c r="P70" s="1370" t="s">
        <v>873</v>
      </c>
      <c r="Q70" s="1326">
        <f ca="1">C13</f>
        <v>3321</v>
      </c>
      <c r="R70" s="1326" t="s">
        <v>818</v>
      </c>
    </row>
    <row r="71" spans="1:18" s="1291" customFormat="1" ht="13.5" thickBot="1">
      <c r="A71" s="916" t="s">
        <v>396</v>
      </c>
      <c r="B71" s="917" t="s">
        <v>776</v>
      </c>
      <c r="C71" s="326">
        <f ca="1">ROUND(C68*10000/F71,0)</f>
        <v>-309</v>
      </c>
      <c r="D71" s="918" t="s">
        <v>777</v>
      </c>
      <c r="E71" s="919" t="s">
        <v>778</v>
      </c>
      <c r="F71" s="329">
        <f ca="1">F43</f>
        <v>14131.06</v>
      </c>
      <c r="O71" s="1333" t="s">
        <v>413</v>
      </c>
      <c r="P71" s="1370" t="s">
        <v>874</v>
      </c>
      <c r="Q71" s="1336">
        <f ca="1">C76</f>
        <v>6.5000000000000002E-2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216</v>
      </c>
      <c r="D75" s="1291"/>
      <c r="E75" s="1291"/>
      <c r="F75" s="1291"/>
      <c r="K75" s="1308"/>
      <c r="L75" s="1291"/>
      <c r="O75" s="1324" t="s">
        <v>409</v>
      </c>
      <c r="P75" s="1325" t="s">
        <v>838</v>
      </c>
      <c r="Q75" s="1326">
        <f ca="1">Q65+Q66</f>
        <v>7093</v>
      </c>
      <c r="R75" s="1326" t="s">
        <v>410</v>
      </c>
    </row>
    <row r="76" spans="1:18">
      <c r="B76" s="332" t="s">
        <v>796</v>
      </c>
      <c r="C76" s="333">
        <f ca="1">INDIRECT("'数据-取费表'!j"&amp;$G$1)</f>
        <v>6.5000000000000002E-2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0.42900000000000005</v>
      </c>
    </row>
    <row r="80" spans="1:18">
      <c r="B80" s="330" t="s">
        <v>800</v>
      </c>
      <c r="C80" s="265">
        <f ca="1">ROUND(C75/C39,3)</f>
        <v>0.57099999999999995</v>
      </c>
    </row>
    <row r="81" spans="2:3">
      <c r="B81" s="261" t="s">
        <v>801</v>
      </c>
      <c r="C81" s="229"/>
    </row>
    <row r="82" spans="2:3">
      <c r="B82" s="264" t="s">
        <v>802</v>
      </c>
      <c r="C82" s="266">
        <f ca="1">1-C83</f>
        <v>0.53200000000000003</v>
      </c>
    </row>
    <row r="83" spans="2:3">
      <c r="B83" s="264" t="s">
        <v>803</v>
      </c>
      <c r="C83" s="265">
        <f ca="1">ROUND(C13/C40,3)</f>
        <v>0.46800000000000003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63" t="s">
        <v>694</v>
      </c>
      <c r="C6" s="1010">
        <f ca="1">ROUND(F6*F8*F7*(1-F9),0)</f>
        <v>0</v>
      </c>
      <c r="D6" s="146" t="s">
        <v>2106</v>
      </c>
      <c r="E6" s="293" t="s">
        <v>696</v>
      </c>
      <c r="F6" s="294">
        <f ca="1">INDIRECT("'数据-取费表'!u"&amp;$G$1)</f>
        <v>0</v>
      </c>
      <c r="G6" s="1291"/>
      <c r="H6" s="1005" t="s">
        <v>398</v>
      </c>
      <c r="I6" s="3363" t="s">
        <v>694</v>
      </c>
      <c r="J6" s="292">
        <f ca="1">ROUND(M6*M8*M7*(1-M9),0)</f>
        <v>0</v>
      </c>
      <c r="K6" s="1283" t="s">
        <v>2107</v>
      </c>
      <c r="L6" s="293" t="s">
        <v>696</v>
      </c>
      <c r="M6" s="294">
        <f ca="1">INDIRECT("'数据-取费表'!z"&amp;$G$1)</f>
        <v>0</v>
      </c>
    </row>
    <row r="7" spans="1:37" ht="18" customHeight="1">
      <c r="A7" s="1009"/>
      <c r="B7" s="3364"/>
      <c r="C7" s="1011"/>
      <c r="D7" s="298"/>
      <c r="E7" s="1012" t="s">
        <v>697</v>
      </c>
      <c r="F7" s="294">
        <f ca="1">IF(INDIRECT("'数据-取费表'!ah"&amp;$G$1)="",INDIRECT("'数据-取费表'!k"&amp;$G$1),INDIRECT("'数据-取费表'!ah"&amp;$G$1))</f>
        <v>0</v>
      </c>
      <c r="G7" s="1291"/>
      <c r="H7" s="295"/>
      <c r="I7" s="3364"/>
      <c r="J7" s="297"/>
      <c r="K7" s="298"/>
      <c r="L7" s="293" t="s">
        <v>697</v>
      </c>
      <c r="M7" s="294">
        <f ca="1">F7</f>
        <v>0</v>
      </c>
    </row>
    <row r="8" spans="1:37" ht="18" customHeight="1">
      <c r="A8" s="295"/>
      <c r="B8" s="3364"/>
      <c r="C8" s="297"/>
      <c r="D8" s="298"/>
      <c r="E8" s="293" t="s">
        <v>698</v>
      </c>
      <c r="F8" s="294">
        <f ca="1">INDIRECT("'数据-取费表'!ai"&amp;$G$1)</f>
        <v>0</v>
      </c>
      <c r="G8" s="1291"/>
      <c r="H8" s="295"/>
      <c r="I8" s="3364"/>
      <c r="J8" s="297"/>
      <c r="K8" s="298"/>
      <c r="L8" s="293" t="s">
        <v>698</v>
      </c>
      <c r="M8" s="294">
        <f ca="1">INDIRECT("'数据-取费表'!ai"&amp;$G$1)</f>
        <v>0</v>
      </c>
    </row>
    <row r="9" spans="1:37" ht="18" customHeight="1">
      <c r="A9" s="295"/>
      <c r="B9" s="3365"/>
      <c r="C9" s="297"/>
      <c r="D9" s="298"/>
      <c r="E9" s="293" t="s">
        <v>699</v>
      </c>
      <c r="F9" s="303">
        <f ca="1">INDIRECT("'数据-取费表'!w"&amp;$G$1)</f>
        <v>0</v>
      </c>
      <c r="G9" s="1291"/>
      <c r="H9" s="295"/>
      <c r="I9" s="336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120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3352</v>
      </c>
      <c r="B45" s="1306"/>
      <c r="C45" s="1375" t="e">
        <f ca="1">ROUND((C68-C40)/10000,4)</f>
        <v>#DIV/0!</v>
      </c>
      <c r="D45" s="3130" t="s">
        <v>3353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61" t="s">
        <v>837</v>
      </c>
      <c r="L53" s="3362"/>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3359</v>
      </c>
      <c r="E2" s="3139"/>
      <c r="F2" s="2597"/>
      <c r="G2" s="2598"/>
      <c r="H2" s="2599"/>
      <c r="I2" s="2600"/>
      <c r="J2" s="3372" t="s">
        <v>2317</v>
      </c>
      <c r="K2" s="3373"/>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4" t="s">
        <v>2327</v>
      </c>
      <c r="K3" s="3375"/>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4" t="s">
        <v>2329</v>
      </c>
      <c r="K4" s="3375"/>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80" t="s">
        <v>2333</v>
      </c>
      <c r="B6" s="3381"/>
      <c r="C6" s="3382"/>
      <c r="D6" s="2621"/>
      <c r="E6" s="2622"/>
      <c r="F6" s="2623"/>
      <c r="G6" s="2624"/>
      <c r="H6" s="2599"/>
      <c r="I6" s="2600"/>
      <c r="J6" s="3366">
        <v>1</v>
      </c>
      <c r="K6" s="336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66"/>
      <c r="K7" s="3368"/>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3" t="s">
        <v>2347</v>
      </c>
      <c r="C8" s="3384"/>
      <c r="D8" s="2640" t="s">
        <v>2348</v>
      </c>
      <c r="E8" s="2641" t="s">
        <v>2349</v>
      </c>
      <c r="F8" s="2642" t="s">
        <v>2350</v>
      </c>
      <c r="G8" s="2643"/>
      <c r="H8" s="2599"/>
      <c r="I8" s="2600"/>
      <c r="J8" s="3366"/>
      <c r="K8" s="3368"/>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3" t="s">
        <v>2353</v>
      </c>
      <c r="C9" s="3384"/>
      <c r="D9" s="2640">
        <f>ROUND(D6*E9,0)</f>
        <v>0</v>
      </c>
      <c r="E9" s="2644"/>
      <c r="F9" s="2645" t="s">
        <v>2354</v>
      </c>
      <c r="G9" s="2624"/>
      <c r="H9" s="2599"/>
      <c r="I9" s="2600"/>
      <c r="J9" s="3366"/>
      <c r="K9" s="3368"/>
      <c r="L9" s="2634" t="s">
        <v>2355</v>
      </c>
      <c r="M9" s="2635"/>
      <c r="N9" s="2611"/>
      <c r="O9" s="2636"/>
      <c r="P9" s="2636"/>
      <c r="Q9" s="2637">
        <v>365</v>
      </c>
      <c r="R9" s="2638">
        <f t="shared" si="0"/>
        <v>0</v>
      </c>
      <c r="S9" s="2592"/>
      <c r="T9" s="2592"/>
      <c r="U9" s="2592"/>
      <c r="V9" s="2600"/>
    </row>
    <row r="10" spans="1:22" s="2604" customFormat="1" ht="13.15" customHeight="1">
      <c r="A10" s="2639">
        <v>2</v>
      </c>
      <c r="B10" s="3383" t="s">
        <v>2356</v>
      </c>
      <c r="C10" s="3384"/>
      <c r="D10" s="2640">
        <f>ROUND(D6*E10,0)</f>
        <v>0</v>
      </c>
      <c r="E10" s="2644"/>
      <c r="F10" s="2645" t="s">
        <v>2357</v>
      </c>
      <c r="G10" s="2624"/>
      <c r="H10" s="2599"/>
      <c r="I10" s="2600"/>
      <c r="J10" s="3366"/>
      <c r="K10" s="3368"/>
      <c r="L10" s="2634" t="s">
        <v>2358</v>
      </c>
      <c r="M10" s="2635"/>
      <c r="N10" s="2611"/>
      <c r="O10" s="2636"/>
      <c r="P10" s="2636"/>
      <c r="Q10" s="2637">
        <v>365</v>
      </c>
      <c r="R10" s="2638">
        <f t="shared" si="0"/>
        <v>0</v>
      </c>
      <c r="S10" s="2592"/>
      <c r="T10" s="2592"/>
      <c r="U10" s="2592"/>
      <c r="V10" s="2600"/>
    </row>
    <row r="11" spans="1:22" s="2604" customFormat="1" ht="13.15" customHeight="1">
      <c r="A11" s="2639">
        <v>3</v>
      </c>
      <c r="B11" s="3383" t="s">
        <v>2359</v>
      </c>
      <c r="C11" s="3384"/>
      <c r="D11" s="2640">
        <f>D12+D14+D15+D16</f>
        <v>0</v>
      </c>
      <c r="E11" s="2646" t="e">
        <f>D11/D6</f>
        <v>#DIV/0!</v>
      </c>
      <c r="F11" s="2642"/>
      <c r="G11" s="2643"/>
      <c r="H11" s="2599"/>
      <c r="I11" s="2600"/>
      <c r="J11" s="3366"/>
      <c r="K11" s="3368"/>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6" t="s">
        <v>2362</v>
      </c>
      <c r="C12" s="3377"/>
      <c r="D12" s="2648">
        <f>ROUND(D13*1.2%*(1-30%),0)</f>
        <v>0</v>
      </c>
      <c r="E12" s="2649">
        <v>1.2E-2</v>
      </c>
      <c r="F12" s="2642" t="s">
        <v>2363</v>
      </c>
      <c r="G12" s="2643"/>
      <c r="H12" s="2599"/>
      <c r="I12" s="2600"/>
      <c r="J12" s="3366"/>
      <c r="K12" s="3368"/>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66"/>
      <c r="K13" s="3368"/>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6" t="s">
        <v>2368</v>
      </c>
      <c r="C14" s="3377"/>
      <c r="D14" s="2648">
        <f>ROUND(E14*B5/10000,0)</f>
        <v>0</v>
      </c>
      <c r="E14" s="2637"/>
      <c r="F14" s="2642" t="s">
        <v>2369</v>
      </c>
      <c r="G14" s="2643"/>
      <c r="H14" s="2599"/>
      <c r="I14" s="2600"/>
      <c r="J14" s="3366"/>
      <c r="K14" s="336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6" t="s">
        <v>2372</v>
      </c>
      <c r="C15" s="3377"/>
      <c r="D15" s="2648">
        <f>ROUND(D6*E15,0)</f>
        <v>0</v>
      </c>
      <c r="E15" s="2649">
        <v>5.5E-2</v>
      </c>
      <c r="F15" s="2642" t="s">
        <v>2373</v>
      </c>
      <c r="G15" s="2624"/>
      <c r="H15" s="2599"/>
      <c r="I15" s="2600"/>
      <c r="J15" s="3366">
        <v>2</v>
      </c>
      <c r="K15" s="336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6" t="s">
        <v>2381</v>
      </c>
      <c r="C16" s="3377"/>
      <c r="D16" s="2659">
        <f>D6*E16</f>
        <v>0</v>
      </c>
      <c r="E16" s="2660"/>
      <c r="F16" s="2645" t="s">
        <v>2382</v>
      </c>
      <c r="G16" s="2624"/>
      <c r="H16" s="2599"/>
      <c r="I16" s="2600"/>
      <c r="J16" s="3366"/>
      <c r="K16" s="3368"/>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8" t="s">
        <v>2384</v>
      </c>
      <c r="C17" s="3379"/>
      <c r="D17" s="2662">
        <f>ROUND(D6*E17,0)</f>
        <v>0</v>
      </c>
      <c r="E17" s="2663"/>
      <c r="F17" s="2664" t="s">
        <v>2385</v>
      </c>
      <c r="G17" s="2624"/>
      <c r="H17" s="2599"/>
      <c r="I17" s="2600"/>
      <c r="J17" s="3366"/>
      <c r="K17" s="3368"/>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66"/>
      <c r="K18" s="3368"/>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66"/>
      <c r="K19" s="336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6">
        <v>3</v>
      </c>
      <c r="K20" s="336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66"/>
      <c r="K21" s="3368"/>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66"/>
      <c r="K22" s="3368"/>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66"/>
      <c r="K23" s="3368"/>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66"/>
      <c r="K24" s="336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70">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7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2" t="s">
        <v>2317</v>
      </c>
      <c r="K32" s="3373"/>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4" t="s">
        <v>2327</v>
      </c>
      <c r="K33" s="3375"/>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4" t="s">
        <v>2329</v>
      </c>
      <c r="K34" s="337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66">
        <v>1</v>
      </c>
      <c r="K36" s="3367"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66"/>
      <c r="K37" s="3368"/>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6"/>
      <c r="K38" s="3368"/>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66"/>
      <c r="K39" s="3368"/>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66"/>
      <c r="K40" s="3369"/>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0">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7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J48" sqref="J4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3412</v>
      </c>
      <c r="D1" s="1270" t="s">
        <v>43</v>
      </c>
      <c r="E1" s="1271" t="s">
        <v>678</v>
      </c>
      <c r="F1" s="998">
        <f ca="1">J53</f>
        <v>28.55</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1114</v>
      </c>
      <c r="C2" s="1288" t="s">
        <v>805</v>
      </c>
      <c r="D2" s="1288"/>
      <c r="E2" s="1294"/>
      <c r="F2" s="1295"/>
      <c r="G2" s="2478"/>
      <c r="H2" s="2468"/>
      <c r="I2" s="2468"/>
      <c r="J2" s="2468"/>
      <c r="K2" s="2469"/>
      <c r="L2" s="2468"/>
      <c r="M2" s="2468"/>
    </row>
    <row r="3" spans="1:37" ht="18" customHeight="1" thickBot="1">
      <c r="A3" s="1296" t="s">
        <v>806</v>
      </c>
      <c r="B3" s="1297">
        <f ca="1">IF(ISERROR(B2*10000/F43),0,ROUND(B2*10000/F43,0))</f>
        <v>6123</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75</v>
      </c>
      <c r="D5" s="1272" t="s">
        <v>693</v>
      </c>
      <c r="E5" s="1007"/>
      <c r="F5" s="1008"/>
      <c r="G5" s="1291"/>
      <c r="H5" s="290">
        <v>1</v>
      </c>
      <c r="I5" s="291" t="s">
        <v>692</v>
      </c>
      <c r="J5" s="1006">
        <f ca="1">J6+J10+J12</f>
        <v>0</v>
      </c>
      <c r="K5" s="1272" t="s">
        <v>693</v>
      </c>
      <c r="L5" s="1007"/>
      <c r="M5" s="1008"/>
    </row>
    <row r="6" spans="1:37" ht="18" customHeight="1">
      <c r="A6" s="1005" t="s">
        <v>398</v>
      </c>
      <c r="B6" s="3363" t="s">
        <v>694</v>
      </c>
      <c r="C6" s="1010">
        <f ca="1">ROUND(F6*F8*F7*(1-F9)/10000,0)</f>
        <v>75</v>
      </c>
      <c r="D6" s="146" t="s">
        <v>2109</v>
      </c>
      <c r="E6" s="293" t="s">
        <v>696</v>
      </c>
      <c r="F6" s="294">
        <f ca="1">INDIRECT("'数据-取费表'!u"&amp;$G$1)</f>
        <v>1.3</v>
      </c>
      <c r="G6" s="1291"/>
      <c r="H6" s="1005" t="s">
        <v>398</v>
      </c>
      <c r="I6" s="3363" t="s">
        <v>694</v>
      </c>
      <c r="J6" s="292">
        <f ca="1">ROUND(M6*M8*M7*(1-M9)/10000,0)</f>
        <v>0</v>
      </c>
      <c r="K6" s="146" t="s">
        <v>2108</v>
      </c>
      <c r="L6" s="293" t="s">
        <v>696</v>
      </c>
      <c r="M6" s="294">
        <f ca="1">INDIRECT("'数据-取费表'!z"&amp;$G$1)</f>
        <v>0</v>
      </c>
    </row>
    <row r="7" spans="1:37" ht="18" customHeight="1">
      <c r="A7" s="1009"/>
      <c r="B7" s="3364"/>
      <c r="C7" s="1011"/>
      <c r="D7" s="298"/>
      <c r="E7" s="1012" t="s">
        <v>697</v>
      </c>
      <c r="F7" s="294">
        <f ca="1">IF(INDIRECT("'数据-取费表'!ah"&amp;$G$1)="",INDIRECT("'数据-取费表'!k"&amp;$G$1),INDIRECT("'数据-取费表'!ah"&amp;$G$1))</f>
        <v>1819.3</v>
      </c>
      <c r="G7" s="1291"/>
      <c r="H7" s="295"/>
      <c r="I7" s="3364"/>
      <c r="J7" s="297"/>
      <c r="K7" s="298"/>
      <c r="L7" s="293" t="s">
        <v>697</v>
      </c>
      <c r="M7" s="294">
        <f ca="1">F7</f>
        <v>1819.3</v>
      </c>
    </row>
    <row r="8" spans="1:37" ht="18" customHeight="1">
      <c r="A8" s="295"/>
      <c r="B8" s="3364"/>
      <c r="C8" s="297"/>
      <c r="D8" s="298"/>
      <c r="E8" s="293" t="s">
        <v>698</v>
      </c>
      <c r="F8" s="294">
        <f ca="1">INDIRECT("'数据-取费表'!ai"&amp;$G$1)</f>
        <v>365</v>
      </c>
      <c r="G8" s="1291"/>
      <c r="H8" s="295"/>
      <c r="I8" s="3364"/>
      <c r="J8" s="297"/>
      <c r="K8" s="298"/>
      <c r="L8" s="293" t="s">
        <v>698</v>
      </c>
      <c r="M8" s="294">
        <f ca="1">INDIRECT("'数据-取费表'!ai"&amp;$G$1)</f>
        <v>365</v>
      </c>
    </row>
    <row r="9" spans="1:37" ht="18" customHeight="1">
      <c r="A9" s="295"/>
      <c r="B9" s="3365"/>
      <c r="C9" s="297"/>
      <c r="D9" s="298"/>
      <c r="E9" s="293" t="s">
        <v>699</v>
      </c>
      <c r="F9" s="303">
        <f ca="1">INDIRECT("'数据-取费表'!w"&amp;$G$1)</f>
        <v>0.13</v>
      </c>
      <c r="G9" s="1291"/>
      <c r="H9" s="295"/>
      <c r="I9" s="336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t="s">
        <v>3424</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575</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546</v>
      </c>
      <c r="D14" s="1256" t="s">
        <v>708</v>
      </c>
      <c r="E14" s="1254"/>
      <c r="F14" s="310"/>
      <c r="G14" s="1291"/>
      <c r="H14" s="927" t="s">
        <v>398</v>
      </c>
      <c r="I14" s="293" t="s">
        <v>709</v>
      </c>
      <c r="J14" s="21">
        <f ca="1">C29</f>
        <v>756</v>
      </c>
      <c r="K14" s="12"/>
      <c r="L14" s="758"/>
      <c r="M14" s="759"/>
    </row>
    <row r="15" spans="1:37" s="1303" customFormat="1" ht="18" customHeight="1" thickBot="1">
      <c r="A15" s="927" t="s">
        <v>399</v>
      </c>
      <c r="B15" s="293" t="s">
        <v>710</v>
      </c>
      <c r="C15" s="21">
        <f ca="1">ROUND(C14*F15,0)</f>
        <v>27</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4</v>
      </c>
      <c r="K16" s="1023" t="s">
        <v>715</v>
      </c>
      <c r="L16" s="1024"/>
      <c r="M16" s="1008"/>
    </row>
    <row r="17" spans="1:37" s="1303" customFormat="1" ht="18" customHeight="1">
      <c r="A17" s="927" t="s">
        <v>681</v>
      </c>
      <c r="B17" s="293" t="s">
        <v>716</v>
      </c>
      <c r="C17" s="21">
        <f ca="1">ROUND(F17*(F43+INDIRECT("'数据-取费表'!S"&amp;$G$1))/10000,0)</f>
        <v>22</v>
      </c>
      <c r="D17" s="293" t="s">
        <v>717</v>
      </c>
      <c r="E17" s="293" t="s">
        <v>718</v>
      </c>
      <c r="F17" s="23">
        <f>'数据-取费表'!B35</f>
        <v>120</v>
      </c>
      <c r="G17" s="1302"/>
      <c r="H17" s="927" t="s">
        <v>398</v>
      </c>
      <c r="I17" s="293" t="s">
        <v>719</v>
      </c>
      <c r="J17" s="2139">
        <f ca="1">ROUND(IF(AND(项目基本情况!B11="自然人",项目基本情况!B10="北京市"),J6*M17/(1+'数据-取费表'!C42),J18+J19+J20),2)</f>
        <v>0.41</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11</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606</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12</v>
      </c>
      <c r="D20" s="314" t="s">
        <v>729</v>
      </c>
      <c r="E20" s="293" t="s">
        <v>712</v>
      </c>
      <c r="F20" s="313">
        <f>'数据-取费表'!B37</f>
        <v>0.02</v>
      </c>
      <c r="G20" s="1302"/>
      <c r="H20" s="927" t="s">
        <v>680</v>
      </c>
      <c r="I20" s="146" t="s">
        <v>730</v>
      </c>
      <c r="J20" s="22">
        <f ca="1">ROUND(M20*M21/10000,2)</f>
        <v>0.41</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2762.05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3.78</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19</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-4</v>
      </c>
      <c r="K25" s="1031" t="s">
        <v>753</v>
      </c>
      <c r="L25" s="1032"/>
      <c r="M25" s="1033"/>
    </row>
    <row r="26" spans="1:37">
      <c r="A26" s="927" t="s">
        <v>397</v>
      </c>
      <c r="B26" s="293" t="s">
        <v>754</v>
      </c>
      <c r="C26" s="21">
        <f ca="1">ROUND((C19+C20)*F26,0)</f>
        <v>62</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756</v>
      </c>
      <c r="D29" s="1028"/>
      <c r="E29" s="1026"/>
      <c r="F29" s="1029"/>
      <c r="G29" s="1302"/>
      <c r="H29" s="324" t="s">
        <v>396</v>
      </c>
      <c r="I29" s="325" t="s">
        <v>768</v>
      </c>
      <c r="J29" s="326">
        <f ca="1">ROUND(J26/(1+F40)^F41,0)</f>
        <v>0</v>
      </c>
      <c r="K29" s="327" t="s">
        <v>769</v>
      </c>
      <c r="L29" s="328"/>
      <c r="M29" s="329">
        <f ca="1">INDIRECT("'数据-取费表'!k"&amp;$G$1)</f>
        <v>1819.3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18</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12.91</v>
      </c>
      <c r="D31" s="1256" t="s">
        <v>720</v>
      </c>
      <c r="E31" s="1255" t="s">
        <v>770</v>
      </c>
      <c r="F31" s="2138" t="str">
        <f>IF(项目基本情况!B11="企业","——",IF(M47="住宅",IF(F6*F7*F8/12/(1+'数据-取费表'!F30)&gt;100000,4%,2.5%),IF(F6*F7*F8/12/(1+'数据-取费表'!F30)&gt;100000,12%,7%)))</f>
        <v>——</v>
      </c>
      <c r="G31" s="1291"/>
      <c r="H31" s="2569" t="s">
        <v>2306</v>
      </c>
      <c r="I31" s="1304"/>
      <c r="J31" s="1305"/>
      <c r="K31" s="120"/>
      <c r="L31" s="2471"/>
      <c r="M31" s="2472"/>
    </row>
    <row r="32" spans="1:37" ht="18" customHeight="1">
      <c r="A32" s="927" t="s">
        <v>397</v>
      </c>
      <c r="B32" s="293" t="s">
        <v>723</v>
      </c>
      <c r="C32" s="21">
        <f ca="1">IF(项目基本情况!B11="自然人","——",ROUND(C6*F32/(1+'数据-取费表'!C42),2))</f>
        <v>3.93</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8.57</v>
      </c>
      <c r="D33" s="1277" t="s">
        <v>3336</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0.41</v>
      </c>
      <c r="D34" s="315" t="s">
        <v>731</v>
      </c>
      <c r="E34" s="293" t="s">
        <v>732</v>
      </c>
      <c r="F34" s="316">
        <f>'数据-取费表'!B52</f>
        <v>1.5</v>
      </c>
      <c r="G34" s="1291"/>
      <c r="H34" s="2470"/>
      <c r="I34" s="1304"/>
      <c r="J34" s="1305"/>
      <c r="K34" s="2475"/>
      <c r="L34" s="2476"/>
      <c r="M34" s="2476"/>
    </row>
    <row r="35" spans="1:18" ht="18" customHeight="1">
      <c r="A35" s="1039"/>
      <c r="B35" s="1037"/>
      <c r="C35" s="26"/>
      <c r="D35" s="318"/>
      <c r="E35" s="293" t="s">
        <v>736</v>
      </c>
      <c r="F35" s="294">
        <f ca="1">INDIRECT("'数据-取费表'!r"&amp;$G$1)</f>
        <v>2762.05</v>
      </c>
      <c r="G35" s="1291"/>
      <c r="H35" s="2470"/>
      <c r="I35" s="1304"/>
      <c r="J35" s="1305"/>
      <c r="K35" s="2474"/>
      <c r="L35" s="2473"/>
      <c r="M35" s="2473"/>
    </row>
    <row r="36" spans="1:18" ht="18" customHeight="1">
      <c r="A36" s="1038" t="s">
        <v>402</v>
      </c>
      <c r="B36" s="293" t="s">
        <v>738</v>
      </c>
      <c r="C36" s="21">
        <f ca="1">ROUND(C29*F36,2)</f>
        <v>3.78</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0.57999999999999996</v>
      </c>
      <c r="D37" s="1255" t="s">
        <v>743</v>
      </c>
      <c r="E37" s="293" t="s">
        <v>712</v>
      </c>
      <c r="F37" s="320">
        <f ca="1">INDIRECT("'数据-取费表'!Al"&amp;$G$1)</f>
        <v>1E-3</v>
      </c>
      <c r="G37" s="1291"/>
      <c r="H37" s="2473"/>
      <c r="I37" s="1304"/>
      <c r="J37" s="1305"/>
      <c r="K37" s="2330"/>
      <c r="L37" s="2473"/>
      <c r="M37" s="2473"/>
    </row>
    <row r="38" spans="1:18" ht="18" customHeight="1" thickBot="1">
      <c r="A38" s="1025" t="s">
        <v>683</v>
      </c>
      <c r="B38" s="1026" t="s">
        <v>728</v>
      </c>
      <c r="C38" s="1027">
        <f ca="1">ROUND(C5*F38,2)</f>
        <v>0.75</v>
      </c>
      <c r="D38" s="1028" t="s">
        <v>748</v>
      </c>
      <c r="E38" s="1026" t="s">
        <v>712</v>
      </c>
      <c r="F38" s="1022">
        <f ca="1">INDIRECT("'数据-取费表'!Am"&amp;$G$1)</f>
        <v>0.01</v>
      </c>
      <c r="G38" s="1291"/>
      <c r="H38" s="2473"/>
      <c r="I38" s="1304"/>
      <c r="J38" s="1305"/>
      <c r="K38" s="2471"/>
      <c r="L38" s="2473"/>
      <c r="M38" s="2473"/>
    </row>
    <row r="39" spans="1:18" ht="24.6" customHeight="1" thickTop="1">
      <c r="A39" s="1015" t="s">
        <v>394</v>
      </c>
      <c r="B39" s="1030" t="s">
        <v>752</v>
      </c>
      <c r="C39" s="301">
        <f ca="1">C5-C30</f>
        <v>57</v>
      </c>
      <c r="D39" s="1031" t="s">
        <v>753</v>
      </c>
      <c r="E39" s="1032"/>
      <c r="F39" s="1033"/>
      <c r="G39" s="1291"/>
      <c r="H39" s="2473"/>
      <c r="I39" s="1304"/>
      <c r="J39" s="1305"/>
      <c r="K39" s="2471"/>
      <c r="L39" s="2473"/>
      <c r="M39" s="2473"/>
    </row>
    <row r="40" spans="1:18" ht="18" customHeight="1">
      <c r="A40" s="290" t="s">
        <v>395</v>
      </c>
      <c r="B40" s="291" t="s">
        <v>774</v>
      </c>
      <c r="C40" s="292">
        <f ca="1">ROUND(C39*(1-((1+F42)/(1+F40))^F41)/(F40-F42),0)</f>
        <v>1070</v>
      </c>
      <c r="D40" s="315" t="s">
        <v>758</v>
      </c>
      <c r="E40" s="293" t="s">
        <v>759</v>
      </c>
      <c r="F40" s="303">
        <f ca="1">INDIRECT("'数据-取费表'!I"&amp;$G$1)</f>
        <v>0.05</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28.55</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5881</v>
      </c>
      <c r="D43" s="327" t="s">
        <v>777</v>
      </c>
      <c r="E43" s="328" t="s">
        <v>778</v>
      </c>
      <c r="F43" s="329">
        <f ca="1">INDIRECT("'数据-取费表'!k"&amp;$G$1)</f>
        <v>1819.3</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-1130</v>
      </c>
      <c r="D46" s="1312" t="str">
        <f>C2</f>
        <v>万元</v>
      </c>
      <c r="E46" s="1306"/>
      <c r="F46" s="1306"/>
      <c r="I46" s="1313" t="s">
        <v>810</v>
      </c>
      <c r="J46" s="1314"/>
      <c r="K46" s="1315"/>
      <c r="L46" s="1316">
        <f ca="1">IF(M47="住宅",0,IF(L48&gt;J51,L60,J60))</f>
        <v>44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3425</v>
      </c>
      <c r="K47" s="1322" t="s">
        <v>816</v>
      </c>
      <c r="L47" s="1323">
        <f ca="1">INDIRECT("'数据-取费表'!d"&amp;$G$1)</f>
        <v>50</v>
      </c>
      <c r="M47" s="1287" t="str">
        <f>IF(ISNUMBER(FIND("住宅",C1)),"住宅","非住宅")</f>
        <v>非住宅</v>
      </c>
      <c r="O47" s="1324" t="s">
        <v>403</v>
      </c>
      <c r="P47" s="1325" t="s">
        <v>817</v>
      </c>
      <c r="Q47" s="1326">
        <f ca="1">C40+J29</f>
        <v>1070</v>
      </c>
      <c r="R47" s="1326" t="s">
        <v>818</v>
      </c>
    </row>
    <row r="48" spans="1:18" s="1291" customFormat="1" ht="28.5" thickBot="1">
      <c r="A48" s="1046" t="s">
        <v>438</v>
      </c>
      <c r="B48" s="291" t="s">
        <v>692</v>
      </c>
      <c r="C48" s="1267">
        <f ca="1">C49+C53+C55</f>
        <v>0</v>
      </c>
      <c r="D48" s="1048"/>
      <c r="E48" s="1049"/>
      <c r="F48" s="907"/>
      <c r="G48" s="680"/>
      <c r="H48" s="681"/>
      <c r="I48" s="1327" t="s">
        <v>819</v>
      </c>
      <c r="J48" s="1328" t="s">
        <v>3428</v>
      </c>
      <c r="K48" s="1329" t="s">
        <v>820</v>
      </c>
      <c r="L48" s="1330">
        <f ca="1">INDIRECT("'数据-取费表'!f"&amp;$G$1)</f>
        <v>28.55</v>
      </c>
      <c r="O48" s="1324" t="s">
        <v>404</v>
      </c>
      <c r="P48" s="1325" t="s">
        <v>821</v>
      </c>
      <c r="Q48" s="1326">
        <f ca="1">J60</f>
        <v>44</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f>'数据-取费表'!N18</f>
        <v>2005</v>
      </c>
      <c r="K49" s="1329" t="s">
        <v>824</v>
      </c>
      <c r="L49" s="1332"/>
      <c r="O49" s="1333" t="s">
        <v>405</v>
      </c>
      <c r="P49" s="1325" t="s">
        <v>825</v>
      </c>
      <c r="Q49" s="1326">
        <f ca="1">C29</f>
        <v>756</v>
      </c>
      <c r="R49" s="1326" t="s">
        <v>818</v>
      </c>
    </row>
    <row r="50" spans="1:18" s="1291" customFormat="1" ht="13.5" thickBot="1">
      <c r="A50" s="921"/>
      <c r="B50" s="924"/>
      <c r="C50" s="1054"/>
      <c r="D50" s="898"/>
      <c r="E50" s="992" t="s">
        <v>697</v>
      </c>
      <c r="F50" s="993">
        <f ca="1">F7</f>
        <v>1819.3</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40</v>
      </c>
      <c r="K51" s="1338" t="s">
        <v>830</v>
      </c>
      <c r="L51" s="1339">
        <f ca="1">ROUND(-PV(INDIRECT("'数据-取费表'!h"&amp;$G$1),J51,(C39-C13*C76),0),0)</f>
        <v>361</v>
      </c>
      <c r="M51" s="1340"/>
      <c r="O51" s="1333" t="s">
        <v>407</v>
      </c>
      <c r="P51" s="1325" t="s">
        <v>831</v>
      </c>
      <c r="Q51" s="1336">
        <f>J52</f>
        <v>7.0000000000000007E-2</v>
      </c>
      <c r="R51" s="1326"/>
    </row>
    <row r="52" spans="1:18" s="1291" customFormat="1" ht="13.5" thickBot="1">
      <c r="A52" s="922"/>
      <c r="B52" s="924"/>
      <c r="C52" s="925"/>
      <c r="D52" s="898"/>
      <c r="E52" s="926" t="s">
        <v>699</v>
      </c>
      <c r="F52" s="990"/>
      <c r="I52" s="1341" t="s">
        <v>832</v>
      </c>
      <c r="J52" s="1342">
        <f>'数据-取费表'!J6+0.005</f>
        <v>7.0000000000000007E-2</v>
      </c>
      <c r="K52" s="1341" t="s">
        <v>833</v>
      </c>
      <c r="L52" s="1342"/>
      <c r="O52" s="1333" t="s">
        <v>408</v>
      </c>
      <c r="P52" s="1325" t="s">
        <v>834</v>
      </c>
      <c r="Q52" s="1326">
        <f ca="1">J53</f>
        <v>28.55</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28.55</v>
      </c>
      <c r="K53" s="3361" t="s">
        <v>837</v>
      </c>
      <c r="L53" s="3362"/>
      <c r="O53" s="1324" t="s">
        <v>409</v>
      </c>
      <c r="P53" s="1325" t="s">
        <v>838</v>
      </c>
      <c r="Q53" s="1326">
        <f ca="1">Q47+Q48</f>
        <v>1114</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0.191</v>
      </c>
      <c r="K55" s="1349" t="s">
        <v>841</v>
      </c>
      <c r="L55" s="1350"/>
      <c r="O55" s="1317" t="s">
        <v>811</v>
      </c>
      <c r="P55" s="1318" t="s">
        <v>812</v>
      </c>
      <c r="Q55" s="1319" t="s">
        <v>813</v>
      </c>
      <c r="R55" s="1319" t="s">
        <v>814</v>
      </c>
    </row>
    <row r="56" spans="1:18" s="1291" customFormat="1" ht="25.5" thickTop="1" thickBot="1">
      <c r="A56" s="902">
        <v>2</v>
      </c>
      <c r="B56" s="903" t="s">
        <v>704</v>
      </c>
      <c r="C56" s="223">
        <f ca="1">C13</f>
        <v>575</v>
      </c>
      <c r="D56" s="1351"/>
      <c r="E56" s="1352"/>
      <c r="F56" s="1344"/>
      <c r="I56" s="1353" t="s">
        <v>842</v>
      </c>
      <c r="J56" s="1354" t="s">
        <v>3427</v>
      </c>
      <c r="K56" s="1327" t="s">
        <v>843</v>
      </c>
      <c r="L56" s="1330" t="str">
        <f ca="1">IF(L48&lt;J51,"——",L48-J53)</f>
        <v>——</v>
      </c>
      <c r="O56" s="1324" t="s">
        <v>403</v>
      </c>
      <c r="P56" s="1325" t="s">
        <v>817</v>
      </c>
      <c r="Q56" s="1326">
        <f ca="1">C40+J29</f>
        <v>1070</v>
      </c>
      <c r="R56" s="1326" t="s">
        <v>818</v>
      </c>
    </row>
    <row r="57" spans="1:18" s="1291" customFormat="1" ht="24.75" thickBot="1">
      <c r="A57" s="1355"/>
      <c r="B57" s="895" t="s">
        <v>767</v>
      </c>
      <c r="C57" s="229">
        <f ca="1">C29</f>
        <v>756</v>
      </c>
      <c r="D57" s="1356"/>
      <c r="E57" s="1357"/>
      <c r="F57" s="1358"/>
      <c r="I57" s="1359" t="s">
        <v>844</v>
      </c>
      <c r="J57" s="1360">
        <f ca="1">IF(OR(M47="住宅",J51&lt;L48,J56="是"),"——",J51-L48)</f>
        <v>11.45</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302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44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3336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0.41</v>
      </c>
      <c r="D62" s="910" t="s">
        <v>731</v>
      </c>
      <c r="E62" s="895" t="s">
        <v>732</v>
      </c>
      <c r="F62" s="316">
        <f t="shared" si="0"/>
        <v>1.5</v>
      </c>
      <c r="I62" s="1366" t="s">
        <v>858</v>
      </c>
      <c r="J62" s="609" t="s">
        <v>859</v>
      </c>
      <c r="K62" s="609" t="s">
        <v>860</v>
      </c>
      <c r="L62" s="609" t="s">
        <v>861</v>
      </c>
      <c r="M62" s="1367" t="s">
        <v>862</v>
      </c>
      <c r="O62" s="1324" t="s">
        <v>409</v>
      </c>
      <c r="P62" s="1325" t="s">
        <v>838</v>
      </c>
      <c r="Q62" s="1326">
        <f ca="1">Q56+Q57</f>
        <v>1070</v>
      </c>
      <c r="R62" s="1326" t="s">
        <v>410</v>
      </c>
    </row>
    <row r="63" spans="1:18" s="1291" customFormat="1" ht="13.5" thickBot="1">
      <c r="A63" s="317"/>
      <c r="B63" s="901"/>
      <c r="C63" s="26"/>
      <c r="D63" s="911"/>
      <c r="E63" s="895" t="s">
        <v>736</v>
      </c>
      <c r="F63" s="294">
        <f t="shared" ca="1" si="0"/>
        <v>2762.05</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1">
        <f ca="1">ROUND(C57*F64,2)</f>
        <v>3.78</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0.57999999999999996</v>
      </c>
      <c r="D65" s="909" t="s">
        <v>743</v>
      </c>
      <c r="E65" s="895" t="s">
        <v>712</v>
      </c>
      <c r="F65" s="320">
        <f t="shared" ca="1" si="0"/>
        <v>1E-3</v>
      </c>
      <c r="I65" s="1366" t="s">
        <v>867</v>
      </c>
      <c r="J65" s="609">
        <v>40</v>
      </c>
      <c r="K65" s="609">
        <v>30</v>
      </c>
      <c r="L65" s="609">
        <v>50</v>
      </c>
      <c r="M65" s="1368">
        <v>0.02</v>
      </c>
      <c r="O65" s="1324" t="s">
        <v>403</v>
      </c>
      <c r="P65" s="1325" t="s">
        <v>817</v>
      </c>
      <c r="Q65" s="1326">
        <f ca="1">C40+J29</f>
        <v>1070</v>
      </c>
      <c r="R65" s="1326" t="s">
        <v>818</v>
      </c>
    </row>
    <row r="66" spans="1:18" s="1291" customFormat="1" ht="16.5" thickBot="1">
      <c r="A66" s="927" t="s">
        <v>793</v>
      </c>
      <c r="B66" s="895" t="s">
        <v>728</v>
      </c>
      <c r="C66" s="21">
        <f ca="1">ROUND(C48*F66,2)</f>
        <v>0</v>
      </c>
      <c r="D66" s="909" t="s">
        <v>748</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-4</v>
      </c>
      <c r="D67" s="908" t="s">
        <v>753</v>
      </c>
      <c r="E67" s="913"/>
      <c r="F67" s="914"/>
      <c r="O67" s="1333" t="s">
        <v>405</v>
      </c>
      <c r="P67" s="1325" t="s">
        <v>850</v>
      </c>
      <c r="Q67" s="1369">
        <f ca="1">L51</f>
        <v>361</v>
      </c>
      <c r="R67" s="1326" t="s">
        <v>870</v>
      </c>
    </row>
    <row r="68" spans="1:18" s="1291" customFormat="1" ht="16.5" thickBot="1">
      <c r="A68" s="892" t="s">
        <v>395</v>
      </c>
      <c r="B68" s="893" t="s">
        <v>774</v>
      </c>
      <c r="C68" s="292">
        <f ca="1">ROUND(C67*(1-((1+F70)/(1+F68))^F69)/(F68-F70),0)</f>
        <v>-60</v>
      </c>
      <c r="D68" s="910" t="s">
        <v>758</v>
      </c>
      <c r="E68" s="895" t="s">
        <v>759</v>
      </c>
      <c r="F68" s="303">
        <f ca="1">F40</f>
        <v>0.05</v>
      </c>
      <c r="O68" s="1333" t="s">
        <v>406</v>
      </c>
      <c r="P68" s="1370" t="s">
        <v>871</v>
      </c>
      <c r="Q68" s="1326">
        <f ca="1">ROUND(Q69-Q70*Q71,0)</f>
        <v>20</v>
      </c>
      <c r="R68" s="1326" t="s">
        <v>414</v>
      </c>
    </row>
    <row r="69" spans="1:18" s="1291" customFormat="1" ht="13.5" thickBot="1">
      <c r="A69" s="896"/>
      <c r="B69" s="897"/>
      <c r="C69" s="297"/>
      <c r="D69" s="915" t="s">
        <v>762</v>
      </c>
      <c r="E69" s="895" t="s">
        <v>763</v>
      </c>
      <c r="F69" s="323">
        <f ca="1">F41</f>
        <v>28.55</v>
      </c>
      <c r="O69" s="1333" t="s">
        <v>411</v>
      </c>
      <c r="P69" s="1370" t="s">
        <v>872</v>
      </c>
      <c r="Q69" s="1326">
        <f ca="1">C39</f>
        <v>57</v>
      </c>
      <c r="R69" s="1326" t="s">
        <v>818</v>
      </c>
    </row>
    <row r="70" spans="1:18" s="1291" customFormat="1" ht="13.5" thickBot="1">
      <c r="A70" s="899"/>
      <c r="B70" s="900"/>
      <c r="C70" s="301"/>
      <c r="D70" s="911"/>
      <c r="E70" s="895" t="s">
        <v>766</v>
      </c>
      <c r="F70" s="990"/>
      <c r="O70" s="1333" t="s">
        <v>412</v>
      </c>
      <c r="P70" s="1370" t="s">
        <v>873</v>
      </c>
      <c r="Q70" s="1326">
        <f ca="1">C13</f>
        <v>575</v>
      </c>
      <c r="R70" s="1326" t="s">
        <v>818</v>
      </c>
    </row>
    <row r="71" spans="1:18" s="1291" customFormat="1" ht="13.5" thickBot="1">
      <c r="A71" s="916" t="s">
        <v>396</v>
      </c>
      <c r="B71" s="917" t="s">
        <v>776</v>
      </c>
      <c r="C71" s="326">
        <f ca="1">ROUND(C68*10000/F71,0)</f>
        <v>-330</v>
      </c>
      <c r="D71" s="918" t="s">
        <v>777</v>
      </c>
      <c r="E71" s="919" t="s">
        <v>778</v>
      </c>
      <c r="F71" s="329">
        <f ca="1">F43</f>
        <v>1819.3</v>
      </c>
      <c r="O71" s="1333" t="s">
        <v>413</v>
      </c>
      <c r="P71" s="1370" t="s">
        <v>874</v>
      </c>
      <c r="Q71" s="1336">
        <f ca="1">C76</f>
        <v>6.5000000000000002E-2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37</v>
      </c>
      <c r="D75" s="1291"/>
      <c r="E75" s="1291"/>
      <c r="F75" s="1291"/>
      <c r="K75" s="1308"/>
      <c r="L75" s="1291"/>
      <c r="O75" s="1324" t="s">
        <v>409</v>
      </c>
      <c r="P75" s="1325" t="s">
        <v>838</v>
      </c>
      <c r="Q75" s="1326">
        <f ca="1">Q65+Q66</f>
        <v>1070</v>
      </c>
      <c r="R75" s="1326" t="s">
        <v>410</v>
      </c>
    </row>
    <row r="76" spans="1:18">
      <c r="B76" s="332" t="s">
        <v>796</v>
      </c>
      <c r="C76" s="333">
        <f ca="1">INDIRECT("'数据-取费表'!j"&amp;$G$1)</f>
        <v>6.5000000000000002E-2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0.35099999999999998</v>
      </c>
    </row>
    <row r="80" spans="1:18">
      <c r="B80" s="330" t="s">
        <v>800</v>
      </c>
      <c r="C80" s="265">
        <f ca="1">ROUND(C75/C39,3)</f>
        <v>0.64900000000000002</v>
      </c>
    </row>
    <row r="81" spans="2:3">
      <c r="B81" s="261" t="s">
        <v>801</v>
      </c>
      <c r="C81" s="229"/>
    </row>
    <row r="82" spans="2:3">
      <c r="B82" s="264" t="s">
        <v>802</v>
      </c>
      <c r="C82" s="266">
        <f ca="1">1-C83</f>
        <v>0.46299999999999997</v>
      </c>
    </row>
    <row r="83" spans="2:3">
      <c r="B83" s="264" t="s">
        <v>803</v>
      </c>
      <c r="C83" s="265">
        <f ca="1">ROUND(C13/C40,3)</f>
        <v>0.53700000000000003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8471</v>
      </c>
      <c r="C2" s="1728" t="s">
        <v>1651</v>
      </c>
      <c r="D2" s="1729" t="s">
        <v>1652</v>
      </c>
      <c r="E2" s="2392">
        <f>SUM(E6:E13)</f>
        <v>15950.359999999999</v>
      </c>
      <c r="F2" s="2479"/>
      <c r="G2" s="458"/>
      <c r="H2" s="458"/>
      <c r="I2" s="458"/>
      <c r="J2" s="458"/>
      <c r="K2" s="458"/>
      <c r="L2" s="458"/>
      <c r="M2" s="458"/>
      <c r="N2" s="458"/>
      <c r="O2" s="458"/>
      <c r="P2" s="458"/>
      <c r="Q2" s="458"/>
      <c r="R2" s="458"/>
      <c r="S2" s="458"/>
    </row>
    <row r="3" spans="1:22" ht="15.75">
      <c r="A3" s="1727" t="s">
        <v>686</v>
      </c>
      <c r="B3" s="2386">
        <f ca="1">ROUND(B2*10000/E2,0)</f>
        <v>5311</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385" t="s">
        <v>1654</v>
      </c>
      <c r="C5" s="3386"/>
      <c r="D5" s="2480"/>
      <c r="E5" s="1730" t="s">
        <v>1655</v>
      </c>
      <c r="F5" s="128" t="s">
        <v>1656</v>
      </c>
      <c r="G5" s="458"/>
      <c r="H5" s="458"/>
      <c r="I5" s="458"/>
      <c r="J5" s="458"/>
      <c r="K5" s="458"/>
      <c r="L5" s="458"/>
      <c r="M5" s="458"/>
      <c r="N5" s="458"/>
      <c r="O5" s="458"/>
      <c r="P5" s="458"/>
      <c r="Q5" s="458"/>
      <c r="R5" s="458"/>
      <c r="S5" s="458"/>
    </row>
    <row r="6" spans="1:22">
      <c r="A6" s="2389" t="str">
        <f>'数据-取费表'!AN6</f>
        <v>收益法厂房</v>
      </c>
      <c r="B6" s="2387">
        <f ca="1">IF(F6="是",'数据-取费表'!AO6,0)</f>
        <v>7357</v>
      </c>
      <c r="C6" s="1728" t="s">
        <v>1651</v>
      </c>
      <c r="D6" s="2479"/>
      <c r="E6" s="2391">
        <f>IF(OR(A6=0,F6="否"),0,'数据-取费表'!K6+'数据-取费表'!S6)</f>
        <v>14131.06</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1114</v>
      </c>
      <c r="C7" s="1728" t="s">
        <v>1651</v>
      </c>
      <c r="D7" s="2479"/>
      <c r="E7" s="2391">
        <f>IF(OR(A7=0,F7="否"),0,'数据-取费表'!K7+'数据-取费表'!S7)</f>
        <v>1819.3</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2025年3月24日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15950.36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405" t="s">
        <v>1667</v>
      </c>
      <c r="D4" s="3406"/>
      <c r="E4" s="3407" t="s">
        <v>1668</v>
      </c>
      <c r="F4" s="3408"/>
      <c r="G4" s="3405" t="s">
        <v>1669</v>
      </c>
      <c r="H4" s="3406"/>
      <c r="I4" s="3405" t="s">
        <v>1670</v>
      </c>
      <c r="J4" s="3406"/>
      <c r="K4" s="1743" t="s">
        <v>1671</v>
      </c>
      <c r="L4" s="2486"/>
      <c r="M4" s="2487"/>
      <c r="N4" s="2487"/>
      <c r="O4" s="2487"/>
      <c r="P4" s="3409" t="s">
        <v>1672</v>
      </c>
      <c r="Q4" s="3410"/>
      <c r="R4" s="3415" t="s">
        <v>1668</v>
      </c>
      <c r="S4" s="3416"/>
      <c r="T4" s="3415" t="s">
        <v>1669</v>
      </c>
      <c r="U4" s="3416"/>
      <c r="V4" s="3391" t="s">
        <v>1670</v>
      </c>
      <c r="W4" s="3391"/>
      <c r="X4" s="1264"/>
      <c r="Y4" s="3415" t="s">
        <v>1672</v>
      </c>
      <c r="Z4" s="3416"/>
      <c r="AA4" s="3402" t="s">
        <v>1668</v>
      </c>
      <c r="AB4" s="3402" t="s">
        <v>1669</v>
      </c>
      <c r="AC4" s="3402" t="s">
        <v>1670</v>
      </c>
    </row>
    <row r="5" spans="1:29" ht="15">
      <c r="A5" s="347"/>
      <c r="B5" s="348"/>
      <c r="C5" s="3423" t="s">
        <v>1673</v>
      </c>
      <c r="D5" s="3424"/>
      <c r="E5" s="3430" t="s">
        <v>1674</v>
      </c>
      <c r="F5" s="3431"/>
      <c r="G5" s="3423" t="s">
        <v>1675</v>
      </c>
      <c r="H5" s="3424"/>
      <c r="I5" s="3423" t="s">
        <v>1676</v>
      </c>
      <c r="J5" s="3424"/>
      <c r="K5" s="1744"/>
      <c r="L5" s="2486"/>
      <c r="M5" s="2487"/>
      <c r="N5" s="2487"/>
      <c r="O5" s="2487"/>
      <c r="P5" s="3411"/>
      <c r="Q5" s="3412"/>
      <c r="R5" s="3417"/>
      <c r="S5" s="3418"/>
      <c r="T5" s="3417"/>
      <c r="U5" s="3418"/>
      <c r="V5" s="3391"/>
      <c r="W5" s="3391"/>
      <c r="X5" s="1264"/>
      <c r="Y5" s="3417"/>
      <c r="Z5" s="3418"/>
      <c r="AA5" s="3403"/>
      <c r="AB5" s="3403"/>
      <c r="AC5" s="3403"/>
    </row>
    <row r="6" spans="1:29" ht="15.75" thickBot="1">
      <c r="A6" s="349"/>
      <c r="B6" s="350"/>
      <c r="C6" s="3421" t="s">
        <v>1677</v>
      </c>
      <c r="D6" s="3422"/>
      <c r="E6" s="3428" t="s">
        <v>1677</v>
      </c>
      <c r="F6" s="3429"/>
      <c r="G6" s="3421" t="s">
        <v>1677</v>
      </c>
      <c r="H6" s="3422"/>
      <c r="I6" s="3421" t="s">
        <v>1677</v>
      </c>
      <c r="J6" s="3422"/>
      <c r="K6" s="1744" t="s">
        <v>1678</v>
      </c>
      <c r="L6" s="2486"/>
      <c r="M6" s="2487"/>
      <c r="N6" s="2487"/>
      <c r="O6" s="2487"/>
      <c r="P6" s="3413"/>
      <c r="Q6" s="3414"/>
      <c r="R6" s="3417"/>
      <c r="S6" s="3418"/>
      <c r="T6" s="3419"/>
      <c r="U6" s="3420"/>
      <c r="V6" s="3391"/>
      <c r="W6" s="3391"/>
      <c r="X6" s="1264"/>
      <c r="Y6" s="3419"/>
      <c r="Z6" s="3420"/>
      <c r="AA6" s="3404"/>
      <c r="AB6" s="3404"/>
      <c r="AC6" s="3404"/>
    </row>
    <row r="7" spans="1:29" s="102" customFormat="1" ht="15.75" thickBot="1">
      <c r="A7" s="351" t="s">
        <v>1679</v>
      </c>
      <c r="B7" s="352"/>
      <c r="C7" s="353">
        <f>'数据-取费表'!B2</f>
        <v>45740</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25" t="s">
        <v>1680</v>
      </c>
      <c r="Q7" s="3427"/>
      <c r="R7" s="663" t="s">
        <v>20</v>
      </c>
      <c r="S7" s="664">
        <f t="shared" ref="S7:S15" si="0">F7</f>
        <v>0</v>
      </c>
      <c r="T7" s="663" t="s">
        <v>20</v>
      </c>
      <c r="U7" s="664">
        <f t="shared" ref="U7:U15" si="1">H7</f>
        <v>0</v>
      </c>
      <c r="V7" s="663" t="s">
        <v>20</v>
      </c>
      <c r="W7" s="664">
        <f t="shared" ref="W7:W15" si="2">J7</f>
        <v>0</v>
      </c>
      <c r="X7" s="665"/>
      <c r="Y7" s="3425" t="s">
        <v>1680</v>
      </c>
      <c r="Z7" s="3426"/>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25" t="s">
        <v>1683</v>
      </c>
      <c r="Q8" s="3426"/>
      <c r="R8" s="663" t="s">
        <v>20</v>
      </c>
      <c r="S8" s="664">
        <f t="shared" si="0"/>
        <v>100</v>
      </c>
      <c r="T8" s="663" t="s">
        <v>20</v>
      </c>
      <c r="U8" s="664">
        <f t="shared" si="1"/>
        <v>100</v>
      </c>
      <c r="V8" s="663" t="s">
        <v>20</v>
      </c>
      <c r="W8" s="664">
        <f t="shared" si="2"/>
        <v>100</v>
      </c>
      <c r="X8" s="665"/>
      <c r="Y8" s="3425" t="s">
        <v>1683</v>
      </c>
      <c r="Z8" s="3426"/>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401"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401"/>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401"/>
      <c r="Q11" s="529" t="str">
        <f t="shared" si="6"/>
        <v>容积率</v>
      </c>
      <c r="R11" s="663" t="s">
        <v>18</v>
      </c>
      <c r="S11" s="664" t="e">
        <f t="shared" si="0"/>
        <v>#N/A</v>
      </c>
      <c r="T11" s="663" t="s">
        <v>18</v>
      </c>
      <c r="U11" s="664" t="e">
        <f t="shared" si="1"/>
        <v>#N/A</v>
      </c>
      <c r="V11" s="663" t="s">
        <v>18</v>
      </c>
      <c r="W11" s="664" t="e">
        <f t="shared" si="2"/>
        <v>#N/A</v>
      </c>
      <c r="X11" s="665"/>
      <c r="Y11" s="3246"/>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401"/>
      <c r="Q12" s="529">
        <f t="shared" si="6"/>
        <v>111</v>
      </c>
      <c r="R12" s="663" t="s">
        <v>18</v>
      </c>
      <c r="S12" s="664">
        <f t="shared" si="0"/>
        <v>100</v>
      </c>
      <c r="T12" s="663" t="s">
        <v>18</v>
      </c>
      <c r="U12" s="664">
        <f t="shared" si="1"/>
        <v>100</v>
      </c>
      <c r="V12" s="663" t="s">
        <v>18</v>
      </c>
      <c r="W12" s="664">
        <f t="shared" si="2"/>
        <v>100</v>
      </c>
      <c r="X12" s="665"/>
      <c r="Y12" s="32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401"/>
      <c r="Q13" s="529">
        <f t="shared" si="6"/>
        <v>111</v>
      </c>
      <c r="R13" s="663" t="s">
        <v>18</v>
      </c>
      <c r="S13" s="664">
        <f t="shared" si="0"/>
        <v>100</v>
      </c>
      <c r="T13" s="663" t="s">
        <v>18</v>
      </c>
      <c r="U13" s="664">
        <f t="shared" si="1"/>
        <v>100</v>
      </c>
      <c r="V13" s="663" t="s">
        <v>18</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401"/>
      <c r="Q14" s="529">
        <f t="shared" si="6"/>
        <v>111</v>
      </c>
      <c r="R14" s="663" t="s">
        <v>18</v>
      </c>
      <c r="S14" s="664">
        <f t="shared" si="0"/>
        <v>100</v>
      </c>
      <c r="T14" s="663" t="s">
        <v>18</v>
      </c>
      <c r="U14" s="664">
        <f t="shared" si="1"/>
        <v>100</v>
      </c>
      <c r="V14" s="663" t="s">
        <v>18</v>
      </c>
      <c r="W14" s="664">
        <f t="shared" si="2"/>
        <v>100</v>
      </c>
      <c r="X14" s="665"/>
      <c r="Y14" s="3246"/>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399" t="s">
        <v>1691</v>
      </c>
      <c r="Q15" s="1262" t="str">
        <f t="shared" si="6"/>
        <v>居住社区成熟度</v>
      </c>
      <c r="R15" s="666" t="s">
        <v>18</v>
      </c>
      <c r="S15" s="667">
        <f t="shared" si="0"/>
        <v>100</v>
      </c>
      <c r="T15" s="666" t="s">
        <v>18</v>
      </c>
      <c r="U15" s="667">
        <f t="shared" si="1"/>
        <v>100</v>
      </c>
      <c r="V15" s="666" t="s">
        <v>18</v>
      </c>
      <c r="W15" s="667">
        <f t="shared" si="2"/>
        <v>100</v>
      </c>
      <c r="X15" s="1264"/>
      <c r="Y15" s="3392"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00"/>
      <c r="Q16" s="1262"/>
      <c r="R16" s="666"/>
      <c r="S16" s="667"/>
      <c r="T16" s="666"/>
      <c r="U16" s="667"/>
      <c r="V16" s="666"/>
      <c r="W16" s="667"/>
      <c r="X16" s="1264"/>
      <c r="Y16" s="3393"/>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00"/>
      <c r="Q17" s="1262" t="str">
        <f>B17</f>
        <v>交通便捷度</v>
      </c>
      <c r="R17" s="666" t="s">
        <v>18</v>
      </c>
      <c r="S17" s="667">
        <f>F17</f>
        <v>100</v>
      </c>
      <c r="T17" s="666" t="s">
        <v>18</v>
      </c>
      <c r="U17" s="667">
        <f>H17</f>
        <v>100</v>
      </c>
      <c r="V17" s="666" t="s">
        <v>18</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00"/>
      <c r="Q18" s="1262"/>
      <c r="R18" s="666"/>
      <c r="S18" s="667"/>
      <c r="T18" s="666"/>
      <c r="U18" s="667"/>
      <c r="V18" s="666"/>
      <c r="W18" s="667"/>
      <c r="X18" s="1264"/>
      <c r="Y18" s="3393"/>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00"/>
      <c r="Q19" s="1262" t="str">
        <f>B19</f>
        <v>公共配套设施</v>
      </c>
      <c r="R19" s="666" t="s">
        <v>18</v>
      </c>
      <c r="S19" s="667">
        <f>F19</f>
        <v>100</v>
      </c>
      <c r="T19" s="666" t="s">
        <v>18</v>
      </c>
      <c r="U19" s="667">
        <f>H19</f>
        <v>100</v>
      </c>
      <c r="V19" s="666" t="s">
        <v>18</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00"/>
      <c r="Q20" s="1262"/>
      <c r="R20" s="666"/>
      <c r="S20" s="667"/>
      <c r="T20" s="666"/>
      <c r="U20" s="667"/>
      <c r="V20" s="666"/>
      <c r="W20" s="667"/>
      <c r="X20" s="1264"/>
      <c r="Y20" s="3393"/>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00"/>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00"/>
      <c r="Q22" s="1262"/>
      <c r="R22" s="666"/>
      <c r="S22" s="667"/>
      <c r="T22" s="666"/>
      <c r="U22" s="667"/>
      <c r="V22" s="666"/>
      <c r="W22" s="667"/>
      <c r="X22" s="1264"/>
      <c r="Y22" s="3393"/>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00"/>
      <c r="Q23" s="1262" t="str">
        <f>B23</f>
        <v>自然及人文环境</v>
      </c>
      <c r="R23" s="666" t="s">
        <v>18</v>
      </c>
      <c r="S23" s="667">
        <f>F23</f>
        <v>100</v>
      </c>
      <c r="T23" s="666" t="s">
        <v>18</v>
      </c>
      <c r="U23" s="667">
        <f>H23</f>
        <v>100</v>
      </c>
      <c r="V23" s="666" t="s">
        <v>18</v>
      </c>
      <c r="W23" s="667">
        <f>J23</f>
        <v>100</v>
      </c>
      <c r="X23" s="1264"/>
      <c r="Y23" s="339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00"/>
      <c r="Q24" s="1262"/>
      <c r="R24" s="666"/>
      <c r="S24" s="667"/>
      <c r="T24" s="666"/>
      <c r="U24" s="667"/>
      <c r="V24" s="666"/>
      <c r="W24" s="667"/>
      <c r="X24" s="1264"/>
      <c r="Y24" s="3393"/>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0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3"/>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00"/>
      <c r="Q26" s="1262" t="str">
        <f t="shared" si="11"/>
        <v>朝向</v>
      </c>
      <c r="R26" s="666" t="s">
        <v>18</v>
      </c>
      <c r="S26" s="667">
        <f t="shared" si="12"/>
        <v>100</v>
      </c>
      <c r="T26" s="666" t="s">
        <v>18</v>
      </c>
      <c r="U26" s="667">
        <f t="shared" si="13"/>
        <v>100</v>
      </c>
      <c r="V26" s="666" t="s">
        <v>18</v>
      </c>
      <c r="W26" s="667">
        <f t="shared" si="14"/>
        <v>100</v>
      </c>
      <c r="X26" s="1264"/>
      <c r="Y26" s="3393"/>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00"/>
      <c r="Q27" s="529">
        <f t="shared" si="11"/>
        <v>111</v>
      </c>
      <c r="R27" s="663" t="s">
        <v>18</v>
      </c>
      <c r="S27" s="664">
        <f t="shared" si="12"/>
        <v>100</v>
      </c>
      <c r="T27" s="663" t="s">
        <v>18</v>
      </c>
      <c r="U27" s="664">
        <f t="shared" si="13"/>
        <v>100</v>
      </c>
      <c r="V27" s="663" t="s">
        <v>18</v>
      </c>
      <c r="W27" s="664">
        <f t="shared" si="14"/>
        <v>100</v>
      </c>
      <c r="X27" s="665"/>
      <c r="Y27" s="339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00"/>
      <c r="Q28" s="1262">
        <f t="shared" si="11"/>
        <v>111</v>
      </c>
      <c r="R28" s="666" t="s">
        <v>18</v>
      </c>
      <c r="S28" s="667">
        <f t="shared" si="12"/>
        <v>100</v>
      </c>
      <c r="T28" s="666" t="s">
        <v>18</v>
      </c>
      <c r="U28" s="667">
        <f t="shared" si="13"/>
        <v>100</v>
      </c>
      <c r="V28" s="666" t="s">
        <v>18</v>
      </c>
      <c r="W28" s="667">
        <f t="shared" si="14"/>
        <v>100</v>
      </c>
      <c r="X28" s="1264"/>
      <c r="Y28" s="339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00"/>
      <c r="Q29" s="1262">
        <f t="shared" si="11"/>
        <v>111</v>
      </c>
      <c r="R29" s="666" t="s">
        <v>18</v>
      </c>
      <c r="S29" s="667">
        <f t="shared" si="12"/>
        <v>100</v>
      </c>
      <c r="T29" s="666" t="s">
        <v>18</v>
      </c>
      <c r="U29" s="667">
        <f t="shared" si="13"/>
        <v>100</v>
      </c>
      <c r="V29" s="666" t="s">
        <v>18</v>
      </c>
      <c r="W29" s="667">
        <f t="shared" si="14"/>
        <v>100</v>
      </c>
      <c r="X29" s="1264"/>
      <c r="Y29" s="339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00"/>
      <c r="Q30" s="1262">
        <f t="shared" si="11"/>
        <v>111</v>
      </c>
      <c r="R30" s="666" t="s">
        <v>18</v>
      </c>
      <c r="S30" s="667">
        <f t="shared" si="12"/>
        <v>100</v>
      </c>
      <c r="T30" s="666" t="s">
        <v>18</v>
      </c>
      <c r="U30" s="667">
        <f t="shared" si="13"/>
        <v>100</v>
      </c>
      <c r="V30" s="666" t="s">
        <v>18</v>
      </c>
      <c r="W30" s="667">
        <f t="shared" si="14"/>
        <v>100</v>
      </c>
      <c r="X30" s="1264"/>
      <c r="Y30" s="3393"/>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00"/>
      <c r="Q31" s="1262">
        <f t="shared" si="11"/>
        <v>111</v>
      </c>
      <c r="R31" s="666" t="s">
        <v>18</v>
      </c>
      <c r="S31" s="667">
        <f t="shared" si="12"/>
        <v>100</v>
      </c>
      <c r="T31" s="666" t="s">
        <v>18</v>
      </c>
      <c r="U31" s="667">
        <f t="shared" si="13"/>
        <v>100</v>
      </c>
      <c r="V31" s="666" t="s">
        <v>18</v>
      </c>
      <c r="W31" s="667">
        <f t="shared" si="14"/>
        <v>100</v>
      </c>
      <c r="X31" s="1264"/>
      <c r="Y31" s="3393"/>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94" t="s">
        <v>1696</v>
      </c>
      <c r="Q32" s="1262" t="str">
        <f t="shared" si="11"/>
        <v>建筑类型</v>
      </c>
      <c r="R32" s="666" t="s">
        <v>18</v>
      </c>
      <c r="S32" s="667">
        <f t="shared" si="12"/>
        <v>100</v>
      </c>
      <c r="T32" s="666" t="s">
        <v>18</v>
      </c>
      <c r="U32" s="667">
        <f t="shared" si="13"/>
        <v>100</v>
      </c>
      <c r="V32" s="666" t="s">
        <v>18</v>
      </c>
      <c r="W32" s="667">
        <f t="shared" si="14"/>
        <v>100</v>
      </c>
      <c r="X32" s="1264"/>
      <c r="Y32" s="3397"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95"/>
      <c r="Q33" s="530" t="str">
        <f t="shared" si="11"/>
        <v>项目建筑规模</v>
      </c>
      <c r="R33" s="668" t="s">
        <v>18</v>
      </c>
      <c r="S33" s="669" t="e">
        <f t="shared" si="12"/>
        <v>#N/A</v>
      </c>
      <c r="T33" s="668" t="s">
        <v>18</v>
      </c>
      <c r="U33" s="669" t="e">
        <f t="shared" si="13"/>
        <v>#N/A</v>
      </c>
      <c r="V33" s="668" t="s">
        <v>18</v>
      </c>
      <c r="W33" s="669" t="e">
        <f t="shared" si="14"/>
        <v>#N/A</v>
      </c>
      <c r="X33" s="670"/>
      <c r="Y33" s="3397"/>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95"/>
      <c r="Q34" s="1262" t="str">
        <f t="shared" si="11"/>
        <v>建筑结构</v>
      </c>
      <c r="R34" s="666" t="s">
        <v>18</v>
      </c>
      <c r="S34" s="667">
        <f t="shared" si="12"/>
        <v>100</v>
      </c>
      <c r="T34" s="666" t="s">
        <v>18</v>
      </c>
      <c r="U34" s="667">
        <f t="shared" si="13"/>
        <v>100</v>
      </c>
      <c r="V34" s="666" t="s">
        <v>18</v>
      </c>
      <c r="W34" s="667">
        <f t="shared" si="14"/>
        <v>100</v>
      </c>
      <c r="X34" s="1264"/>
      <c r="Y34" s="3397"/>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95"/>
      <c r="Q35" s="1262" t="str">
        <f t="shared" si="11"/>
        <v>建筑品质</v>
      </c>
      <c r="R35" s="666" t="s">
        <v>18</v>
      </c>
      <c r="S35" s="667">
        <f t="shared" si="12"/>
        <v>100</v>
      </c>
      <c r="T35" s="666" t="s">
        <v>18</v>
      </c>
      <c r="U35" s="667">
        <f t="shared" si="13"/>
        <v>100</v>
      </c>
      <c r="V35" s="666" t="s">
        <v>18</v>
      </c>
      <c r="W35" s="667">
        <f t="shared" si="14"/>
        <v>100</v>
      </c>
      <c r="X35" s="1264"/>
      <c r="Y35" s="3397"/>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95"/>
      <c r="Q36" s="1262" t="str">
        <f t="shared" si="11"/>
        <v>公共部分装修</v>
      </c>
      <c r="R36" s="666" t="s">
        <v>18</v>
      </c>
      <c r="S36" s="667">
        <f t="shared" si="12"/>
        <v>100</v>
      </c>
      <c r="T36" s="666" t="s">
        <v>18</v>
      </c>
      <c r="U36" s="667">
        <f t="shared" si="13"/>
        <v>100</v>
      </c>
      <c r="V36" s="666" t="s">
        <v>18</v>
      </c>
      <c r="W36" s="667">
        <f t="shared" si="14"/>
        <v>100</v>
      </c>
      <c r="X36" s="1264"/>
      <c r="Y36" s="3397"/>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95"/>
      <c r="Q37" s="529" t="str">
        <f t="shared" si="11"/>
        <v>成新度</v>
      </c>
      <c r="R37" s="663" t="s">
        <v>18</v>
      </c>
      <c r="S37" s="664" t="e">
        <f t="shared" si="12"/>
        <v>#N/A</v>
      </c>
      <c r="T37" s="663" t="s">
        <v>18</v>
      </c>
      <c r="U37" s="664" t="e">
        <f t="shared" si="13"/>
        <v>#N/A</v>
      </c>
      <c r="V37" s="663" t="s">
        <v>18</v>
      </c>
      <c r="W37" s="664" t="e">
        <f t="shared" si="14"/>
        <v>#N/A</v>
      </c>
      <c r="X37" s="665"/>
      <c r="Y37" s="3397"/>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95" t="s">
        <v>1696</v>
      </c>
      <c r="Q38" s="1262" t="str">
        <f t="shared" si="11"/>
        <v>物业管理</v>
      </c>
      <c r="R38" s="666" t="s">
        <v>18</v>
      </c>
      <c r="S38" s="667">
        <f t="shared" si="12"/>
        <v>100</v>
      </c>
      <c r="T38" s="666" t="s">
        <v>18</v>
      </c>
      <c r="U38" s="667">
        <f t="shared" si="13"/>
        <v>100</v>
      </c>
      <c r="V38" s="666" t="s">
        <v>18</v>
      </c>
      <c r="W38" s="667">
        <f t="shared" si="14"/>
        <v>100</v>
      </c>
      <c r="X38" s="1264"/>
      <c r="Y38" s="3397"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95"/>
      <c r="Q39" s="1262" t="str">
        <f t="shared" si="11"/>
        <v>市政基础设施</v>
      </c>
      <c r="R39" s="666" t="s">
        <v>18</v>
      </c>
      <c r="S39" s="667">
        <f t="shared" si="12"/>
        <v>100</v>
      </c>
      <c r="T39" s="666" t="s">
        <v>18</v>
      </c>
      <c r="U39" s="667">
        <f t="shared" si="13"/>
        <v>100</v>
      </c>
      <c r="V39" s="666" t="s">
        <v>18</v>
      </c>
      <c r="W39" s="667">
        <f t="shared" si="14"/>
        <v>100</v>
      </c>
      <c r="X39" s="1264"/>
      <c r="Y39" s="3397"/>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95"/>
      <c r="Q40" s="1262" t="str">
        <f t="shared" si="11"/>
        <v>房型</v>
      </c>
      <c r="R40" s="666" t="s">
        <v>18</v>
      </c>
      <c r="S40" s="667">
        <f t="shared" si="12"/>
        <v>100</v>
      </c>
      <c r="T40" s="666" t="s">
        <v>18</v>
      </c>
      <c r="U40" s="667">
        <f t="shared" si="13"/>
        <v>100</v>
      </c>
      <c r="V40" s="666" t="s">
        <v>18</v>
      </c>
      <c r="W40" s="667">
        <f t="shared" si="14"/>
        <v>100</v>
      </c>
      <c r="X40" s="1264"/>
      <c r="Y40" s="3397"/>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95"/>
      <c r="Q41" s="530" t="str">
        <f t="shared" si="11"/>
        <v>单套/主力户型建筑面积</v>
      </c>
      <c r="R41" s="668" t="s">
        <v>18</v>
      </c>
      <c r="S41" s="669">
        <f t="shared" si="12"/>
        <v>100</v>
      </c>
      <c r="T41" s="668" t="s">
        <v>18</v>
      </c>
      <c r="U41" s="669">
        <f t="shared" si="13"/>
        <v>100</v>
      </c>
      <c r="V41" s="668" t="s">
        <v>18</v>
      </c>
      <c r="W41" s="669">
        <f t="shared" si="14"/>
        <v>100</v>
      </c>
      <c r="X41" s="670"/>
      <c r="Y41" s="3397"/>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95"/>
      <c r="Q42" s="1262" t="str">
        <f t="shared" si="11"/>
        <v>内部装修</v>
      </c>
      <c r="R42" s="666" t="s">
        <v>18</v>
      </c>
      <c r="S42" s="667">
        <f t="shared" si="12"/>
        <v>100</v>
      </c>
      <c r="T42" s="666" t="s">
        <v>18</v>
      </c>
      <c r="U42" s="667">
        <f t="shared" si="13"/>
        <v>100</v>
      </c>
      <c r="V42" s="666" t="s">
        <v>18</v>
      </c>
      <c r="W42" s="667">
        <f t="shared" si="14"/>
        <v>100</v>
      </c>
      <c r="X42" s="1264"/>
      <c r="Y42" s="3397"/>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95"/>
      <c r="Q43" s="1262" t="str">
        <f t="shared" si="11"/>
        <v>内部装修维护情况</v>
      </c>
      <c r="R43" s="666" t="s">
        <v>18</v>
      </c>
      <c r="S43" s="667">
        <f t="shared" si="12"/>
        <v>100</v>
      </c>
      <c r="T43" s="666" t="s">
        <v>18</v>
      </c>
      <c r="U43" s="667">
        <f t="shared" si="13"/>
        <v>100</v>
      </c>
      <c r="V43" s="666" t="s">
        <v>18</v>
      </c>
      <c r="W43" s="667">
        <f t="shared" si="14"/>
        <v>100</v>
      </c>
      <c r="X43" s="1264"/>
      <c r="Y43" s="3397"/>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95"/>
      <c r="Q44" s="529">
        <f t="shared" si="11"/>
        <v>111</v>
      </c>
      <c r="R44" s="663" t="s">
        <v>18</v>
      </c>
      <c r="S44" s="664">
        <f t="shared" si="12"/>
        <v>100</v>
      </c>
      <c r="T44" s="663" t="s">
        <v>18</v>
      </c>
      <c r="U44" s="664">
        <f t="shared" si="13"/>
        <v>100</v>
      </c>
      <c r="V44" s="663" t="s">
        <v>18</v>
      </c>
      <c r="W44" s="664">
        <f t="shared" si="14"/>
        <v>100</v>
      </c>
      <c r="X44" s="665"/>
      <c r="Y44" s="339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95"/>
      <c r="Q45" s="1262">
        <f t="shared" si="11"/>
        <v>111</v>
      </c>
      <c r="R45" s="666" t="s">
        <v>18</v>
      </c>
      <c r="S45" s="667">
        <f t="shared" si="12"/>
        <v>100</v>
      </c>
      <c r="T45" s="666" t="s">
        <v>18</v>
      </c>
      <c r="U45" s="667">
        <f t="shared" si="13"/>
        <v>100</v>
      </c>
      <c r="V45" s="666" t="s">
        <v>18</v>
      </c>
      <c r="W45" s="667">
        <f t="shared" si="14"/>
        <v>100</v>
      </c>
      <c r="X45" s="1264"/>
      <c r="Y45" s="3397"/>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96"/>
      <c r="Q46" s="1262">
        <f t="shared" si="11"/>
        <v>111</v>
      </c>
      <c r="R46" s="666" t="s">
        <v>17</v>
      </c>
      <c r="S46" s="667">
        <f t="shared" si="12"/>
        <v>100</v>
      </c>
      <c r="T46" s="666" t="s">
        <v>17</v>
      </c>
      <c r="U46" s="667">
        <f t="shared" si="13"/>
        <v>100</v>
      </c>
      <c r="V46" s="666" t="s">
        <v>17</v>
      </c>
      <c r="W46" s="667">
        <f t="shared" si="14"/>
        <v>100</v>
      </c>
      <c r="X46" s="1264"/>
      <c r="Y46" s="3398"/>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90" t="str">
        <f>A47</f>
        <v>成交单价（元/平方米）</v>
      </c>
      <c r="Q47" s="3390"/>
      <c r="R47" s="3391">
        <f>E47</f>
        <v>0</v>
      </c>
      <c r="S47" s="3391"/>
      <c r="T47" s="3391">
        <f>G47</f>
        <v>0</v>
      </c>
      <c r="U47" s="3391"/>
      <c r="V47" s="3391">
        <f>I47</f>
        <v>0</v>
      </c>
      <c r="W47" s="3391"/>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15950.36</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415" t="s">
        <v>1771</v>
      </c>
      <c r="S4" s="3416"/>
      <c r="T4" s="3415" t="s">
        <v>1772</v>
      </c>
      <c r="U4" s="3416"/>
      <c r="V4" s="3391" t="s">
        <v>1773</v>
      </c>
      <c r="W4" s="3391"/>
      <c r="X4" s="1264"/>
      <c r="Y4" s="3415" t="s">
        <v>1775</v>
      </c>
      <c r="Z4" s="3416"/>
      <c r="AA4" s="3402" t="s">
        <v>1771</v>
      </c>
      <c r="AB4" s="3391" t="s">
        <v>1772</v>
      </c>
      <c r="AC4" s="3402" t="s">
        <v>1773</v>
      </c>
    </row>
    <row r="5" spans="1:29" ht="15">
      <c r="A5" s="347"/>
      <c r="B5" s="348"/>
      <c r="C5" s="3423" t="s">
        <v>1673</v>
      </c>
      <c r="D5" s="3424"/>
      <c r="E5" s="3430" t="s">
        <v>1674</v>
      </c>
      <c r="F5" s="3431"/>
      <c r="G5" s="3423" t="s">
        <v>1675</v>
      </c>
      <c r="H5" s="3424"/>
      <c r="I5" s="3423" t="s">
        <v>1676</v>
      </c>
      <c r="J5" s="3424"/>
      <c r="K5" s="536"/>
      <c r="L5" s="2486"/>
      <c r="M5" s="2487"/>
      <c r="N5" s="2487"/>
      <c r="O5" s="2487"/>
      <c r="P5" s="3411"/>
      <c r="Q5" s="3412"/>
      <c r="R5" s="3417"/>
      <c r="S5" s="3418"/>
      <c r="T5" s="3417"/>
      <c r="U5" s="3418"/>
      <c r="V5" s="3391"/>
      <c r="W5" s="3391"/>
      <c r="X5" s="1264"/>
      <c r="Y5" s="3417"/>
      <c r="Z5" s="3418"/>
      <c r="AA5" s="3403"/>
      <c r="AB5" s="3391"/>
      <c r="AC5" s="3403"/>
    </row>
    <row r="6" spans="1:29" ht="15.75" thickBot="1">
      <c r="A6" s="349"/>
      <c r="B6" s="350"/>
      <c r="C6" s="3421" t="s">
        <v>1677</v>
      </c>
      <c r="D6" s="3422"/>
      <c r="E6" s="3428" t="s">
        <v>1677</v>
      </c>
      <c r="F6" s="3429"/>
      <c r="G6" s="3421" t="s">
        <v>1677</v>
      </c>
      <c r="H6" s="3422"/>
      <c r="I6" s="3421" t="s">
        <v>1677</v>
      </c>
      <c r="J6" s="3422"/>
      <c r="K6" s="536" t="s">
        <v>1678</v>
      </c>
      <c r="L6" s="2486"/>
      <c r="M6" s="2487"/>
      <c r="N6" s="2487"/>
      <c r="O6" s="2487"/>
      <c r="P6" s="3413"/>
      <c r="Q6" s="3414"/>
      <c r="R6" s="3417"/>
      <c r="S6" s="3418"/>
      <c r="T6" s="3419"/>
      <c r="U6" s="3420"/>
      <c r="V6" s="3391"/>
      <c r="W6" s="3391"/>
      <c r="X6" s="1264"/>
      <c r="Y6" s="3419"/>
      <c r="Z6" s="3420"/>
      <c r="AA6" s="3404"/>
      <c r="AB6" s="3391"/>
      <c r="AC6" s="3404"/>
    </row>
    <row r="7" spans="1:29" s="102" customFormat="1" ht="15.75" thickBot="1">
      <c r="A7" s="351" t="s">
        <v>1679</v>
      </c>
      <c r="B7" s="352"/>
      <c r="C7" s="353">
        <f>'数据-取费表'!B2</f>
        <v>45740</v>
      </c>
      <c r="D7" s="354">
        <v>100</v>
      </c>
      <c r="E7" s="355"/>
      <c r="F7" s="356">
        <f>SUMIF(58:58,YEAR(E7)&amp;"-"&amp;MONTH(E7),59:59)</f>
        <v>0</v>
      </c>
      <c r="G7" s="355"/>
      <c r="H7" s="354">
        <f>SUMIF(58:58,YEAR(G7)&amp;"-"&amp;MONTH(G7),59:59)</f>
        <v>0</v>
      </c>
      <c r="I7" s="355"/>
      <c r="J7" s="354">
        <f>SUMIF(58:58,YEAR(I7)&amp;"-"&amp;MONTH(I7),59:59)</f>
        <v>0</v>
      </c>
      <c r="K7" s="38"/>
      <c r="L7" s="2488"/>
      <c r="M7" s="2439"/>
      <c r="N7" s="2439"/>
      <c r="O7" s="2439"/>
      <c r="P7" s="342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425" t="s">
        <v>1683</v>
      </c>
      <c r="Q8" s="3426"/>
      <c r="R8" s="663" t="s">
        <v>14</v>
      </c>
      <c r="S8" s="664">
        <f t="shared" si="0"/>
        <v>100</v>
      </c>
      <c r="T8" s="663" t="s">
        <v>14</v>
      </c>
      <c r="U8" s="664">
        <f t="shared" si="1"/>
        <v>100</v>
      </c>
      <c r="V8" s="663" t="s">
        <v>14</v>
      </c>
      <c r="W8" s="664">
        <f t="shared" si="2"/>
        <v>100</v>
      </c>
      <c r="X8" s="665"/>
      <c r="Y8" s="3425" t="s">
        <v>1683</v>
      </c>
      <c r="Z8" s="3426"/>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401"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401"/>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401"/>
      <c r="Q11" s="529" t="str">
        <f t="shared" si="6"/>
        <v>容积率</v>
      </c>
      <c r="R11" s="663" t="s">
        <v>14</v>
      </c>
      <c r="S11" s="664" t="e">
        <f t="shared" si="0"/>
        <v>#N/A</v>
      </c>
      <c r="T11" s="663" t="s">
        <v>14</v>
      </c>
      <c r="U11" s="664" t="e">
        <f t="shared" si="1"/>
        <v>#N/A</v>
      </c>
      <c r="V11" s="663" t="s">
        <v>14</v>
      </c>
      <c r="W11" s="664" t="e">
        <f t="shared" si="2"/>
        <v>#N/A</v>
      </c>
      <c r="X11" s="665"/>
      <c r="Y11" s="3246"/>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401"/>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401"/>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401"/>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399" t="s">
        <v>1691</v>
      </c>
      <c r="Q15" s="1262" t="str">
        <f t="shared" si="6"/>
        <v>商业繁华度</v>
      </c>
      <c r="R15" s="666" t="s">
        <v>14</v>
      </c>
      <c r="S15" s="667">
        <f t="shared" si="0"/>
        <v>100</v>
      </c>
      <c r="T15" s="666" t="s">
        <v>14</v>
      </c>
      <c r="U15" s="667">
        <f t="shared" si="1"/>
        <v>100</v>
      </c>
      <c r="V15" s="666" t="s">
        <v>14</v>
      </c>
      <c r="W15" s="667">
        <f t="shared" si="2"/>
        <v>100</v>
      </c>
      <c r="X15" s="1264"/>
      <c r="Y15" s="3392"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00"/>
      <c r="Q16" s="1262"/>
      <c r="R16" s="666"/>
      <c r="S16" s="667"/>
      <c r="T16" s="666"/>
      <c r="U16" s="667"/>
      <c r="V16" s="666"/>
      <c r="W16" s="667"/>
      <c r="X16" s="1264"/>
      <c r="Y16" s="3393"/>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00"/>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00"/>
      <c r="Q18" s="1262"/>
      <c r="R18" s="666"/>
      <c r="S18" s="667"/>
      <c r="T18" s="666"/>
      <c r="U18" s="667"/>
      <c r="V18" s="666"/>
      <c r="W18" s="667"/>
      <c r="X18" s="1264"/>
      <c r="Y18" s="3393"/>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00"/>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00"/>
      <c r="Q20" s="1262"/>
      <c r="R20" s="666"/>
      <c r="S20" s="667"/>
      <c r="T20" s="666"/>
      <c r="U20" s="667"/>
      <c r="V20" s="666"/>
      <c r="W20" s="667"/>
      <c r="X20" s="1264"/>
      <c r="Y20" s="3393"/>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00"/>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00"/>
      <c r="Q22" s="1262"/>
      <c r="R22" s="666"/>
      <c r="S22" s="667"/>
      <c r="T22" s="666"/>
      <c r="U22" s="667"/>
      <c r="V22" s="666"/>
      <c r="W22" s="667"/>
      <c r="X22" s="1264"/>
      <c r="Y22" s="3393"/>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00"/>
      <c r="Q23" s="1262" t="str">
        <f>B23</f>
        <v>自然及人文环境</v>
      </c>
      <c r="R23" s="666" t="s">
        <v>14</v>
      </c>
      <c r="S23" s="667">
        <f>F23</f>
        <v>100</v>
      </c>
      <c r="T23" s="666" t="s">
        <v>14</v>
      </c>
      <c r="U23" s="667">
        <f>H23</f>
        <v>100</v>
      </c>
      <c r="V23" s="666" t="s">
        <v>14</v>
      </c>
      <c r="W23" s="667">
        <f>J23</f>
        <v>100</v>
      </c>
      <c r="X23" s="1264"/>
      <c r="Y23" s="339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00"/>
      <c r="Q24" s="1262"/>
      <c r="R24" s="666"/>
      <c r="S24" s="667"/>
      <c r="T24" s="666"/>
      <c r="U24" s="667"/>
      <c r="V24" s="666"/>
      <c r="W24" s="667"/>
      <c r="X24" s="1264"/>
      <c r="Y24" s="3393"/>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00"/>
      <c r="Q25" s="1262" t="str">
        <f t="shared" ref="Q25:Q46" si="11">B25</f>
        <v>临街状况</v>
      </c>
      <c r="R25" s="666" t="s">
        <v>14</v>
      </c>
      <c r="S25" s="667">
        <f>F25</f>
        <v>100</v>
      </c>
      <c r="T25" s="666" t="s">
        <v>14</v>
      </c>
      <c r="U25" s="667">
        <f>H25</f>
        <v>100</v>
      </c>
      <c r="V25" s="666" t="s">
        <v>14</v>
      </c>
      <c r="W25" s="667">
        <f>J25</f>
        <v>100</v>
      </c>
      <c r="X25" s="1264"/>
      <c r="Y25" s="3393"/>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00"/>
      <c r="Q26" s="1262" t="str">
        <f t="shared" si="11"/>
        <v>平面位置/可视性</v>
      </c>
      <c r="R26" s="666" t="s">
        <v>14</v>
      </c>
      <c r="S26" s="667">
        <f>F26</f>
        <v>100</v>
      </c>
      <c r="T26" s="666" t="s">
        <v>14</v>
      </c>
      <c r="U26" s="667">
        <f>H26</f>
        <v>100</v>
      </c>
      <c r="V26" s="666" t="s">
        <v>14</v>
      </c>
      <c r="W26" s="667">
        <f>J26</f>
        <v>100</v>
      </c>
      <c r="X26" s="1264"/>
      <c r="Y26" s="3393"/>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00"/>
      <c r="Q27" s="529" t="str">
        <f t="shared" si="11"/>
        <v>人流量</v>
      </c>
      <c r="R27" s="663" t="s">
        <v>14</v>
      </c>
      <c r="S27" s="664">
        <f>F27</f>
        <v>100</v>
      </c>
      <c r="T27" s="663" t="s">
        <v>14</v>
      </c>
      <c r="U27" s="664">
        <f>H27</f>
        <v>100</v>
      </c>
      <c r="V27" s="663" t="s">
        <v>14</v>
      </c>
      <c r="W27" s="664">
        <f>J27</f>
        <v>100</v>
      </c>
      <c r="X27" s="665"/>
      <c r="Y27" s="3393"/>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0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00"/>
      <c r="Q29" s="1262">
        <f t="shared" si="11"/>
        <v>111</v>
      </c>
      <c r="R29" s="666" t="s">
        <v>14</v>
      </c>
      <c r="S29" s="667">
        <f t="shared" si="12"/>
        <v>100</v>
      </c>
      <c r="T29" s="666" t="s">
        <v>14</v>
      </c>
      <c r="U29" s="667">
        <f t="shared" si="13"/>
        <v>100</v>
      </c>
      <c r="V29" s="666" t="s">
        <v>14</v>
      </c>
      <c r="W29" s="667">
        <f t="shared" si="14"/>
        <v>100</v>
      </c>
      <c r="X29" s="1264"/>
      <c r="Y29" s="339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00"/>
      <c r="Q30" s="1262">
        <f t="shared" si="11"/>
        <v>111</v>
      </c>
      <c r="R30" s="666" t="s">
        <v>14</v>
      </c>
      <c r="S30" s="667">
        <f t="shared" si="12"/>
        <v>100</v>
      </c>
      <c r="T30" s="666" t="s">
        <v>14</v>
      </c>
      <c r="U30" s="667">
        <f t="shared" si="13"/>
        <v>100</v>
      </c>
      <c r="V30" s="666" t="s">
        <v>14</v>
      </c>
      <c r="W30" s="667">
        <f t="shared" si="14"/>
        <v>100</v>
      </c>
      <c r="X30" s="1264"/>
      <c r="Y30" s="3393"/>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00"/>
      <c r="Q31" s="1262">
        <f t="shared" si="11"/>
        <v>111</v>
      </c>
      <c r="R31" s="666" t="s">
        <v>14</v>
      </c>
      <c r="S31" s="667">
        <f t="shared" si="12"/>
        <v>100</v>
      </c>
      <c r="T31" s="666" t="s">
        <v>14</v>
      </c>
      <c r="U31" s="667">
        <f t="shared" si="13"/>
        <v>100</v>
      </c>
      <c r="V31" s="666" t="s">
        <v>14</v>
      </c>
      <c r="W31" s="667">
        <f t="shared" si="14"/>
        <v>100</v>
      </c>
      <c r="X31" s="1264"/>
      <c r="Y31" s="3393"/>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94" t="s">
        <v>1696</v>
      </c>
      <c r="Q32" s="1262" t="str">
        <f t="shared" si="11"/>
        <v>商业类型</v>
      </c>
      <c r="R32" s="666" t="s">
        <v>14</v>
      </c>
      <c r="S32" s="667">
        <f t="shared" si="12"/>
        <v>100</v>
      </c>
      <c r="T32" s="666" t="s">
        <v>14</v>
      </c>
      <c r="U32" s="667">
        <f t="shared" si="13"/>
        <v>100</v>
      </c>
      <c r="V32" s="666" t="s">
        <v>14</v>
      </c>
      <c r="W32" s="667">
        <f t="shared" si="14"/>
        <v>100</v>
      </c>
      <c r="X32" s="1264"/>
      <c r="Y32" s="3397"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395"/>
      <c r="Q33" s="530" t="str">
        <f t="shared" si="11"/>
        <v>项目建筑规模</v>
      </c>
      <c r="R33" s="668" t="s">
        <v>14</v>
      </c>
      <c r="S33" s="669" t="e">
        <f t="shared" si="12"/>
        <v>#N/A</v>
      </c>
      <c r="T33" s="668" t="s">
        <v>14</v>
      </c>
      <c r="U33" s="669" t="e">
        <f t="shared" si="13"/>
        <v>#N/A</v>
      </c>
      <c r="V33" s="668" t="s">
        <v>14</v>
      </c>
      <c r="W33" s="669" t="e">
        <f t="shared" si="14"/>
        <v>#N/A</v>
      </c>
      <c r="X33" s="670"/>
      <c r="Y33" s="3397"/>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95"/>
      <c r="Q34" s="1262" t="str">
        <f t="shared" si="11"/>
        <v>建筑结构</v>
      </c>
      <c r="R34" s="666" t="s">
        <v>14</v>
      </c>
      <c r="S34" s="667">
        <f t="shared" si="12"/>
        <v>100</v>
      </c>
      <c r="T34" s="666" t="s">
        <v>14</v>
      </c>
      <c r="U34" s="667">
        <f t="shared" si="13"/>
        <v>100</v>
      </c>
      <c r="V34" s="666" t="s">
        <v>14</v>
      </c>
      <c r="W34" s="667">
        <f t="shared" si="14"/>
        <v>100</v>
      </c>
      <c r="X34" s="1264"/>
      <c r="Y34" s="3397"/>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95"/>
      <c r="Q35" s="1262" t="str">
        <f t="shared" si="11"/>
        <v>公共部分装修</v>
      </c>
      <c r="R35" s="666" t="s">
        <v>14</v>
      </c>
      <c r="S35" s="667">
        <f t="shared" si="12"/>
        <v>100</v>
      </c>
      <c r="T35" s="666" t="s">
        <v>14</v>
      </c>
      <c r="U35" s="667">
        <f t="shared" si="13"/>
        <v>100</v>
      </c>
      <c r="V35" s="666" t="s">
        <v>14</v>
      </c>
      <c r="W35" s="667">
        <f t="shared" si="14"/>
        <v>100</v>
      </c>
      <c r="X35" s="1264"/>
      <c r="Y35" s="3397"/>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395"/>
      <c r="Q36" s="1262" t="str">
        <f t="shared" si="11"/>
        <v>成新度</v>
      </c>
      <c r="R36" s="666" t="s">
        <v>14</v>
      </c>
      <c r="S36" s="667" t="e">
        <f t="shared" si="12"/>
        <v>#N/A</v>
      </c>
      <c r="T36" s="666" t="s">
        <v>14</v>
      </c>
      <c r="U36" s="667" t="e">
        <f t="shared" si="13"/>
        <v>#N/A</v>
      </c>
      <c r="V36" s="666" t="s">
        <v>14</v>
      </c>
      <c r="W36" s="667" t="e">
        <f t="shared" si="14"/>
        <v>#N/A</v>
      </c>
      <c r="X36" s="1264"/>
      <c r="Y36" s="3397"/>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95"/>
      <c r="Q37" s="529" t="str">
        <f t="shared" si="11"/>
        <v>市政基础设施</v>
      </c>
      <c r="R37" s="663" t="s">
        <v>14</v>
      </c>
      <c r="S37" s="664">
        <f t="shared" si="12"/>
        <v>100</v>
      </c>
      <c r="T37" s="663" t="s">
        <v>14</v>
      </c>
      <c r="U37" s="664">
        <f t="shared" si="13"/>
        <v>100</v>
      </c>
      <c r="V37" s="663" t="s">
        <v>14</v>
      </c>
      <c r="W37" s="664">
        <f t="shared" si="14"/>
        <v>100</v>
      </c>
      <c r="X37" s="665"/>
      <c r="Y37" s="3397"/>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95" t="s">
        <v>1696</v>
      </c>
      <c r="Q38" s="1262" t="str">
        <f t="shared" si="11"/>
        <v>业态</v>
      </c>
      <c r="R38" s="666" t="s">
        <v>14</v>
      </c>
      <c r="S38" s="667">
        <f t="shared" si="12"/>
        <v>100</v>
      </c>
      <c r="T38" s="666" t="s">
        <v>14</v>
      </c>
      <c r="U38" s="667">
        <f t="shared" si="13"/>
        <v>100</v>
      </c>
      <c r="V38" s="666" t="s">
        <v>14</v>
      </c>
      <c r="W38" s="667">
        <f t="shared" si="14"/>
        <v>100</v>
      </c>
      <c r="X38" s="1264"/>
      <c r="Y38" s="3397"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95"/>
      <c r="Q39" s="1262" t="str">
        <f t="shared" si="11"/>
        <v>层高</v>
      </c>
      <c r="R39" s="666" t="s">
        <v>14</v>
      </c>
      <c r="S39" s="667">
        <f t="shared" si="12"/>
        <v>100</v>
      </c>
      <c r="T39" s="666" t="s">
        <v>14</v>
      </c>
      <c r="U39" s="667">
        <f t="shared" si="13"/>
        <v>100</v>
      </c>
      <c r="V39" s="666" t="s">
        <v>14</v>
      </c>
      <c r="W39" s="667">
        <f t="shared" si="14"/>
        <v>100</v>
      </c>
      <c r="X39" s="1264"/>
      <c r="Y39" s="3397"/>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95"/>
      <c r="Q40" s="1262" t="str">
        <f t="shared" si="11"/>
        <v>单套建筑面积</v>
      </c>
      <c r="R40" s="666" t="s">
        <v>14</v>
      </c>
      <c r="S40" s="667">
        <f t="shared" si="12"/>
        <v>100</v>
      </c>
      <c r="T40" s="666" t="s">
        <v>14</v>
      </c>
      <c r="U40" s="667">
        <f t="shared" si="13"/>
        <v>100</v>
      </c>
      <c r="V40" s="666" t="s">
        <v>14</v>
      </c>
      <c r="W40" s="667">
        <f t="shared" si="14"/>
        <v>100</v>
      </c>
      <c r="X40" s="1264"/>
      <c r="Y40" s="3397"/>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95"/>
      <c r="Q41" s="530" t="str">
        <f t="shared" si="11"/>
        <v>进深比</v>
      </c>
      <c r="R41" s="668" t="s">
        <v>14</v>
      </c>
      <c r="S41" s="669">
        <f t="shared" si="12"/>
        <v>100</v>
      </c>
      <c r="T41" s="668" t="s">
        <v>14</v>
      </c>
      <c r="U41" s="669">
        <f t="shared" si="13"/>
        <v>100</v>
      </c>
      <c r="V41" s="668" t="s">
        <v>14</v>
      </c>
      <c r="W41" s="669">
        <f t="shared" si="14"/>
        <v>100</v>
      </c>
      <c r="X41" s="670"/>
      <c r="Y41" s="3397"/>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95"/>
      <c r="Q42" s="1262" t="str">
        <f t="shared" si="11"/>
        <v>内部装修</v>
      </c>
      <c r="R42" s="666" t="s">
        <v>14</v>
      </c>
      <c r="S42" s="667">
        <f t="shared" si="12"/>
        <v>100</v>
      </c>
      <c r="T42" s="666" t="s">
        <v>14</v>
      </c>
      <c r="U42" s="667">
        <f t="shared" si="13"/>
        <v>100</v>
      </c>
      <c r="V42" s="666" t="s">
        <v>14</v>
      </c>
      <c r="W42" s="667">
        <f t="shared" si="14"/>
        <v>100</v>
      </c>
      <c r="X42" s="1264"/>
      <c r="Y42" s="3397"/>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95"/>
      <c r="Q43" s="1262" t="str">
        <f t="shared" si="11"/>
        <v>内部装修维护情况</v>
      </c>
      <c r="R43" s="666" t="s">
        <v>14</v>
      </c>
      <c r="S43" s="667">
        <f t="shared" si="12"/>
        <v>100</v>
      </c>
      <c r="T43" s="666" t="s">
        <v>14</v>
      </c>
      <c r="U43" s="667">
        <f t="shared" si="13"/>
        <v>100</v>
      </c>
      <c r="V43" s="666" t="s">
        <v>14</v>
      </c>
      <c r="W43" s="667">
        <f t="shared" si="14"/>
        <v>100</v>
      </c>
      <c r="X43" s="1264"/>
      <c r="Y43" s="3397"/>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95"/>
      <c r="Q44" s="529">
        <f t="shared" si="11"/>
        <v>111</v>
      </c>
      <c r="R44" s="663" t="s">
        <v>14</v>
      </c>
      <c r="S44" s="664">
        <f t="shared" si="12"/>
        <v>100</v>
      </c>
      <c r="T44" s="663" t="s">
        <v>14</v>
      </c>
      <c r="U44" s="664">
        <f t="shared" si="13"/>
        <v>100</v>
      </c>
      <c r="V44" s="663" t="s">
        <v>14</v>
      </c>
      <c r="W44" s="664">
        <f t="shared" si="14"/>
        <v>100</v>
      </c>
      <c r="X44" s="665"/>
      <c r="Y44" s="339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95"/>
      <c r="Q45" s="1262">
        <f t="shared" si="11"/>
        <v>111</v>
      </c>
      <c r="R45" s="666" t="s">
        <v>14</v>
      </c>
      <c r="S45" s="667">
        <f t="shared" si="12"/>
        <v>100</v>
      </c>
      <c r="T45" s="666" t="s">
        <v>14</v>
      </c>
      <c r="U45" s="667">
        <f t="shared" si="13"/>
        <v>100</v>
      </c>
      <c r="V45" s="666" t="s">
        <v>14</v>
      </c>
      <c r="W45" s="667">
        <f t="shared" si="14"/>
        <v>100</v>
      </c>
      <c r="X45" s="1264"/>
      <c r="Y45" s="3397"/>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96"/>
      <c r="Q46" s="1262">
        <f t="shared" si="11"/>
        <v>111</v>
      </c>
      <c r="R46" s="666" t="s">
        <v>14</v>
      </c>
      <c r="S46" s="667">
        <f t="shared" si="12"/>
        <v>100</v>
      </c>
      <c r="T46" s="666" t="s">
        <v>14</v>
      </c>
      <c r="U46" s="667">
        <f t="shared" si="13"/>
        <v>100</v>
      </c>
      <c r="V46" s="666" t="s">
        <v>14</v>
      </c>
      <c r="W46" s="667">
        <f t="shared" si="14"/>
        <v>100</v>
      </c>
      <c r="X46" s="1264"/>
      <c r="Y46" s="3398"/>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4"/>
      <c r="M47" s="2487"/>
      <c r="N47" s="2487"/>
      <c r="O47" s="2487"/>
      <c r="P47" s="3390" t="str">
        <f>A47</f>
        <v>成交单价（元/平方米）</v>
      </c>
      <c r="Q47" s="3390"/>
      <c r="R47" s="3391">
        <f>E47</f>
        <v>0</v>
      </c>
      <c r="S47" s="3391"/>
      <c r="T47" s="3391">
        <f>G47</f>
        <v>0</v>
      </c>
      <c r="U47" s="3391"/>
      <c r="V47" s="3391">
        <f>I47</f>
        <v>0</v>
      </c>
      <c r="W47" s="3391"/>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4"/>
      <c r="M49" s="2487"/>
      <c r="N49" s="2487"/>
      <c r="O49" s="2487"/>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1681</v>
      </c>
      <c r="B61" s="443"/>
      <c r="C61" s="455" t="s">
        <v>1776</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15950.36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38" t="s">
        <v>1775</v>
      </c>
      <c r="Q4" s="3439"/>
      <c r="R4" s="3442" t="s">
        <v>1771</v>
      </c>
      <c r="S4" s="3443"/>
      <c r="T4" s="3442" t="s">
        <v>1772</v>
      </c>
      <c r="U4" s="3443"/>
      <c r="V4" s="3444" t="s">
        <v>1773</v>
      </c>
      <c r="W4" s="3444"/>
      <c r="X4" s="1808"/>
      <c r="Y4" s="3442" t="s">
        <v>1775</v>
      </c>
      <c r="Z4" s="3443"/>
      <c r="AA4" s="3446" t="s">
        <v>1771</v>
      </c>
      <c r="AB4" s="3446" t="s">
        <v>1772</v>
      </c>
      <c r="AC4" s="3435" t="s">
        <v>1773</v>
      </c>
    </row>
    <row r="5" spans="1:29" ht="15">
      <c r="A5" s="347"/>
      <c r="B5" s="348"/>
      <c r="C5" s="3423" t="s">
        <v>1673</v>
      </c>
      <c r="D5" s="3424"/>
      <c r="E5" s="3430" t="s">
        <v>1674</v>
      </c>
      <c r="F5" s="3431"/>
      <c r="G5" s="3423" t="s">
        <v>1675</v>
      </c>
      <c r="H5" s="3424"/>
      <c r="I5" s="3423" t="s">
        <v>1676</v>
      </c>
      <c r="J5" s="3424"/>
      <c r="K5" s="536"/>
      <c r="L5" s="2486"/>
      <c r="M5" s="2487"/>
      <c r="N5" s="2487"/>
      <c r="O5" s="2487"/>
      <c r="P5" s="3440"/>
      <c r="Q5" s="3412"/>
      <c r="R5" s="3417"/>
      <c r="S5" s="3418"/>
      <c r="T5" s="3417"/>
      <c r="U5" s="3418"/>
      <c r="V5" s="3391"/>
      <c r="W5" s="3391"/>
      <c r="X5" s="1264"/>
      <c r="Y5" s="3417"/>
      <c r="Z5" s="3418"/>
      <c r="AA5" s="3403"/>
      <c r="AB5" s="3403"/>
      <c r="AC5" s="3436"/>
    </row>
    <row r="6" spans="1:29" ht="15.75" thickBot="1">
      <c r="A6" s="349"/>
      <c r="B6" s="350"/>
      <c r="C6" s="3421" t="s">
        <v>1677</v>
      </c>
      <c r="D6" s="3422"/>
      <c r="E6" s="3428" t="s">
        <v>1677</v>
      </c>
      <c r="F6" s="3429"/>
      <c r="G6" s="3421" t="s">
        <v>1677</v>
      </c>
      <c r="H6" s="3422"/>
      <c r="I6" s="3421" t="s">
        <v>1677</v>
      </c>
      <c r="J6" s="3422"/>
      <c r="K6" s="536" t="s">
        <v>1678</v>
      </c>
      <c r="L6" s="2486"/>
      <c r="M6" s="2487"/>
      <c r="N6" s="2487"/>
      <c r="O6" s="2487"/>
      <c r="P6" s="3441"/>
      <c r="Q6" s="3414"/>
      <c r="R6" s="3417"/>
      <c r="S6" s="3418"/>
      <c r="T6" s="3419"/>
      <c r="U6" s="3420"/>
      <c r="V6" s="3391"/>
      <c r="W6" s="3391"/>
      <c r="X6" s="1264"/>
      <c r="Y6" s="3419"/>
      <c r="Z6" s="3420"/>
      <c r="AA6" s="3404"/>
      <c r="AB6" s="3404"/>
      <c r="AC6" s="3437"/>
    </row>
    <row r="7" spans="1:29" s="102" customFormat="1" ht="15.75" thickBot="1">
      <c r="A7" s="351" t="s">
        <v>1679</v>
      </c>
      <c r="B7" s="352"/>
      <c r="C7" s="353">
        <f>'数据-取费表'!B2</f>
        <v>45740</v>
      </c>
      <c r="D7" s="354">
        <v>100</v>
      </c>
      <c r="E7" s="355"/>
      <c r="F7" s="356">
        <f>SUMIF(59:59,YEAR(E7)&amp;"-"&amp;MONTH(E7),60:60)</f>
        <v>0</v>
      </c>
      <c r="G7" s="355"/>
      <c r="H7" s="354">
        <f>SUMIF(59:59,YEAR(G7)&amp;"-"&amp;MONTH(G7),60:60)</f>
        <v>0</v>
      </c>
      <c r="I7" s="355"/>
      <c r="J7" s="354">
        <f>SUMIF(59:59,YEAR(I7)&amp;"-"&amp;MONTH(I7),60:60)</f>
        <v>0</v>
      </c>
      <c r="K7" s="38"/>
      <c r="L7" s="2488"/>
      <c r="M7" s="2439"/>
      <c r="N7" s="2439"/>
      <c r="O7" s="2439"/>
      <c r="P7" s="344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45" t="s">
        <v>1683</v>
      </c>
      <c r="Q8" s="3426"/>
      <c r="R8" s="663" t="s">
        <v>14</v>
      </c>
      <c r="S8" s="664">
        <f t="shared" si="0"/>
        <v>100</v>
      </c>
      <c r="T8" s="663" t="s">
        <v>14</v>
      </c>
      <c r="U8" s="664">
        <f t="shared" si="1"/>
        <v>100</v>
      </c>
      <c r="V8" s="663" t="s">
        <v>14</v>
      </c>
      <c r="W8" s="664">
        <f t="shared" si="2"/>
        <v>100</v>
      </c>
      <c r="X8" s="665"/>
      <c r="Y8" s="3425" t="s">
        <v>1683</v>
      </c>
      <c r="Z8" s="3426"/>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401"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401"/>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401"/>
      <c r="Q11" s="529" t="str">
        <f t="shared" si="6"/>
        <v>容积率</v>
      </c>
      <c r="R11" s="663" t="s">
        <v>14</v>
      </c>
      <c r="S11" s="664">
        <f t="shared" si="0"/>
        <v>100</v>
      </c>
      <c r="T11" s="663" t="s">
        <v>14</v>
      </c>
      <c r="U11" s="664">
        <f t="shared" si="1"/>
        <v>100</v>
      </c>
      <c r="V11" s="663" t="s">
        <v>14</v>
      </c>
      <c r="W11" s="664">
        <f t="shared" si="2"/>
        <v>100</v>
      </c>
      <c r="X11" s="665"/>
      <c r="Y11" s="3246"/>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401"/>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401"/>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401"/>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399" t="s">
        <v>1691</v>
      </c>
      <c r="Q15" s="1262" t="str">
        <f t="shared" si="6"/>
        <v>办公集聚程度</v>
      </c>
      <c r="R15" s="666" t="s">
        <v>14</v>
      </c>
      <c r="S15" s="667">
        <f t="shared" si="0"/>
        <v>100</v>
      </c>
      <c r="T15" s="666" t="s">
        <v>14</v>
      </c>
      <c r="U15" s="667">
        <f t="shared" si="1"/>
        <v>100</v>
      </c>
      <c r="V15" s="666" t="s">
        <v>14</v>
      </c>
      <c r="W15" s="667">
        <f t="shared" si="2"/>
        <v>100</v>
      </c>
      <c r="X15" s="1264"/>
      <c r="Y15" s="3392"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00"/>
      <c r="Q16" s="1262"/>
      <c r="R16" s="666"/>
      <c r="S16" s="667"/>
      <c r="T16" s="666"/>
      <c r="U16" s="667"/>
      <c r="V16" s="666"/>
      <c r="W16" s="667"/>
      <c r="X16" s="1264"/>
      <c r="Y16" s="3393"/>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00"/>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00"/>
      <c r="Q18" s="1262"/>
      <c r="R18" s="666"/>
      <c r="S18" s="667"/>
      <c r="T18" s="666"/>
      <c r="U18" s="667"/>
      <c r="V18" s="666"/>
      <c r="W18" s="667"/>
      <c r="X18" s="1264"/>
      <c r="Y18" s="3393"/>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00"/>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00"/>
      <c r="Q20" s="1262"/>
      <c r="R20" s="666"/>
      <c r="S20" s="667"/>
      <c r="T20" s="666"/>
      <c r="U20" s="667"/>
      <c r="V20" s="666"/>
      <c r="W20" s="667"/>
      <c r="X20" s="1264"/>
      <c r="Y20" s="3393"/>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00"/>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00"/>
      <c r="Q22" s="1262"/>
      <c r="R22" s="666"/>
      <c r="S22" s="667"/>
      <c r="T22" s="666"/>
      <c r="U22" s="667"/>
      <c r="V22" s="666"/>
      <c r="W22" s="667"/>
      <c r="X22" s="1264"/>
      <c r="Y22" s="3393"/>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00"/>
      <c r="Q23" s="1262" t="str">
        <f>B23</f>
        <v>环境质量</v>
      </c>
      <c r="R23" s="666" t="s">
        <v>14</v>
      </c>
      <c r="S23" s="667">
        <f>F23</f>
        <v>100</v>
      </c>
      <c r="T23" s="666" t="s">
        <v>14</v>
      </c>
      <c r="U23" s="667">
        <f>H23</f>
        <v>100</v>
      </c>
      <c r="V23" s="666" t="s">
        <v>14</v>
      </c>
      <c r="W23" s="667">
        <f>J23</f>
        <v>100</v>
      </c>
      <c r="X23" s="1264"/>
      <c r="Y23" s="3393"/>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00"/>
      <c r="Q24" s="1262"/>
      <c r="R24" s="666"/>
      <c r="S24" s="667"/>
      <c r="T24" s="666"/>
      <c r="U24" s="667"/>
      <c r="V24" s="666"/>
      <c r="W24" s="667"/>
      <c r="X24" s="1264"/>
      <c r="Y24" s="3393"/>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00"/>
      <c r="Q25" s="1262" t="str">
        <f>B25</f>
        <v>毗邻道路的类型与等级</v>
      </c>
      <c r="R25" s="666" t="s">
        <v>14</v>
      </c>
      <c r="S25" s="667">
        <f>F25</f>
        <v>100</v>
      </c>
      <c r="T25" s="666" t="s">
        <v>14</v>
      </c>
      <c r="U25" s="667">
        <f>H25</f>
        <v>100</v>
      </c>
      <c r="V25" s="666" t="s">
        <v>14</v>
      </c>
      <c r="W25" s="667">
        <f>J25</f>
        <v>100</v>
      </c>
      <c r="X25" s="1264"/>
      <c r="Y25" s="3393"/>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00"/>
      <c r="Q26" s="1262"/>
      <c r="R26" s="666"/>
      <c r="S26" s="667"/>
      <c r="T26" s="666"/>
      <c r="U26" s="667"/>
      <c r="V26" s="666"/>
      <c r="W26" s="667"/>
      <c r="X26" s="1264"/>
      <c r="Y26" s="3393"/>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00"/>
      <c r="Q27" s="1262" t="str">
        <f t="shared" ref="Q27:Q47" si="11">B27</f>
        <v>楼层</v>
      </c>
      <c r="R27" s="666" t="s">
        <v>14</v>
      </c>
      <c r="S27" s="667">
        <f>F27</f>
        <v>100</v>
      </c>
      <c r="T27" s="666" t="s">
        <v>14</v>
      </c>
      <c r="U27" s="667">
        <f>H27</f>
        <v>100</v>
      </c>
      <c r="V27" s="666" t="s">
        <v>14</v>
      </c>
      <c r="W27" s="667">
        <f>J27</f>
        <v>100</v>
      </c>
      <c r="X27" s="1264"/>
      <c r="Y27" s="3393"/>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00"/>
      <c r="Q28" s="529" t="str">
        <f t="shared" si="11"/>
        <v>朝向</v>
      </c>
      <c r="R28" s="663" t="s">
        <v>14</v>
      </c>
      <c r="S28" s="664">
        <f>F28</f>
        <v>100</v>
      </c>
      <c r="T28" s="663" t="s">
        <v>14</v>
      </c>
      <c r="U28" s="664">
        <f>H28</f>
        <v>100</v>
      </c>
      <c r="V28" s="663" t="s">
        <v>14</v>
      </c>
      <c r="W28" s="664">
        <f>J28</f>
        <v>100</v>
      </c>
      <c r="X28" s="665"/>
      <c r="Y28" s="3393"/>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00"/>
      <c r="Q29" s="1262">
        <f t="shared" si="11"/>
        <v>111</v>
      </c>
      <c r="R29" s="666" t="s">
        <v>14</v>
      </c>
      <c r="S29" s="667">
        <f t="shared" ref="S29:S47" si="12">F29</f>
        <v>100</v>
      </c>
      <c r="T29" s="666" t="s">
        <v>14</v>
      </c>
      <c r="U29" s="667">
        <f t="shared" ref="U29:U47" si="13">H29</f>
        <v>100</v>
      </c>
      <c r="V29" s="666" t="s">
        <v>14</v>
      </c>
      <c r="W29" s="667">
        <f t="shared" ref="W29:W47" si="14">J29</f>
        <v>100</v>
      </c>
      <c r="X29" s="1264"/>
      <c r="Y29" s="3393"/>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00"/>
      <c r="Q30" s="1262">
        <f t="shared" si="11"/>
        <v>111</v>
      </c>
      <c r="R30" s="666" t="s">
        <v>14</v>
      </c>
      <c r="S30" s="667">
        <f t="shared" si="12"/>
        <v>100</v>
      </c>
      <c r="T30" s="666" t="s">
        <v>14</v>
      </c>
      <c r="U30" s="667">
        <f t="shared" si="13"/>
        <v>100</v>
      </c>
      <c r="V30" s="666" t="s">
        <v>14</v>
      </c>
      <c r="W30" s="667">
        <f t="shared" si="14"/>
        <v>100</v>
      </c>
      <c r="X30" s="1264"/>
      <c r="Y30" s="3393"/>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00"/>
      <c r="Q31" s="1262">
        <f t="shared" si="11"/>
        <v>111</v>
      </c>
      <c r="R31" s="666" t="s">
        <v>14</v>
      </c>
      <c r="S31" s="667">
        <f t="shared" si="12"/>
        <v>100</v>
      </c>
      <c r="T31" s="666" t="s">
        <v>14</v>
      </c>
      <c r="U31" s="667">
        <f t="shared" si="13"/>
        <v>100</v>
      </c>
      <c r="V31" s="666" t="s">
        <v>14</v>
      </c>
      <c r="W31" s="667">
        <f t="shared" si="14"/>
        <v>100</v>
      </c>
      <c r="X31" s="1264"/>
      <c r="Y31" s="3393"/>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00"/>
      <c r="Q32" s="1262">
        <f t="shared" si="11"/>
        <v>111</v>
      </c>
      <c r="R32" s="666" t="s">
        <v>14</v>
      </c>
      <c r="S32" s="667">
        <f t="shared" si="12"/>
        <v>100</v>
      </c>
      <c r="T32" s="666" t="s">
        <v>14</v>
      </c>
      <c r="U32" s="667">
        <f t="shared" si="13"/>
        <v>100</v>
      </c>
      <c r="V32" s="666" t="s">
        <v>14</v>
      </c>
      <c r="W32" s="667">
        <f t="shared" si="14"/>
        <v>100</v>
      </c>
      <c r="X32" s="1264"/>
      <c r="Y32" s="3393"/>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394" t="s">
        <v>1696</v>
      </c>
      <c r="Q33" s="1262" t="str">
        <f t="shared" si="11"/>
        <v>建筑类型</v>
      </c>
      <c r="R33" s="666" t="s">
        <v>14</v>
      </c>
      <c r="S33" s="667">
        <f t="shared" si="12"/>
        <v>100</v>
      </c>
      <c r="T33" s="666" t="s">
        <v>14</v>
      </c>
      <c r="U33" s="667">
        <f t="shared" si="13"/>
        <v>100</v>
      </c>
      <c r="V33" s="666" t="s">
        <v>14</v>
      </c>
      <c r="W33" s="667">
        <f t="shared" si="14"/>
        <v>100</v>
      </c>
      <c r="X33" s="1264"/>
      <c r="Y33" s="3397"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395"/>
      <c r="Q34" s="530" t="str">
        <f t="shared" si="11"/>
        <v>项目建筑规模</v>
      </c>
      <c r="R34" s="668" t="s">
        <v>14</v>
      </c>
      <c r="S34" s="669" t="e">
        <f t="shared" si="12"/>
        <v>#N/A</v>
      </c>
      <c r="T34" s="668" t="s">
        <v>14</v>
      </c>
      <c r="U34" s="669" t="e">
        <f t="shared" si="13"/>
        <v>#N/A</v>
      </c>
      <c r="V34" s="668" t="s">
        <v>14</v>
      </c>
      <c r="W34" s="669" t="e">
        <f t="shared" si="14"/>
        <v>#N/A</v>
      </c>
      <c r="X34" s="670"/>
      <c r="Y34" s="3397"/>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395"/>
      <c r="Q35" s="1262" t="str">
        <f t="shared" si="11"/>
        <v>建筑结构</v>
      </c>
      <c r="R35" s="666" t="s">
        <v>14</v>
      </c>
      <c r="S35" s="667">
        <f t="shared" si="12"/>
        <v>100</v>
      </c>
      <c r="T35" s="666" t="s">
        <v>14</v>
      </c>
      <c r="U35" s="667">
        <f t="shared" si="13"/>
        <v>100</v>
      </c>
      <c r="V35" s="666" t="s">
        <v>14</v>
      </c>
      <c r="W35" s="667">
        <f t="shared" si="14"/>
        <v>100</v>
      </c>
      <c r="X35" s="1264"/>
      <c r="Y35" s="3397"/>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395"/>
      <c r="Q36" s="1262" t="str">
        <f t="shared" si="11"/>
        <v>公共部分装修</v>
      </c>
      <c r="R36" s="666" t="s">
        <v>14</v>
      </c>
      <c r="S36" s="667">
        <f t="shared" si="12"/>
        <v>100</v>
      </c>
      <c r="T36" s="666" t="s">
        <v>14</v>
      </c>
      <c r="U36" s="667">
        <f t="shared" si="13"/>
        <v>100</v>
      </c>
      <c r="V36" s="666" t="s">
        <v>14</v>
      </c>
      <c r="W36" s="667">
        <f t="shared" si="14"/>
        <v>100</v>
      </c>
      <c r="X36" s="1264"/>
      <c r="Y36" s="3397"/>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395"/>
      <c r="Q37" s="1262" t="str">
        <f t="shared" si="11"/>
        <v>成新度</v>
      </c>
      <c r="R37" s="666" t="s">
        <v>14</v>
      </c>
      <c r="S37" s="667" t="e">
        <f t="shared" si="12"/>
        <v>#N/A</v>
      </c>
      <c r="T37" s="666" t="s">
        <v>14</v>
      </c>
      <c r="U37" s="667" t="e">
        <f t="shared" si="13"/>
        <v>#N/A</v>
      </c>
      <c r="V37" s="666" t="s">
        <v>14</v>
      </c>
      <c r="W37" s="667" t="e">
        <f t="shared" si="14"/>
        <v>#N/A</v>
      </c>
      <c r="X37" s="1264"/>
      <c r="Y37" s="3397"/>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95"/>
      <c r="Q38" s="529" t="str">
        <f t="shared" si="11"/>
        <v>写字楼等级</v>
      </c>
      <c r="R38" s="663" t="s">
        <v>14</v>
      </c>
      <c r="S38" s="664">
        <f t="shared" si="12"/>
        <v>100</v>
      </c>
      <c r="T38" s="663" t="s">
        <v>14</v>
      </c>
      <c r="U38" s="664">
        <f t="shared" si="13"/>
        <v>100</v>
      </c>
      <c r="V38" s="663" t="s">
        <v>14</v>
      </c>
      <c r="W38" s="664">
        <f t="shared" si="14"/>
        <v>100</v>
      </c>
      <c r="X38" s="665"/>
      <c r="Y38" s="3397"/>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395" t="s">
        <v>1696</v>
      </c>
      <c r="Q39" s="1262" t="str">
        <f t="shared" si="11"/>
        <v>物业管理</v>
      </c>
      <c r="R39" s="666" t="s">
        <v>14</v>
      </c>
      <c r="S39" s="667">
        <f t="shared" si="12"/>
        <v>100</v>
      </c>
      <c r="T39" s="666" t="s">
        <v>14</v>
      </c>
      <c r="U39" s="667">
        <f t="shared" si="13"/>
        <v>100</v>
      </c>
      <c r="V39" s="666" t="s">
        <v>14</v>
      </c>
      <c r="W39" s="667">
        <f t="shared" si="14"/>
        <v>100</v>
      </c>
      <c r="X39" s="1264"/>
      <c r="Y39" s="3397"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95"/>
      <c r="Q40" s="1262" t="str">
        <f t="shared" si="11"/>
        <v>市政基础设施</v>
      </c>
      <c r="R40" s="666" t="s">
        <v>14</v>
      </c>
      <c r="S40" s="667">
        <f t="shared" si="12"/>
        <v>100</v>
      </c>
      <c r="T40" s="666" t="s">
        <v>14</v>
      </c>
      <c r="U40" s="667">
        <f t="shared" si="13"/>
        <v>100</v>
      </c>
      <c r="V40" s="666" t="s">
        <v>14</v>
      </c>
      <c r="W40" s="667">
        <f t="shared" si="14"/>
        <v>100</v>
      </c>
      <c r="X40" s="1264"/>
      <c r="Y40" s="3397"/>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395"/>
      <c r="Q41" s="1262" t="str">
        <f t="shared" si="11"/>
        <v>层高</v>
      </c>
      <c r="R41" s="666" t="s">
        <v>14</v>
      </c>
      <c r="S41" s="667">
        <f t="shared" si="12"/>
        <v>100</v>
      </c>
      <c r="T41" s="666" t="s">
        <v>14</v>
      </c>
      <c r="U41" s="667">
        <f t="shared" si="13"/>
        <v>100</v>
      </c>
      <c r="V41" s="666" t="s">
        <v>14</v>
      </c>
      <c r="W41" s="667">
        <f t="shared" si="14"/>
        <v>100</v>
      </c>
      <c r="X41" s="1264"/>
      <c r="Y41" s="3397"/>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95"/>
      <c r="Q42" s="530" t="str">
        <f t="shared" si="11"/>
        <v>单套建筑面积</v>
      </c>
      <c r="R42" s="668" t="s">
        <v>14</v>
      </c>
      <c r="S42" s="669">
        <f t="shared" si="12"/>
        <v>100</v>
      </c>
      <c r="T42" s="668" t="s">
        <v>14</v>
      </c>
      <c r="U42" s="669">
        <f t="shared" si="13"/>
        <v>100</v>
      </c>
      <c r="V42" s="668" t="s">
        <v>14</v>
      </c>
      <c r="W42" s="669">
        <f t="shared" si="14"/>
        <v>100</v>
      </c>
      <c r="X42" s="670"/>
      <c r="Y42" s="3397"/>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395"/>
      <c r="Q43" s="1262" t="str">
        <f t="shared" si="11"/>
        <v>内部装修</v>
      </c>
      <c r="R43" s="666" t="s">
        <v>14</v>
      </c>
      <c r="S43" s="667">
        <f t="shared" si="12"/>
        <v>100</v>
      </c>
      <c r="T43" s="666" t="s">
        <v>14</v>
      </c>
      <c r="U43" s="667">
        <f t="shared" si="13"/>
        <v>100</v>
      </c>
      <c r="V43" s="666" t="s">
        <v>14</v>
      </c>
      <c r="W43" s="667">
        <f t="shared" si="14"/>
        <v>100</v>
      </c>
      <c r="X43" s="1264"/>
      <c r="Y43" s="3397"/>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395"/>
      <c r="Q44" s="1262" t="str">
        <f t="shared" si="11"/>
        <v>内部装修维护情况</v>
      </c>
      <c r="R44" s="666" t="s">
        <v>14</v>
      </c>
      <c r="S44" s="667">
        <f t="shared" si="12"/>
        <v>100</v>
      </c>
      <c r="T44" s="666" t="s">
        <v>14</v>
      </c>
      <c r="U44" s="667">
        <f t="shared" si="13"/>
        <v>100</v>
      </c>
      <c r="V44" s="666" t="s">
        <v>14</v>
      </c>
      <c r="W44" s="667">
        <f t="shared" si="14"/>
        <v>100</v>
      </c>
      <c r="X44" s="1264"/>
      <c r="Y44" s="3397"/>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95"/>
      <c r="Q45" s="529">
        <f t="shared" si="11"/>
        <v>111</v>
      </c>
      <c r="R45" s="663" t="s">
        <v>14</v>
      </c>
      <c r="S45" s="664">
        <f t="shared" si="12"/>
        <v>100</v>
      </c>
      <c r="T45" s="663" t="s">
        <v>14</v>
      </c>
      <c r="U45" s="664">
        <f t="shared" si="13"/>
        <v>100</v>
      </c>
      <c r="V45" s="663" t="s">
        <v>14</v>
      </c>
      <c r="W45" s="664">
        <f t="shared" si="14"/>
        <v>100</v>
      </c>
      <c r="X45" s="665"/>
      <c r="Y45" s="339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95"/>
      <c r="Q46" s="1262">
        <f t="shared" si="11"/>
        <v>111</v>
      </c>
      <c r="R46" s="666" t="s">
        <v>14</v>
      </c>
      <c r="S46" s="667">
        <f t="shared" si="12"/>
        <v>100</v>
      </c>
      <c r="T46" s="666" t="s">
        <v>14</v>
      </c>
      <c r="U46" s="667">
        <f t="shared" si="13"/>
        <v>100</v>
      </c>
      <c r="V46" s="666" t="s">
        <v>14</v>
      </c>
      <c r="W46" s="667">
        <f t="shared" si="14"/>
        <v>100</v>
      </c>
      <c r="X46" s="1264"/>
      <c r="Y46" s="3397"/>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96"/>
      <c r="Q47" s="1262">
        <f t="shared" si="11"/>
        <v>111</v>
      </c>
      <c r="R47" s="666" t="s">
        <v>14</v>
      </c>
      <c r="S47" s="667">
        <f t="shared" si="12"/>
        <v>100</v>
      </c>
      <c r="T47" s="666" t="s">
        <v>14</v>
      </c>
      <c r="U47" s="667">
        <f t="shared" si="13"/>
        <v>100</v>
      </c>
      <c r="V47" s="666" t="s">
        <v>14</v>
      </c>
      <c r="W47" s="667">
        <f t="shared" si="14"/>
        <v>100</v>
      </c>
      <c r="X47" s="1264"/>
      <c r="Y47" s="3398"/>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401" t="str">
        <f>A48</f>
        <v>成交单价（元/平方米）</v>
      </c>
      <c r="Q48" s="3390"/>
      <c r="R48" s="3391">
        <f>E48</f>
        <v>0</v>
      </c>
      <c r="S48" s="3391"/>
      <c r="T48" s="3391">
        <f>G48</f>
        <v>0</v>
      </c>
      <c r="U48" s="3391"/>
      <c r="V48" s="3391">
        <f>I48</f>
        <v>0</v>
      </c>
      <c r="W48" s="3391"/>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01"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15950.36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859"/>
      <c r="M4" s="860"/>
      <c r="N4" s="860"/>
      <c r="O4" s="860"/>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ht="15">
      <c r="A5" s="347"/>
      <c r="B5" s="348"/>
      <c r="C5" s="3423" t="s">
        <v>1673</v>
      </c>
      <c r="D5" s="3424"/>
      <c r="E5" s="3430" t="s">
        <v>1674</v>
      </c>
      <c r="F5" s="3431"/>
      <c r="G5" s="3423" t="s">
        <v>1675</v>
      </c>
      <c r="H5" s="3424"/>
      <c r="I5" s="3423" t="s">
        <v>1676</v>
      </c>
      <c r="J5" s="3424"/>
      <c r="K5" s="536"/>
      <c r="L5" s="859"/>
      <c r="M5" s="860"/>
      <c r="N5" s="860"/>
      <c r="O5" s="860"/>
      <c r="P5" s="3411"/>
      <c r="Q5" s="3412"/>
      <c r="R5" s="3417"/>
      <c r="S5" s="3418"/>
      <c r="T5" s="3417"/>
      <c r="U5" s="3418"/>
      <c r="V5" s="3391"/>
      <c r="W5" s="3391"/>
      <c r="X5" s="1264"/>
      <c r="Y5" s="3417"/>
      <c r="Z5" s="3418"/>
      <c r="AA5" s="3403"/>
      <c r="AB5" s="3403"/>
      <c r="AC5" s="3403"/>
    </row>
    <row r="6" spans="1:29" ht="15.75" thickBot="1">
      <c r="A6" s="349"/>
      <c r="B6" s="350"/>
      <c r="C6" s="3421" t="s">
        <v>1677</v>
      </c>
      <c r="D6" s="3422"/>
      <c r="E6" s="3428" t="s">
        <v>1677</v>
      </c>
      <c r="F6" s="3429"/>
      <c r="G6" s="3421" t="s">
        <v>1677</v>
      </c>
      <c r="H6" s="3422"/>
      <c r="I6" s="3421" t="s">
        <v>1677</v>
      </c>
      <c r="J6" s="3422"/>
      <c r="K6" s="536" t="s">
        <v>1678</v>
      </c>
      <c r="L6" s="859"/>
      <c r="M6" s="860"/>
      <c r="N6" s="860"/>
      <c r="O6" s="860"/>
      <c r="P6" s="3413"/>
      <c r="Q6" s="3414"/>
      <c r="R6" s="3417"/>
      <c r="S6" s="3418"/>
      <c r="T6" s="3419"/>
      <c r="U6" s="3420"/>
      <c r="V6" s="3391"/>
      <c r="W6" s="3391"/>
      <c r="X6" s="1264"/>
      <c r="Y6" s="3419"/>
      <c r="Z6" s="3420"/>
      <c r="AA6" s="3404"/>
      <c r="AB6" s="3404"/>
      <c r="AC6" s="3404"/>
    </row>
    <row r="7" spans="1:29" s="102" customFormat="1" ht="15.75" thickBot="1">
      <c r="A7" s="351" t="s">
        <v>1679</v>
      </c>
      <c r="B7" s="352"/>
      <c r="C7" s="353">
        <f>'数据-取费表'!B2</f>
        <v>45740</v>
      </c>
      <c r="D7" s="354">
        <v>100</v>
      </c>
      <c r="E7" s="355"/>
      <c r="F7" s="356">
        <f>SUMIF(52:52,YEAR(E7)&amp;"-"&amp;MONTH(E7),53:53)</f>
        <v>0</v>
      </c>
      <c r="G7" s="355"/>
      <c r="H7" s="354">
        <f>SUMIF(52:52,YEAR(G7)&amp;"-"&amp;MONTH(G7),53:53)</f>
        <v>0</v>
      </c>
      <c r="I7" s="355"/>
      <c r="J7" s="354">
        <f>SUMIF(52:52,YEAR(I7)&amp;"-"&amp;MONTH(I7),53:53)</f>
        <v>0</v>
      </c>
      <c r="K7" s="38"/>
      <c r="L7" s="861"/>
      <c r="M7" s="862"/>
      <c r="N7" s="862"/>
      <c r="O7" s="862"/>
      <c r="P7" s="342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25" t="s">
        <v>1683</v>
      </c>
      <c r="Q8" s="3426"/>
      <c r="R8" s="663" t="s">
        <v>14</v>
      </c>
      <c r="S8" s="664">
        <f t="shared" si="0"/>
        <v>100</v>
      </c>
      <c r="T8" s="663" t="s">
        <v>14</v>
      </c>
      <c r="U8" s="664">
        <f t="shared" si="1"/>
        <v>100</v>
      </c>
      <c r="V8" s="663" t="s">
        <v>14</v>
      </c>
      <c r="W8" s="664">
        <f t="shared" si="2"/>
        <v>100</v>
      </c>
      <c r="X8" s="665"/>
      <c r="Y8" s="3425" t="s">
        <v>1683</v>
      </c>
      <c r="Z8" s="3426"/>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0"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390"/>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0"/>
      <c r="Q11" s="529" t="str">
        <f t="shared" si="6"/>
        <v>容积率</v>
      </c>
      <c r="R11" s="663" t="s">
        <v>14</v>
      </c>
      <c r="S11" s="664">
        <f t="shared" si="0"/>
        <v>100</v>
      </c>
      <c r="T11" s="663" t="s">
        <v>14</v>
      </c>
      <c r="U11" s="664">
        <f t="shared" si="1"/>
        <v>100</v>
      </c>
      <c r="V11" s="663" t="s">
        <v>14</v>
      </c>
      <c r="W11" s="664">
        <f t="shared" si="2"/>
        <v>100</v>
      </c>
      <c r="X11" s="665"/>
      <c r="Y11" s="3246"/>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0"/>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0"/>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0"/>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2" t="s">
        <v>1691</v>
      </c>
      <c r="Q15" s="1262" t="str">
        <f t="shared" si="6"/>
        <v>产业集聚程度</v>
      </c>
      <c r="R15" s="666" t="s">
        <v>14</v>
      </c>
      <c r="S15" s="667">
        <f t="shared" si="0"/>
        <v>100</v>
      </c>
      <c r="T15" s="666" t="s">
        <v>14</v>
      </c>
      <c r="U15" s="667">
        <f t="shared" si="1"/>
        <v>100</v>
      </c>
      <c r="V15" s="666" t="s">
        <v>14</v>
      </c>
      <c r="W15" s="667">
        <f t="shared" si="2"/>
        <v>100</v>
      </c>
      <c r="X15" s="1264"/>
      <c r="Y15" s="3392"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3"/>
      <c r="Q16" s="1262"/>
      <c r="R16" s="666"/>
      <c r="S16" s="667"/>
      <c r="T16" s="666"/>
      <c r="U16" s="667"/>
      <c r="V16" s="666"/>
      <c r="W16" s="667"/>
      <c r="X16" s="1264"/>
      <c r="Y16" s="3393"/>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3"/>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3"/>
      <c r="Q18" s="1262"/>
      <c r="R18" s="666"/>
      <c r="S18" s="667"/>
      <c r="T18" s="666"/>
      <c r="U18" s="667"/>
      <c r="V18" s="666"/>
      <c r="W18" s="667"/>
      <c r="X18" s="1264"/>
      <c r="Y18" s="3393"/>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3"/>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3"/>
      <c r="Q20" s="1262"/>
      <c r="R20" s="666"/>
      <c r="S20" s="667"/>
      <c r="T20" s="666"/>
      <c r="U20" s="667"/>
      <c r="V20" s="666"/>
      <c r="W20" s="667"/>
      <c r="X20" s="1264"/>
      <c r="Y20" s="3393"/>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3"/>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3"/>
      <c r="Q22" s="1262"/>
      <c r="R22" s="666"/>
      <c r="S22" s="667"/>
      <c r="T22" s="666"/>
      <c r="U22" s="667"/>
      <c r="V22" s="666"/>
      <c r="W22" s="667"/>
      <c r="X22" s="1264"/>
      <c r="Y22" s="3393"/>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3"/>
      <c r="Q23" s="1262" t="str">
        <f>B23</f>
        <v>环境质量</v>
      </c>
      <c r="R23" s="666" t="s">
        <v>14</v>
      </c>
      <c r="S23" s="667">
        <f>F23</f>
        <v>100</v>
      </c>
      <c r="T23" s="666" t="s">
        <v>14</v>
      </c>
      <c r="U23" s="667">
        <f>H23</f>
        <v>100</v>
      </c>
      <c r="V23" s="666" t="s">
        <v>14</v>
      </c>
      <c r="W23" s="667">
        <f>J23</f>
        <v>100</v>
      </c>
      <c r="X23" s="1264"/>
      <c r="Y23" s="339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3"/>
      <c r="Q24" s="1262"/>
      <c r="R24" s="666"/>
      <c r="S24" s="667"/>
      <c r="T24" s="666"/>
      <c r="U24" s="667"/>
      <c r="V24" s="666"/>
      <c r="W24" s="667"/>
      <c r="X24" s="1264"/>
      <c r="Y24" s="339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3"/>
      <c r="Q25" s="1262">
        <f>B25</f>
        <v>111</v>
      </c>
      <c r="R25" s="666" t="s">
        <v>14</v>
      </c>
      <c r="S25" s="667">
        <f>F25</f>
        <v>100</v>
      </c>
      <c r="T25" s="666" t="s">
        <v>14</v>
      </c>
      <c r="U25" s="667">
        <f>H25</f>
        <v>100</v>
      </c>
      <c r="V25" s="666" t="s">
        <v>14</v>
      </c>
      <c r="W25" s="667">
        <f>J25</f>
        <v>100</v>
      </c>
      <c r="X25" s="1264"/>
      <c r="Y25" s="339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3"/>
      <c r="Q26" s="1262">
        <f t="shared" ref="Q26:Q40" si="11">B26</f>
        <v>111</v>
      </c>
      <c r="R26" s="666" t="s">
        <v>14</v>
      </c>
      <c r="S26" s="667">
        <f>F26</f>
        <v>100</v>
      </c>
      <c r="T26" s="666" t="s">
        <v>14</v>
      </c>
      <c r="U26" s="667">
        <f>H26</f>
        <v>100</v>
      </c>
      <c r="V26" s="666" t="s">
        <v>14</v>
      </c>
      <c r="W26" s="667">
        <f>J26</f>
        <v>100</v>
      </c>
      <c r="X26" s="1264"/>
      <c r="Y26" s="3393"/>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3"/>
      <c r="Q27" s="529">
        <f t="shared" si="11"/>
        <v>111</v>
      </c>
      <c r="R27" s="663" t="s">
        <v>14</v>
      </c>
      <c r="S27" s="664">
        <f>F27</f>
        <v>100</v>
      </c>
      <c r="T27" s="663" t="s">
        <v>14</v>
      </c>
      <c r="U27" s="664">
        <f>H27</f>
        <v>100</v>
      </c>
      <c r="V27" s="663" t="s">
        <v>14</v>
      </c>
      <c r="W27" s="664">
        <f>J27</f>
        <v>100</v>
      </c>
      <c r="X27" s="665"/>
      <c r="Y27" s="3393"/>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3"/>
      <c r="Q28" s="1262">
        <f t="shared" si="11"/>
        <v>111</v>
      </c>
      <c r="R28" s="666" t="s">
        <v>14</v>
      </c>
      <c r="S28" s="667">
        <f t="shared" ref="S28:S40" si="12">F28</f>
        <v>100</v>
      </c>
      <c r="T28" s="666" t="s">
        <v>14</v>
      </c>
      <c r="U28" s="667">
        <f t="shared" ref="U28:U40" si="13">H28</f>
        <v>100</v>
      </c>
      <c r="V28" s="666" t="s">
        <v>14</v>
      </c>
      <c r="W28" s="667">
        <f t="shared" ref="W28:W40" si="14">J28</f>
        <v>100</v>
      </c>
      <c r="X28" s="1264"/>
      <c r="Y28" s="3393"/>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7" t="s">
        <v>1696</v>
      </c>
      <c r="Q29" s="1262" t="str">
        <f t="shared" si="11"/>
        <v>建筑类型</v>
      </c>
      <c r="R29" s="666" t="s">
        <v>14</v>
      </c>
      <c r="S29" s="667">
        <f t="shared" si="12"/>
        <v>100</v>
      </c>
      <c r="T29" s="666" t="s">
        <v>14</v>
      </c>
      <c r="U29" s="667">
        <f t="shared" si="13"/>
        <v>100</v>
      </c>
      <c r="V29" s="666" t="s">
        <v>14</v>
      </c>
      <c r="W29" s="667">
        <f t="shared" si="14"/>
        <v>100</v>
      </c>
      <c r="X29" s="1264"/>
      <c r="Y29" s="3397"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7"/>
      <c r="Q30" s="530" t="str">
        <f t="shared" si="11"/>
        <v>项目建筑规模</v>
      </c>
      <c r="R30" s="668" t="s">
        <v>14</v>
      </c>
      <c r="S30" s="669" t="e">
        <f t="shared" si="12"/>
        <v>#N/A</v>
      </c>
      <c r="T30" s="668" t="s">
        <v>14</v>
      </c>
      <c r="U30" s="669" t="e">
        <f t="shared" si="13"/>
        <v>#N/A</v>
      </c>
      <c r="V30" s="668" t="s">
        <v>14</v>
      </c>
      <c r="W30" s="669" t="e">
        <f t="shared" si="14"/>
        <v>#N/A</v>
      </c>
      <c r="X30" s="670"/>
      <c r="Y30" s="3397"/>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7"/>
      <c r="Q31" s="1262" t="str">
        <f t="shared" si="11"/>
        <v>建筑结构</v>
      </c>
      <c r="R31" s="666" t="s">
        <v>14</v>
      </c>
      <c r="S31" s="667">
        <f t="shared" si="12"/>
        <v>100</v>
      </c>
      <c r="T31" s="666" t="s">
        <v>14</v>
      </c>
      <c r="U31" s="667">
        <f t="shared" si="13"/>
        <v>100</v>
      </c>
      <c r="V31" s="666" t="s">
        <v>14</v>
      </c>
      <c r="W31" s="667">
        <f t="shared" si="14"/>
        <v>100</v>
      </c>
      <c r="X31" s="1264"/>
      <c r="Y31" s="3397"/>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7"/>
      <c r="Q32" s="1262" t="str">
        <f t="shared" si="11"/>
        <v>公共部分装修</v>
      </c>
      <c r="R32" s="666" t="s">
        <v>14</v>
      </c>
      <c r="S32" s="667">
        <f t="shared" si="12"/>
        <v>100</v>
      </c>
      <c r="T32" s="666" t="s">
        <v>14</v>
      </c>
      <c r="U32" s="667">
        <f t="shared" si="13"/>
        <v>100</v>
      </c>
      <c r="V32" s="666" t="s">
        <v>14</v>
      </c>
      <c r="W32" s="667">
        <f t="shared" si="14"/>
        <v>100</v>
      </c>
      <c r="X32" s="1264"/>
      <c r="Y32" s="3397"/>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7"/>
      <c r="Q33" s="1262" t="str">
        <f t="shared" si="11"/>
        <v>成新度</v>
      </c>
      <c r="R33" s="666" t="s">
        <v>14</v>
      </c>
      <c r="S33" s="667" t="e">
        <f t="shared" si="12"/>
        <v>#N/A</v>
      </c>
      <c r="T33" s="666" t="s">
        <v>14</v>
      </c>
      <c r="U33" s="667" t="e">
        <f t="shared" si="13"/>
        <v>#N/A</v>
      </c>
      <c r="V33" s="666" t="s">
        <v>14</v>
      </c>
      <c r="W33" s="667" t="e">
        <f t="shared" si="14"/>
        <v>#N/A</v>
      </c>
      <c r="X33" s="1264"/>
      <c r="Y33" s="3397"/>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7"/>
      <c r="Q34" s="529" t="str">
        <f t="shared" si="11"/>
        <v>物业管理</v>
      </c>
      <c r="R34" s="663" t="s">
        <v>14</v>
      </c>
      <c r="S34" s="664">
        <f t="shared" si="12"/>
        <v>100</v>
      </c>
      <c r="T34" s="663" t="s">
        <v>14</v>
      </c>
      <c r="U34" s="664">
        <f t="shared" si="13"/>
        <v>100</v>
      </c>
      <c r="V34" s="663" t="s">
        <v>14</v>
      </c>
      <c r="W34" s="664">
        <f t="shared" si="14"/>
        <v>100</v>
      </c>
      <c r="X34" s="665"/>
      <c r="Y34" s="339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7" t="s">
        <v>1696</v>
      </c>
      <c r="Q35" s="1262" t="str">
        <f t="shared" si="11"/>
        <v>市政基础设施</v>
      </c>
      <c r="R35" s="666" t="s">
        <v>14</v>
      </c>
      <c r="S35" s="667">
        <f t="shared" si="12"/>
        <v>100</v>
      </c>
      <c r="T35" s="666" t="s">
        <v>14</v>
      </c>
      <c r="U35" s="667">
        <f t="shared" si="13"/>
        <v>100</v>
      </c>
      <c r="V35" s="666" t="s">
        <v>14</v>
      </c>
      <c r="W35" s="667">
        <f t="shared" si="14"/>
        <v>100</v>
      </c>
      <c r="X35" s="1264"/>
      <c r="Y35" s="3397"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7"/>
      <c r="Q36" s="1262" t="str">
        <f t="shared" si="11"/>
        <v>内部装修</v>
      </c>
      <c r="R36" s="666" t="s">
        <v>14</v>
      </c>
      <c r="S36" s="667">
        <f t="shared" si="12"/>
        <v>100</v>
      </c>
      <c r="T36" s="666" t="s">
        <v>14</v>
      </c>
      <c r="U36" s="667">
        <f t="shared" si="13"/>
        <v>100</v>
      </c>
      <c r="V36" s="666" t="s">
        <v>14</v>
      </c>
      <c r="W36" s="667">
        <f t="shared" si="14"/>
        <v>100</v>
      </c>
      <c r="X36" s="1264"/>
      <c r="Y36" s="3397"/>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7"/>
      <c r="Q37" s="1262" t="str">
        <f t="shared" si="11"/>
        <v>内部装修状况</v>
      </c>
      <c r="R37" s="666" t="s">
        <v>14</v>
      </c>
      <c r="S37" s="667">
        <f t="shared" si="12"/>
        <v>100</v>
      </c>
      <c r="T37" s="666" t="s">
        <v>14</v>
      </c>
      <c r="U37" s="667">
        <f t="shared" si="13"/>
        <v>100</v>
      </c>
      <c r="V37" s="666" t="s">
        <v>14</v>
      </c>
      <c r="W37" s="667">
        <f t="shared" si="14"/>
        <v>100</v>
      </c>
      <c r="X37" s="1264"/>
      <c r="Y37" s="339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7"/>
      <c r="Q38" s="530">
        <f t="shared" si="11"/>
        <v>111</v>
      </c>
      <c r="R38" s="668" t="s">
        <v>14</v>
      </c>
      <c r="S38" s="669">
        <f t="shared" si="12"/>
        <v>100</v>
      </c>
      <c r="T38" s="668" t="s">
        <v>14</v>
      </c>
      <c r="U38" s="669">
        <f t="shared" si="13"/>
        <v>100</v>
      </c>
      <c r="V38" s="668" t="s">
        <v>14</v>
      </c>
      <c r="W38" s="669">
        <f t="shared" si="14"/>
        <v>100</v>
      </c>
      <c r="X38" s="670"/>
      <c r="Y38" s="339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7"/>
      <c r="Q39" s="1262">
        <f t="shared" si="11"/>
        <v>111</v>
      </c>
      <c r="R39" s="666" t="s">
        <v>14</v>
      </c>
      <c r="S39" s="667">
        <f t="shared" si="12"/>
        <v>100</v>
      </c>
      <c r="T39" s="666" t="s">
        <v>14</v>
      </c>
      <c r="U39" s="667">
        <f t="shared" si="13"/>
        <v>100</v>
      </c>
      <c r="V39" s="666" t="s">
        <v>14</v>
      </c>
      <c r="W39" s="667">
        <f t="shared" si="14"/>
        <v>100</v>
      </c>
      <c r="X39" s="1264"/>
      <c r="Y39" s="3397"/>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8"/>
      <c r="Q40" s="1262">
        <f t="shared" si="11"/>
        <v>111</v>
      </c>
      <c r="R40" s="666" t="s">
        <v>14</v>
      </c>
      <c r="S40" s="667">
        <f t="shared" si="12"/>
        <v>100</v>
      </c>
      <c r="T40" s="666" t="s">
        <v>14</v>
      </c>
      <c r="U40" s="667">
        <f t="shared" si="13"/>
        <v>100</v>
      </c>
      <c r="V40" s="666" t="s">
        <v>14</v>
      </c>
      <c r="W40" s="667">
        <f t="shared" si="14"/>
        <v>100</v>
      </c>
      <c r="X40" s="1264"/>
      <c r="Y40" s="3398"/>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90" t="str">
        <f>A41</f>
        <v>成交单价（元/平方米）</v>
      </c>
      <c r="Q41" s="3390"/>
      <c r="R41" s="3391">
        <f>E41</f>
        <v>0</v>
      </c>
      <c r="S41" s="3391"/>
      <c r="T41" s="3391">
        <f>G41</f>
        <v>0</v>
      </c>
      <c r="U41" s="3391"/>
      <c r="V41" s="3391">
        <f>I41</f>
        <v>0</v>
      </c>
      <c r="W41" s="3391"/>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7" t="str">
        <f>A43</f>
        <v>估价对象XX用房的比较价值（楼面单价，元/平方米）</v>
      </c>
      <c r="Q43" s="3388"/>
      <c r="R43" s="3389" t="e">
        <f>IF(F1="售价",ROUND(IF(D42="简单平均",AVERAGE(R42:V42),R42*F42+T42*H42+V42*J42),0),ROUND(IF(D42="简单平均",AVERAGE(R42:V42),R42*F42+T42*H42+V42*J42),1))</f>
        <v>#DIV/0!</v>
      </c>
      <c r="S43" s="3389"/>
      <c r="T43" s="3389"/>
      <c r="U43" s="3389"/>
      <c r="V43" s="3389"/>
      <c r="W43" s="3389"/>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8"/>
      <c r="O54" s="2539"/>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3333</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ht="15">
      <c r="A5" s="347"/>
      <c r="B5" s="348"/>
      <c r="C5" s="3423" t="s">
        <v>1673</v>
      </c>
      <c r="D5" s="3424"/>
      <c r="E5" s="3430" t="s">
        <v>1674</v>
      </c>
      <c r="F5" s="3431"/>
      <c r="G5" s="3423" t="s">
        <v>1675</v>
      </c>
      <c r="H5" s="3424"/>
      <c r="I5" s="3423" t="s">
        <v>1676</v>
      </c>
      <c r="J5" s="3424"/>
      <c r="K5" s="536"/>
      <c r="L5" s="2486"/>
      <c r="M5" s="2487"/>
      <c r="N5" s="2487"/>
      <c r="O5" s="2487"/>
      <c r="P5" s="3411"/>
      <c r="Q5" s="3412"/>
      <c r="R5" s="3417"/>
      <c r="S5" s="3418"/>
      <c r="T5" s="3417"/>
      <c r="U5" s="3418"/>
      <c r="V5" s="3391"/>
      <c r="W5" s="3391"/>
      <c r="X5" s="1264"/>
      <c r="Y5" s="3417"/>
      <c r="Z5" s="3418"/>
      <c r="AA5" s="3403"/>
      <c r="AB5" s="3403"/>
      <c r="AC5" s="3403"/>
    </row>
    <row r="6" spans="1:29" ht="15.75" thickBot="1">
      <c r="A6" s="349"/>
      <c r="B6" s="350"/>
      <c r="C6" s="3421" t="s">
        <v>1677</v>
      </c>
      <c r="D6" s="3422"/>
      <c r="E6" s="3428" t="s">
        <v>1677</v>
      </c>
      <c r="F6" s="3429"/>
      <c r="G6" s="3421" t="s">
        <v>1677</v>
      </c>
      <c r="H6" s="3422"/>
      <c r="I6" s="3421" t="s">
        <v>1677</v>
      </c>
      <c r="J6" s="3422"/>
      <c r="K6" s="536" t="s">
        <v>1678</v>
      </c>
      <c r="L6" s="2486"/>
      <c r="M6" s="2487"/>
      <c r="N6" s="2487"/>
      <c r="O6" s="2487"/>
      <c r="P6" s="3413"/>
      <c r="Q6" s="3414"/>
      <c r="R6" s="3417"/>
      <c r="S6" s="3418"/>
      <c r="T6" s="3419"/>
      <c r="U6" s="3420"/>
      <c r="V6" s="3391"/>
      <c r="W6" s="3391"/>
      <c r="X6" s="1264"/>
      <c r="Y6" s="3419"/>
      <c r="Z6" s="3420"/>
      <c r="AA6" s="3404"/>
      <c r="AB6" s="3404"/>
      <c r="AC6" s="3404"/>
    </row>
    <row r="7" spans="1:29" s="102" customFormat="1" ht="15.75" thickBot="1">
      <c r="A7" s="351" t="s">
        <v>1679</v>
      </c>
      <c r="B7" s="352"/>
      <c r="C7" s="353">
        <f>'数据-取费表'!B2</f>
        <v>45740</v>
      </c>
      <c r="D7" s="354">
        <v>100</v>
      </c>
      <c r="E7" s="355"/>
      <c r="F7" s="356">
        <f>SUMIF(48:48,YEAR(E7)&amp;"-"&amp;MONTH(E7),49:49)</f>
        <v>0</v>
      </c>
      <c r="G7" s="355"/>
      <c r="H7" s="354">
        <f>SUMIF(48:48,YEAR(G7)&amp;"-"&amp;MONTH(G7),49:49)</f>
        <v>0</v>
      </c>
      <c r="I7" s="355"/>
      <c r="J7" s="354">
        <f>SUMIF(48:48,YEAR(I7)&amp;"-"&amp;MONTH(I7),49:49)</f>
        <v>0</v>
      </c>
      <c r="K7" s="38"/>
      <c r="L7" s="2488"/>
      <c r="M7" s="2439"/>
      <c r="N7" s="2439"/>
      <c r="O7" s="2439"/>
      <c r="P7" s="3425" t="s">
        <v>1680</v>
      </c>
      <c r="Q7" s="3427"/>
      <c r="R7" s="663" t="s">
        <v>14</v>
      </c>
      <c r="S7" s="664">
        <f t="shared" ref="S7:S14" si="0">F7</f>
        <v>0</v>
      </c>
      <c r="T7" s="663" t="s">
        <v>14</v>
      </c>
      <c r="U7" s="664">
        <f t="shared" ref="U7:U14" si="1">H7</f>
        <v>0</v>
      </c>
      <c r="V7" s="663" t="s">
        <v>14</v>
      </c>
      <c r="W7" s="664">
        <f t="shared" ref="W7:W14" si="2">J7</f>
        <v>0</v>
      </c>
      <c r="X7" s="665"/>
      <c r="Y7" s="3425" t="s">
        <v>1680</v>
      </c>
      <c r="Z7" s="3426"/>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25" t="s">
        <v>1683</v>
      </c>
      <c r="Q8" s="3426"/>
      <c r="R8" s="663" t="s">
        <v>14</v>
      </c>
      <c r="S8" s="664">
        <f t="shared" si="0"/>
        <v>100</v>
      </c>
      <c r="T8" s="663" t="s">
        <v>14</v>
      </c>
      <c r="U8" s="664">
        <f t="shared" si="1"/>
        <v>100</v>
      </c>
      <c r="V8" s="663" t="s">
        <v>14</v>
      </c>
      <c r="W8" s="664">
        <f t="shared" si="2"/>
        <v>100</v>
      </c>
      <c r="X8" s="665"/>
      <c r="Y8" s="3425" t="s">
        <v>1683</v>
      </c>
      <c r="Z8" s="3426"/>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390" t="s">
        <v>1686</v>
      </c>
      <c r="Q9" s="529" t="str">
        <f t="shared" ref="Q9:Q14" si="6">B9</f>
        <v>用途</v>
      </c>
      <c r="R9" s="663" t="s">
        <v>14</v>
      </c>
      <c r="S9" s="664">
        <f t="shared" si="0"/>
        <v>100</v>
      </c>
      <c r="T9" s="663" t="s">
        <v>14</v>
      </c>
      <c r="U9" s="664">
        <f t="shared" si="1"/>
        <v>100</v>
      </c>
      <c r="V9" s="663" t="s">
        <v>14</v>
      </c>
      <c r="W9" s="664">
        <f t="shared" si="2"/>
        <v>100</v>
      </c>
      <c r="X9" s="665"/>
      <c r="Y9" s="3246"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390"/>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90"/>
      <c r="Q11" s="529">
        <f t="shared" si="6"/>
        <v>111</v>
      </c>
      <c r="R11" s="663" t="s">
        <v>14</v>
      </c>
      <c r="S11" s="664">
        <f t="shared" si="0"/>
        <v>100</v>
      </c>
      <c r="T11" s="663" t="s">
        <v>14</v>
      </c>
      <c r="U11" s="664">
        <f t="shared" si="1"/>
        <v>100</v>
      </c>
      <c r="V11" s="663" t="s">
        <v>14</v>
      </c>
      <c r="W11" s="664">
        <f t="shared" si="2"/>
        <v>100</v>
      </c>
      <c r="X11" s="665"/>
      <c r="Y11" s="3246"/>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90"/>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90"/>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92" t="s">
        <v>1691</v>
      </c>
      <c r="Q14" s="1262" t="str">
        <f t="shared" si="6"/>
        <v>交通便捷度</v>
      </c>
      <c r="R14" s="666" t="s">
        <v>14</v>
      </c>
      <c r="S14" s="667">
        <f t="shared" si="0"/>
        <v>100</v>
      </c>
      <c r="T14" s="666" t="s">
        <v>14</v>
      </c>
      <c r="U14" s="667">
        <f t="shared" si="1"/>
        <v>100</v>
      </c>
      <c r="V14" s="666" t="s">
        <v>14</v>
      </c>
      <c r="W14" s="667">
        <f t="shared" si="2"/>
        <v>100</v>
      </c>
      <c r="X14" s="1264"/>
      <c r="Y14" s="3392"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93"/>
      <c r="Q15" s="1262"/>
      <c r="R15" s="666"/>
      <c r="S15" s="667"/>
      <c r="T15" s="666"/>
      <c r="U15" s="667"/>
      <c r="V15" s="666"/>
      <c r="W15" s="667"/>
      <c r="X15" s="1264"/>
      <c r="Y15" s="3393"/>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93"/>
      <c r="Q16" s="1262" t="str">
        <f>B16</f>
        <v>公共配套设施</v>
      </c>
      <c r="R16" s="666" t="s">
        <v>14</v>
      </c>
      <c r="S16" s="667">
        <f>F16</f>
        <v>100</v>
      </c>
      <c r="T16" s="666" t="s">
        <v>14</v>
      </c>
      <c r="U16" s="667">
        <f>H16</f>
        <v>100</v>
      </c>
      <c r="V16" s="666" t="s">
        <v>14</v>
      </c>
      <c r="W16" s="667">
        <f>J16</f>
        <v>100</v>
      </c>
      <c r="X16" s="1264"/>
      <c r="Y16" s="339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93"/>
      <c r="Q17" s="1262"/>
      <c r="R17" s="666"/>
      <c r="S17" s="667"/>
      <c r="T17" s="666"/>
      <c r="U17" s="667"/>
      <c r="V17" s="666"/>
      <c r="W17" s="667"/>
      <c r="X17" s="1264"/>
      <c r="Y17" s="3393"/>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93"/>
      <c r="Q18" s="1262" t="str">
        <f>B18</f>
        <v>基础设施水平</v>
      </c>
      <c r="R18" s="666" t="s">
        <v>14</v>
      </c>
      <c r="S18" s="667">
        <f>F18</f>
        <v>100</v>
      </c>
      <c r="T18" s="666" t="s">
        <v>14</v>
      </c>
      <c r="U18" s="667">
        <f>H18</f>
        <v>100</v>
      </c>
      <c r="V18" s="666" t="s">
        <v>14</v>
      </c>
      <c r="W18" s="667">
        <f>J18</f>
        <v>100</v>
      </c>
      <c r="X18" s="1264"/>
      <c r="Y18" s="339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93"/>
      <c r="Q19" s="1262"/>
      <c r="R19" s="666"/>
      <c r="S19" s="667"/>
      <c r="T19" s="666"/>
      <c r="U19" s="667"/>
      <c r="V19" s="666"/>
      <c r="W19" s="667"/>
      <c r="X19" s="1264"/>
      <c r="Y19" s="3393"/>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93"/>
      <c r="Q20" s="1262" t="str">
        <f>B20</f>
        <v>自然及人文环境</v>
      </c>
      <c r="R20" s="666" t="s">
        <v>14</v>
      </c>
      <c r="S20" s="667">
        <f>F20</f>
        <v>100</v>
      </c>
      <c r="T20" s="666" t="s">
        <v>14</v>
      </c>
      <c r="U20" s="667">
        <f>H20</f>
        <v>100</v>
      </c>
      <c r="V20" s="666" t="s">
        <v>14</v>
      </c>
      <c r="W20" s="667">
        <f>J20</f>
        <v>100</v>
      </c>
      <c r="X20" s="1264"/>
      <c r="Y20" s="339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93"/>
      <c r="Q21" s="1262"/>
      <c r="R21" s="666"/>
      <c r="S21" s="667"/>
      <c r="T21" s="666"/>
      <c r="U21" s="667"/>
      <c r="V21" s="666"/>
      <c r="W21" s="667"/>
      <c r="X21" s="1264"/>
      <c r="Y21" s="3393"/>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93"/>
      <c r="Q22" s="1262" t="str">
        <f>B22</f>
        <v>楼层</v>
      </c>
      <c r="R22" s="666" t="s">
        <v>14</v>
      </c>
      <c r="S22" s="667">
        <f>F22</f>
        <v>100</v>
      </c>
      <c r="T22" s="666" t="s">
        <v>14</v>
      </c>
      <c r="U22" s="667">
        <f>H22</f>
        <v>100</v>
      </c>
      <c r="V22" s="666" t="s">
        <v>14</v>
      </c>
      <c r="W22" s="667">
        <f>J22</f>
        <v>100</v>
      </c>
      <c r="X22" s="1264"/>
      <c r="Y22" s="339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93"/>
      <c r="Q23" s="1262">
        <f>B23</f>
        <v>111</v>
      </c>
      <c r="R23" s="666" t="s">
        <v>14</v>
      </c>
      <c r="S23" s="667">
        <f>F23</f>
        <v>100</v>
      </c>
      <c r="T23" s="666" t="s">
        <v>14</v>
      </c>
      <c r="U23" s="667">
        <f>H23</f>
        <v>100</v>
      </c>
      <c r="V23" s="666" t="s">
        <v>14</v>
      </c>
      <c r="W23" s="667">
        <f>J23</f>
        <v>100</v>
      </c>
      <c r="X23" s="1264"/>
      <c r="Y23" s="339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93"/>
      <c r="Q24" s="1262">
        <f t="shared" ref="Q24:Q36" si="11">B24</f>
        <v>111</v>
      </c>
      <c r="R24" s="666" t="s">
        <v>14</v>
      </c>
      <c r="S24" s="667">
        <f>F24</f>
        <v>100</v>
      </c>
      <c r="T24" s="666" t="s">
        <v>14</v>
      </c>
      <c r="U24" s="667">
        <f>H24</f>
        <v>100</v>
      </c>
      <c r="V24" s="666" t="s">
        <v>14</v>
      </c>
      <c r="W24" s="667">
        <f>J24</f>
        <v>100</v>
      </c>
      <c r="X24" s="1264"/>
      <c r="Y24" s="3393"/>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93"/>
      <c r="Q25" s="529">
        <f t="shared" si="11"/>
        <v>111</v>
      </c>
      <c r="R25" s="663" t="s">
        <v>14</v>
      </c>
      <c r="S25" s="664">
        <f>F25</f>
        <v>100</v>
      </c>
      <c r="T25" s="663" t="s">
        <v>14</v>
      </c>
      <c r="U25" s="664">
        <f>H25</f>
        <v>100</v>
      </c>
      <c r="V25" s="663" t="s">
        <v>14</v>
      </c>
      <c r="W25" s="664">
        <f>J25</f>
        <v>100</v>
      </c>
      <c r="X25" s="665"/>
      <c r="Y25" s="3393"/>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4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7"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97"/>
      <c r="Q27" s="530" t="str">
        <f t="shared" si="11"/>
        <v>项目停车位配比</v>
      </c>
      <c r="R27" s="668" t="s">
        <v>14</v>
      </c>
      <c r="S27" s="669">
        <f t="shared" si="12"/>
        <v>100</v>
      </c>
      <c r="T27" s="668" t="s">
        <v>14</v>
      </c>
      <c r="U27" s="669">
        <f t="shared" si="13"/>
        <v>100</v>
      </c>
      <c r="V27" s="668" t="s">
        <v>14</v>
      </c>
      <c r="W27" s="669">
        <f t="shared" si="14"/>
        <v>100</v>
      </c>
      <c r="X27" s="670"/>
      <c r="Y27" s="3397"/>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97"/>
      <c r="Q28" s="1262" t="str">
        <f t="shared" si="11"/>
        <v>公共部分装修</v>
      </c>
      <c r="R28" s="666" t="s">
        <v>14</v>
      </c>
      <c r="S28" s="667">
        <f t="shared" si="12"/>
        <v>100</v>
      </c>
      <c r="T28" s="666" t="s">
        <v>14</v>
      </c>
      <c r="U28" s="667">
        <f t="shared" si="13"/>
        <v>100</v>
      </c>
      <c r="V28" s="666" t="s">
        <v>14</v>
      </c>
      <c r="W28" s="667">
        <f t="shared" si="14"/>
        <v>100</v>
      </c>
      <c r="X28" s="1264"/>
      <c r="Y28" s="3397"/>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97"/>
      <c r="Q29" s="1262" t="str">
        <f t="shared" si="11"/>
        <v>成新率</v>
      </c>
      <c r="R29" s="666" t="s">
        <v>14</v>
      </c>
      <c r="S29" s="667" t="e">
        <f t="shared" si="12"/>
        <v>#N/A</v>
      </c>
      <c r="T29" s="666" t="s">
        <v>14</v>
      </c>
      <c r="U29" s="667" t="e">
        <f t="shared" si="13"/>
        <v>#N/A</v>
      </c>
      <c r="V29" s="666" t="s">
        <v>14</v>
      </c>
      <c r="W29" s="667" t="e">
        <f t="shared" si="14"/>
        <v>#N/A</v>
      </c>
      <c r="X29" s="1264"/>
      <c r="Y29" s="3397"/>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97"/>
      <c r="Q30" s="1262" t="str">
        <f t="shared" si="11"/>
        <v>物业等级</v>
      </c>
      <c r="R30" s="666" t="s">
        <v>14</v>
      </c>
      <c r="S30" s="667">
        <f t="shared" si="12"/>
        <v>100</v>
      </c>
      <c r="T30" s="666" t="s">
        <v>14</v>
      </c>
      <c r="U30" s="667">
        <f t="shared" si="13"/>
        <v>100</v>
      </c>
      <c r="V30" s="666" t="s">
        <v>14</v>
      </c>
      <c r="W30" s="667">
        <f t="shared" si="14"/>
        <v>100</v>
      </c>
      <c r="X30" s="1264"/>
      <c r="Y30" s="3397"/>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97"/>
      <c r="Q31" s="529" t="str">
        <f t="shared" si="11"/>
        <v>停车位面积</v>
      </c>
      <c r="R31" s="663" t="s">
        <v>14</v>
      </c>
      <c r="S31" s="664" t="e">
        <f t="shared" si="12"/>
        <v>#N/A</v>
      </c>
      <c r="T31" s="663" t="s">
        <v>14</v>
      </c>
      <c r="U31" s="664" t="e">
        <f t="shared" si="13"/>
        <v>#N/A</v>
      </c>
      <c r="V31" s="663" t="s">
        <v>14</v>
      </c>
      <c r="W31" s="664" t="e">
        <f t="shared" si="14"/>
        <v>#N/A</v>
      </c>
      <c r="X31" s="665"/>
      <c r="Y31" s="339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97" t="s">
        <v>1696</v>
      </c>
      <c r="Q32" s="1262" t="str">
        <f t="shared" si="11"/>
        <v>车位类型</v>
      </c>
      <c r="R32" s="666" t="s">
        <v>14</v>
      </c>
      <c r="S32" s="667">
        <f t="shared" si="12"/>
        <v>100</v>
      </c>
      <c r="T32" s="666" t="s">
        <v>14</v>
      </c>
      <c r="U32" s="667">
        <f t="shared" si="13"/>
        <v>100</v>
      </c>
      <c r="V32" s="666" t="s">
        <v>14</v>
      </c>
      <c r="W32" s="667">
        <f t="shared" si="14"/>
        <v>100</v>
      </c>
      <c r="X32" s="1264"/>
      <c r="Y32" s="3397"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97"/>
      <c r="Q33" s="1262" t="str">
        <f t="shared" si="11"/>
        <v>是否直接入户</v>
      </c>
      <c r="R33" s="666" t="s">
        <v>14</v>
      </c>
      <c r="S33" s="667">
        <f t="shared" si="12"/>
        <v>100</v>
      </c>
      <c r="T33" s="666" t="s">
        <v>14</v>
      </c>
      <c r="U33" s="667">
        <f t="shared" si="13"/>
        <v>100</v>
      </c>
      <c r="V33" s="666" t="s">
        <v>14</v>
      </c>
      <c r="W33" s="667">
        <f t="shared" si="14"/>
        <v>100</v>
      </c>
      <c r="X33" s="1264"/>
      <c r="Y33" s="339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97"/>
      <c r="Q34" s="1262">
        <f t="shared" si="11"/>
        <v>111</v>
      </c>
      <c r="R34" s="666" t="s">
        <v>14</v>
      </c>
      <c r="S34" s="667">
        <f t="shared" si="12"/>
        <v>100</v>
      </c>
      <c r="T34" s="666" t="s">
        <v>14</v>
      </c>
      <c r="U34" s="667">
        <f t="shared" si="13"/>
        <v>100</v>
      </c>
      <c r="V34" s="666" t="s">
        <v>14</v>
      </c>
      <c r="W34" s="667">
        <f t="shared" si="14"/>
        <v>100</v>
      </c>
      <c r="X34" s="1264"/>
      <c r="Y34" s="339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97"/>
      <c r="Q35" s="530">
        <f t="shared" si="11"/>
        <v>111</v>
      </c>
      <c r="R35" s="668" t="s">
        <v>14</v>
      </c>
      <c r="S35" s="669">
        <f t="shared" si="12"/>
        <v>100</v>
      </c>
      <c r="T35" s="668" t="s">
        <v>14</v>
      </c>
      <c r="U35" s="669">
        <f t="shared" si="13"/>
        <v>100</v>
      </c>
      <c r="V35" s="668" t="s">
        <v>14</v>
      </c>
      <c r="W35" s="669">
        <f t="shared" si="14"/>
        <v>100</v>
      </c>
      <c r="X35" s="670"/>
      <c r="Y35" s="3397"/>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97"/>
      <c r="Q36" s="1262">
        <f t="shared" si="11"/>
        <v>111</v>
      </c>
      <c r="R36" s="666" t="s">
        <v>14</v>
      </c>
      <c r="S36" s="667">
        <f t="shared" si="12"/>
        <v>100</v>
      </c>
      <c r="T36" s="666" t="s">
        <v>14</v>
      </c>
      <c r="U36" s="667">
        <f t="shared" si="13"/>
        <v>100</v>
      </c>
      <c r="V36" s="666" t="s">
        <v>14</v>
      </c>
      <c r="W36" s="667">
        <f t="shared" si="14"/>
        <v>100</v>
      </c>
      <c r="X36" s="1264"/>
      <c r="Y36" s="3397"/>
      <c r="Z36" s="1263">
        <f t="shared" si="15"/>
        <v>111</v>
      </c>
      <c r="AA36" s="1263">
        <f t="shared" si="3"/>
        <v>1</v>
      </c>
      <c r="AB36" s="1263">
        <f t="shared" si="4"/>
        <v>1</v>
      </c>
      <c r="AC36" s="1263">
        <f t="shared" si="5"/>
        <v>1</v>
      </c>
    </row>
    <row r="37" spans="1:29" ht="15">
      <c r="A37" s="415" t="s">
        <v>1844</v>
      </c>
      <c r="B37" s="1820" t="s">
        <v>3354</v>
      </c>
      <c r="C37" s="1080" t="s">
        <v>0</v>
      </c>
      <c r="D37" s="417"/>
      <c r="E37" s="418"/>
      <c r="F37" s="419"/>
      <c r="G37" s="420"/>
      <c r="H37" s="421"/>
      <c r="I37" s="418"/>
      <c r="J37" s="421"/>
      <c r="K37" s="544"/>
      <c r="L37" s="2494"/>
      <c r="M37" s="2487"/>
      <c r="N37" s="2487"/>
      <c r="O37" s="2487"/>
      <c r="P37" s="3390" t="str">
        <f>A37</f>
        <v>成交单价</v>
      </c>
      <c r="Q37" s="3390"/>
      <c r="R37" s="3391">
        <f>E37</f>
        <v>0</v>
      </c>
      <c r="S37" s="3391"/>
      <c r="T37" s="3391">
        <f>G37</f>
        <v>0</v>
      </c>
      <c r="U37" s="3391"/>
      <c r="V37" s="3391">
        <f>I37</f>
        <v>0</v>
      </c>
      <c r="W37" s="3391"/>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87" t="str">
        <f>A39</f>
        <v>估价对象XX用房的比较价值（楼面单价，元/平方米）</v>
      </c>
      <c r="Q39" s="3388"/>
      <c r="R39" s="3448" t="e">
        <f>IF(F1="售价",ROUND(IF(D38="简单平均",AVERAGE(R38:W38),R38*F38+T38*H38+V38*J38),0),ROUND(IF(D38="简单平均",AVERAGE(R38:V38),R38*F38+T38*H38+V38*J38),1))</f>
        <v>#DIV/0!</v>
      </c>
      <c r="S39" s="3448"/>
      <c r="T39" s="3448"/>
      <c r="U39" s="3448"/>
      <c r="V39" s="3448"/>
      <c r="W39" s="3448"/>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3334</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ht="15">
      <c r="A5" s="347"/>
      <c r="B5" s="348"/>
      <c r="C5" s="3423" t="s">
        <v>1673</v>
      </c>
      <c r="D5" s="3424"/>
      <c r="E5" s="3430" t="s">
        <v>1674</v>
      </c>
      <c r="F5" s="3431"/>
      <c r="G5" s="3423" t="s">
        <v>1675</v>
      </c>
      <c r="H5" s="3424"/>
      <c r="I5" s="3423" t="s">
        <v>1676</v>
      </c>
      <c r="J5" s="3424"/>
      <c r="K5" s="536"/>
      <c r="L5" s="2486"/>
      <c r="M5" s="2487"/>
      <c r="N5" s="2487"/>
      <c r="O5" s="2487"/>
      <c r="P5" s="3411"/>
      <c r="Q5" s="3412"/>
      <c r="R5" s="3417"/>
      <c r="S5" s="3418"/>
      <c r="T5" s="3417"/>
      <c r="U5" s="3418"/>
      <c r="V5" s="3391"/>
      <c r="W5" s="3391"/>
      <c r="X5" s="1264"/>
      <c r="Y5" s="3417"/>
      <c r="Z5" s="3418"/>
      <c r="AA5" s="3403"/>
      <c r="AB5" s="3403"/>
      <c r="AC5" s="3403"/>
    </row>
    <row r="6" spans="1:29" ht="15.75" thickBot="1">
      <c r="A6" s="349"/>
      <c r="B6" s="350"/>
      <c r="C6" s="3421" t="s">
        <v>1677</v>
      </c>
      <c r="D6" s="3422"/>
      <c r="E6" s="3428" t="s">
        <v>1677</v>
      </c>
      <c r="F6" s="3429"/>
      <c r="G6" s="3421" t="s">
        <v>1677</v>
      </c>
      <c r="H6" s="3422"/>
      <c r="I6" s="3421" t="s">
        <v>1677</v>
      </c>
      <c r="J6" s="3422"/>
      <c r="K6" s="536" t="s">
        <v>1678</v>
      </c>
      <c r="L6" s="2486"/>
      <c r="M6" s="2487"/>
      <c r="N6" s="2487"/>
      <c r="O6" s="2487"/>
      <c r="P6" s="3413"/>
      <c r="Q6" s="3414"/>
      <c r="R6" s="3417"/>
      <c r="S6" s="3418"/>
      <c r="T6" s="3419"/>
      <c r="U6" s="3420"/>
      <c r="V6" s="3391"/>
      <c r="W6" s="3391"/>
      <c r="X6" s="1264"/>
      <c r="Y6" s="3419"/>
      <c r="Z6" s="3420"/>
      <c r="AA6" s="3404"/>
      <c r="AB6" s="3404"/>
      <c r="AC6" s="3404"/>
    </row>
    <row r="7" spans="1:29" s="102" customFormat="1" ht="15.75" thickBot="1">
      <c r="A7" s="351" t="s">
        <v>1679</v>
      </c>
      <c r="B7" s="352"/>
      <c r="C7" s="353">
        <f>'数据-取费表'!B2</f>
        <v>45740</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25" t="s">
        <v>1680</v>
      </c>
      <c r="Q7" s="3427"/>
      <c r="R7" s="663" t="s">
        <v>14</v>
      </c>
      <c r="S7" s="664">
        <f t="shared" ref="S7:S14" si="0">F7</f>
        <v>0</v>
      </c>
      <c r="T7" s="663" t="s">
        <v>14</v>
      </c>
      <c r="U7" s="664">
        <f t="shared" ref="U7:U14" si="1">H7</f>
        <v>0</v>
      </c>
      <c r="V7" s="663" t="s">
        <v>14</v>
      </c>
      <c r="W7" s="664">
        <f t="shared" ref="W7:W14" si="2">J7</f>
        <v>0</v>
      </c>
      <c r="X7" s="665"/>
      <c r="Y7" s="3425" t="s">
        <v>1680</v>
      </c>
      <c r="Z7" s="3426"/>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25" t="s">
        <v>1683</v>
      </c>
      <c r="Q8" s="3426"/>
      <c r="R8" s="663" t="s">
        <v>14</v>
      </c>
      <c r="S8" s="664">
        <f t="shared" si="0"/>
        <v>100</v>
      </c>
      <c r="T8" s="663" t="s">
        <v>14</v>
      </c>
      <c r="U8" s="664">
        <f t="shared" si="1"/>
        <v>100</v>
      </c>
      <c r="V8" s="663" t="s">
        <v>14</v>
      </c>
      <c r="W8" s="664">
        <f t="shared" si="2"/>
        <v>100</v>
      </c>
      <c r="X8" s="665"/>
      <c r="Y8" s="3425" t="s">
        <v>1683</v>
      </c>
      <c r="Z8" s="3426"/>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390" t="s">
        <v>1686</v>
      </c>
      <c r="Q9" s="529" t="str">
        <f t="shared" ref="Q9:Q14" si="6">B9</f>
        <v>用途</v>
      </c>
      <c r="R9" s="663" t="s">
        <v>14</v>
      </c>
      <c r="S9" s="664">
        <f t="shared" si="0"/>
        <v>100</v>
      </c>
      <c r="T9" s="663" t="s">
        <v>14</v>
      </c>
      <c r="U9" s="664">
        <f t="shared" si="1"/>
        <v>100</v>
      </c>
      <c r="V9" s="663" t="s">
        <v>14</v>
      </c>
      <c r="W9" s="664">
        <f t="shared" si="2"/>
        <v>100</v>
      </c>
      <c r="X9" s="665"/>
      <c r="Y9" s="3246"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390"/>
      <c r="Q10" s="529" t="str">
        <f t="shared" si="6"/>
        <v>土地使用年限（年）</v>
      </c>
      <c r="R10" s="663" t="s">
        <v>14</v>
      </c>
      <c r="S10" s="664">
        <f t="shared" si="0"/>
        <v>100</v>
      </c>
      <c r="T10" s="663" t="s">
        <v>14</v>
      </c>
      <c r="U10" s="664">
        <f t="shared" si="1"/>
        <v>100</v>
      </c>
      <c r="V10" s="663" t="s">
        <v>14</v>
      </c>
      <c r="W10" s="664">
        <f t="shared" si="2"/>
        <v>100</v>
      </c>
      <c r="X10" s="665"/>
      <c r="Y10" s="324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90"/>
      <c r="Q11" s="529">
        <f t="shared" si="6"/>
        <v>111</v>
      </c>
      <c r="R11" s="663" t="s">
        <v>14</v>
      </c>
      <c r="S11" s="664">
        <f t="shared" si="0"/>
        <v>100</v>
      </c>
      <c r="T11" s="663" t="s">
        <v>14</v>
      </c>
      <c r="U11" s="664">
        <f t="shared" si="1"/>
        <v>100</v>
      </c>
      <c r="V11" s="663" t="s">
        <v>14</v>
      </c>
      <c r="W11" s="664">
        <f t="shared" si="2"/>
        <v>100</v>
      </c>
      <c r="X11" s="665"/>
      <c r="Y11" s="3246"/>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90"/>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90"/>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92" t="s">
        <v>1691</v>
      </c>
      <c r="Q14" s="1262" t="str">
        <f t="shared" si="6"/>
        <v>交通便捷度</v>
      </c>
      <c r="R14" s="666" t="s">
        <v>14</v>
      </c>
      <c r="S14" s="667">
        <f t="shared" si="0"/>
        <v>100</v>
      </c>
      <c r="T14" s="666" t="s">
        <v>14</v>
      </c>
      <c r="U14" s="667">
        <f t="shared" si="1"/>
        <v>100</v>
      </c>
      <c r="V14" s="666" t="s">
        <v>14</v>
      </c>
      <c r="W14" s="667">
        <f t="shared" si="2"/>
        <v>100</v>
      </c>
      <c r="X14" s="1264"/>
      <c r="Y14" s="3392"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93"/>
      <c r="Q15" s="1262"/>
      <c r="R15" s="666"/>
      <c r="S15" s="667"/>
      <c r="T15" s="666"/>
      <c r="U15" s="667"/>
      <c r="V15" s="666"/>
      <c r="W15" s="667"/>
      <c r="X15" s="1264"/>
      <c r="Y15" s="3393"/>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93"/>
      <c r="Q16" s="1262" t="str">
        <f>B16</f>
        <v>公共配套设施</v>
      </c>
      <c r="R16" s="666" t="s">
        <v>14</v>
      </c>
      <c r="S16" s="667">
        <f>F16</f>
        <v>100</v>
      </c>
      <c r="T16" s="666" t="s">
        <v>14</v>
      </c>
      <c r="U16" s="667">
        <f>H16</f>
        <v>100</v>
      </c>
      <c r="V16" s="666" t="s">
        <v>14</v>
      </c>
      <c r="W16" s="667">
        <f>J16</f>
        <v>100</v>
      </c>
      <c r="X16" s="1264"/>
      <c r="Y16" s="339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93"/>
      <c r="Q17" s="1262"/>
      <c r="R17" s="666"/>
      <c r="S17" s="667"/>
      <c r="T17" s="666"/>
      <c r="U17" s="667"/>
      <c r="V17" s="666"/>
      <c r="W17" s="667"/>
      <c r="X17" s="1264"/>
      <c r="Y17" s="3393"/>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93"/>
      <c r="Q18" s="1262" t="str">
        <f>B18</f>
        <v>基础设施水平</v>
      </c>
      <c r="R18" s="666" t="s">
        <v>14</v>
      </c>
      <c r="S18" s="667">
        <f>F18</f>
        <v>100</v>
      </c>
      <c r="T18" s="666" t="s">
        <v>14</v>
      </c>
      <c r="U18" s="667">
        <f>H18</f>
        <v>100</v>
      </c>
      <c r="V18" s="666" t="s">
        <v>14</v>
      </c>
      <c r="W18" s="667">
        <f>J18</f>
        <v>100</v>
      </c>
      <c r="X18" s="1264"/>
      <c r="Y18" s="339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93"/>
      <c r="Q19" s="1262"/>
      <c r="R19" s="666"/>
      <c r="S19" s="667"/>
      <c r="T19" s="666"/>
      <c r="U19" s="667"/>
      <c r="V19" s="666"/>
      <c r="W19" s="667"/>
      <c r="X19" s="1264"/>
      <c r="Y19" s="3393"/>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93"/>
      <c r="Q20" s="1262" t="str">
        <f>B20</f>
        <v>自然及人文环境</v>
      </c>
      <c r="R20" s="666" t="s">
        <v>14</v>
      </c>
      <c r="S20" s="667">
        <f>F20</f>
        <v>100</v>
      </c>
      <c r="T20" s="666" t="s">
        <v>14</v>
      </c>
      <c r="U20" s="667">
        <f>H20</f>
        <v>100</v>
      </c>
      <c r="V20" s="666" t="s">
        <v>14</v>
      </c>
      <c r="W20" s="667">
        <f>J20</f>
        <v>100</v>
      </c>
      <c r="X20" s="1264"/>
      <c r="Y20" s="339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93"/>
      <c r="Q21" s="1262"/>
      <c r="R21" s="666"/>
      <c r="S21" s="667"/>
      <c r="T21" s="666"/>
      <c r="U21" s="667"/>
      <c r="V21" s="666"/>
      <c r="W21" s="667"/>
      <c r="X21" s="1264"/>
      <c r="Y21" s="3393"/>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93"/>
      <c r="Q22" s="1262" t="str">
        <f>B22</f>
        <v>楼层</v>
      </c>
      <c r="R22" s="666" t="s">
        <v>14</v>
      </c>
      <c r="S22" s="667">
        <f>F22</f>
        <v>100</v>
      </c>
      <c r="T22" s="666" t="s">
        <v>14</v>
      </c>
      <c r="U22" s="667">
        <f>H22</f>
        <v>100</v>
      </c>
      <c r="V22" s="666" t="s">
        <v>14</v>
      </c>
      <c r="W22" s="667">
        <f>J22</f>
        <v>100</v>
      </c>
      <c r="X22" s="1264"/>
      <c r="Y22" s="339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93"/>
      <c r="Q23" s="1262">
        <f>B23</f>
        <v>111</v>
      </c>
      <c r="R23" s="666" t="s">
        <v>14</v>
      </c>
      <c r="S23" s="667">
        <f>F23</f>
        <v>100</v>
      </c>
      <c r="T23" s="666" t="s">
        <v>14</v>
      </c>
      <c r="U23" s="667">
        <f>H23</f>
        <v>100</v>
      </c>
      <c r="V23" s="666" t="s">
        <v>14</v>
      </c>
      <c r="W23" s="667">
        <f>J23</f>
        <v>100</v>
      </c>
      <c r="X23" s="1264"/>
      <c r="Y23" s="339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93"/>
      <c r="Q24" s="1262">
        <f t="shared" ref="Q24:Q34" si="11">B24</f>
        <v>111</v>
      </c>
      <c r="R24" s="666" t="s">
        <v>14</v>
      </c>
      <c r="S24" s="667">
        <f>F24</f>
        <v>100</v>
      </c>
      <c r="T24" s="666" t="s">
        <v>14</v>
      </c>
      <c r="U24" s="667">
        <f>H24</f>
        <v>100</v>
      </c>
      <c r="V24" s="666" t="s">
        <v>14</v>
      </c>
      <c r="W24" s="667">
        <f>J24</f>
        <v>100</v>
      </c>
      <c r="X24" s="1264"/>
      <c r="Y24" s="3393"/>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93"/>
      <c r="Q25" s="529">
        <f t="shared" si="11"/>
        <v>111</v>
      </c>
      <c r="R25" s="663" t="s">
        <v>14</v>
      </c>
      <c r="S25" s="664">
        <f>F25</f>
        <v>100</v>
      </c>
      <c r="T25" s="663" t="s">
        <v>14</v>
      </c>
      <c r="U25" s="664">
        <f>H25</f>
        <v>100</v>
      </c>
      <c r="V25" s="663" t="s">
        <v>14</v>
      </c>
      <c r="W25" s="664">
        <f>J25</f>
        <v>100</v>
      </c>
      <c r="X25" s="665"/>
      <c r="Y25" s="3393"/>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4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7"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97"/>
      <c r="Q27" s="530" t="str">
        <f t="shared" si="11"/>
        <v>成新率</v>
      </c>
      <c r="R27" s="668" t="s">
        <v>14</v>
      </c>
      <c r="S27" s="669" t="e">
        <f t="shared" si="12"/>
        <v>#N/A</v>
      </c>
      <c r="T27" s="668" t="s">
        <v>14</v>
      </c>
      <c r="U27" s="669" t="e">
        <f t="shared" si="13"/>
        <v>#N/A</v>
      </c>
      <c r="V27" s="668" t="s">
        <v>14</v>
      </c>
      <c r="W27" s="669" t="e">
        <f t="shared" si="14"/>
        <v>#N/A</v>
      </c>
      <c r="X27" s="670"/>
      <c r="Y27" s="3397"/>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97"/>
      <c r="Q28" s="1262" t="str">
        <f t="shared" si="11"/>
        <v>物业等级</v>
      </c>
      <c r="R28" s="666" t="s">
        <v>14</v>
      </c>
      <c r="S28" s="667">
        <f t="shared" si="12"/>
        <v>100</v>
      </c>
      <c r="T28" s="666" t="s">
        <v>14</v>
      </c>
      <c r="U28" s="667">
        <f t="shared" si="13"/>
        <v>100</v>
      </c>
      <c r="V28" s="666" t="s">
        <v>14</v>
      </c>
      <c r="W28" s="667">
        <f t="shared" si="14"/>
        <v>100</v>
      </c>
      <c r="X28" s="1264"/>
      <c r="Y28" s="3397"/>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97"/>
      <c r="Q29" s="1262" t="str">
        <f t="shared" si="11"/>
        <v>有无电梯</v>
      </c>
      <c r="R29" s="666" t="s">
        <v>14</v>
      </c>
      <c r="S29" s="667">
        <f t="shared" si="12"/>
        <v>100</v>
      </c>
      <c r="T29" s="666" t="s">
        <v>14</v>
      </c>
      <c r="U29" s="667">
        <f t="shared" si="13"/>
        <v>100</v>
      </c>
      <c r="V29" s="666" t="s">
        <v>14</v>
      </c>
      <c r="W29" s="667">
        <f t="shared" si="14"/>
        <v>100</v>
      </c>
      <c r="X29" s="1264"/>
      <c r="Y29" s="3397"/>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97"/>
      <c r="Q30" s="1262" t="str">
        <f t="shared" si="11"/>
        <v>建筑面积</v>
      </c>
      <c r="R30" s="666" t="s">
        <v>14</v>
      </c>
      <c r="S30" s="667" t="e">
        <f t="shared" si="12"/>
        <v>#N/A</v>
      </c>
      <c r="T30" s="666" t="s">
        <v>14</v>
      </c>
      <c r="U30" s="667" t="e">
        <f t="shared" si="13"/>
        <v>#N/A</v>
      </c>
      <c r="V30" s="666" t="s">
        <v>14</v>
      </c>
      <c r="W30" s="667" t="e">
        <f t="shared" si="14"/>
        <v>#N/A</v>
      </c>
      <c r="X30" s="1264"/>
      <c r="Y30" s="3397"/>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97"/>
      <c r="Q31" s="529" t="str">
        <f t="shared" si="11"/>
        <v>是否封闭</v>
      </c>
      <c r="R31" s="663" t="s">
        <v>14</v>
      </c>
      <c r="S31" s="664">
        <f t="shared" si="12"/>
        <v>100</v>
      </c>
      <c r="T31" s="663" t="s">
        <v>14</v>
      </c>
      <c r="U31" s="664">
        <f t="shared" si="13"/>
        <v>100</v>
      </c>
      <c r="V31" s="663" t="s">
        <v>14</v>
      </c>
      <c r="W31" s="664">
        <f t="shared" si="14"/>
        <v>100</v>
      </c>
      <c r="X31" s="665"/>
      <c r="Y31" s="339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97" t="s">
        <v>1696</v>
      </c>
      <c r="Q32" s="1262">
        <f t="shared" si="11"/>
        <v>111</v>
      </c>
      <c r="R32" s="666" t="s">
        <v>14</v>
      </c>
      <c r="S32" s="667">
        <f t="shared" si="12"/>
        <v>100</v>
      </c>
      <c r="T32" s="666" t="s">
        <v>14</v>
      </c>
      <c r="U32" s="667">
        <f t="shared" si="13"/>
        <v>100</v>
      </c>
      <c r="V32" s="666" t="s">
        <v>14</v>
      </c>
      <c r="W32" s="667">
        <f t="shared" si="14"/>
        <v>100</v>
      </c>
      <c r="X32" s="1264"/>
      <c r="Y32" s="3397"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97"/>
      <c r="Q33" s="1262">
        <f t="shared" si="11"/>
        <v>111</v>
      </c>
      <c r="R33" s="666" t="s">
        <v>14</v>
      </c>
      <c r="S33" s="667">
        <f t="shared" si="12"/>
        <v>100</v>
      </c>
      <c r="T33" s="666" t="s">
        <v>14</v>
      </c>
      <c r="U33" s="667">
        <f t="shared" si="13"/>
        <v>100</v>
      </c>
      <c r="V33" s="666" t="s">
        <v>14</v>
      </c>
      <c r="W33" s="667">
        <f t="shared" si="14"/>
        <v>100</v>
      </c>
      <c r="X33" s="1264"/>
      <c r="Y33" s="3397"/>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97"/>
      <c r="Q34" s="1262">
        <f t="shared" si="11"/>
        <v>111</v>
      </c>
      <c r="R34" s="666" t="s">
        <v>14</v>
      </c>
      <c r="S34" s="667">
        <f t="shared" si="12"/>
        <v>100</v>
      </c>
      <c r="T34" s="666" t="s">
        <v>14</v>
      </c>
      <c r="U34" s="667">
        <f t="shared" si="13"/>
        <v>100</v>
      </c>
      <c r="V34" s="666" t="s">
        <v>14</v>
      </c>
      <c r="W34" s="667">
        <f t="shared" si="14"/>
        <v>100</v>
      </c>
      <c r="X34" s="1264"/>
      <c r="Y34" s="3397"/>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90" t="str">
        <f>A35</f>
        <v>成交单价（元/平方米）</v>
      </c>
      <c r="Q35" s="3390"/>
      <c r="R35" s="3391">
        <f>E35</f>
        <v>0</v>
      </c>
      <c r="S35" s="3391"/>
      <c r="T35" s="3391">
        <f>G35</f>
        <v>0</v>
      </c>
      <c r="U35" s="3391"/>
      <c r="V35" s="3391">
        <f>I35</f>
        <v>0</v>
      </c>
      <c r="W35" s="3391"/>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87" t="str">
        <f>A37</f>
        <v>估价对象XX用房的比较价值（楼面单价，元/平方米）</v>
      </c>
      <c r="Q37" s="3388"/>
      <c r="R37" s="3448" t="e">
        <f>IF(F1="售价",ROUND(IF(D36="简单平均",AVERAGE(R36:W36),R36*F36+T36*H36+V36*J36),0),ROUND(IF(D36="简单平均",AVERAGE(R36:V36),R36*F36+T36*H36+V36*J36),1))</f>
        <v>#DIV/0!</v>
      </c>
      <c r="S37" s="3448"/>
      <c r="T37" s="3448"/>
      <c r="U37" s="3448"/>
      <c r="V37" s="3448"/>
      <c r="W37" s="3448"/>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ht="15">
      <c r="A5" s="347"/>
      <c r="B5" s="348"/>
      <c r="C5" s="3423" t="s">
        <v>1673</v>
      </c>
      <c r="D5" s="3424"/>
      <c r="E5" s="3430" t="s">
        <v>1674</v>
      </c>
      <c r="F5" s="3431"/>
      <c r="G5" s="3423" t="s">
        <v>1675</v>
      </c>
      <c r="H5" s="3424"/>
      <c r="I5" s="3423" t="s">
        <v>1676</v>
      </c>
      <c r="J5" s="3424"/>
      <c r="K5" s="536"/>
      <c r="L5" s="2486"/>
      <c r="M5" s="2487"/>
      <c r="N5" s="2487"/>
      <c r="O5" s="2487"/>
      <c r="P5" s="3411"/>
      <c r="Q5" s="3412"/>
      <c r="R5" s="3417"/>
      <c r="S5" s="3418"/>
      <c r="T5" s="3417"/>
      <c r="U5" s="3418"/>
      <c r="V5" s="3391"/>
      <c r="W5" s="3391"/>
      <c r="X5" s="1264"/>
      <c r="Y5" s="3417"/>
      <c r="Z5" s="3418"/>
      <c r="AA5" s="3403"/>
      <c r="AB5" s="3403"/>
      <c r="AC5" s="3403"/>
    </row>
    <row r="6" spans="1:29" ht="15.75" thickBot="1">
      <c r="A6" s="349"/>
      <c r="B6" s="350"/>
      <c r="C6" s="3421" t="s">
        <v>1677</v>
      </c>
      <c r="D6" s="3422"/>
      <c r="E6" s="3428" t="s">
        <v>1677</v>
      </c>
      <c r="F6" s="3429"/>
      <c r="G6" s="3421" t="s">
        <v>1677</v>
      </c>
      <c r="H6" s="3422"/>
      <c r="I6" s="3421" t="s">
        <v>1677</v>
      </c>
      <c r="J6" s="3422"/>
      <c r="K6" s="536" t="s">
        <v>1678</v>
      </c>
      <c r="L6" s="2486"/>
      <c r="M6" s="2487"/>
      <c r="N6" s="2487"/>
      <c r="O6" s="2487"/>
      <c r="P6" s="3413"/>
      <c r="Q6" s="3414"/>
      <c r="R6" s="3417"/>
      <c r="S6" s="3418"/>
      <c r="T6" s="3419"/>
      <c r="U6" s="3420"/>
      <c r="V6" s="3391"/>
      <c r="W6" s="3391"/>
      <c r="X6" s="1264"/>
      <c r="Y6" s="3419"/>
      <c r="Z6" s="3420"/>
      <c r="AA6" s="3404"/>
      <c r="AB6" s="3404"/>
      <c r="AC6" s="3404"/>
    </row>
    <row r="7" spans="1:29" s="102" customFormat="1" ht="15.75" thickBot="1">
      <c r="A7" s="351" t="s">
        <v>1679</v>
      </c>
      <c r="B7" s="352"/>
      <c r="C7" s="353">
        <f>'数据-取费表'!B2</f>
        <v>45740</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2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25" t="s">
        <v>1683</v>
      </c>
      <c r="Q8" s="3426"/>
      <c r="R8" s="663" t="s">
        <v>14</v>
      </c>
      <c r="S8" s="664">
        <f t="shared" si="0"/>
        <v>0</v>
      </c>
      <c r="T8" s="663" t="s">
        <v>14</v>
      </c>
      <c r="U8" s="664">
        <f t="shared" si="1"/>
        <v>0</v>
      </c>
      <c r="V8" s="663" t="s">
        <v>14</v>
      </c>
      <c r="W8" s="664">
        <f t="shared" si="2"/>
        <v>0</v>
      </c>
      <c r="X8" s="665"/>
      <c r="Y8" s="3425" t="s">
        <v>1683</v>
      </c>
      <c r="Z8" s="3426"/>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0"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124</v>
      </c>
      <c r="G10" s="401"/>
      <c r="H10" s="118">
        <f>ROUND(100/'数据-取费表'!G16,0)</f>
        <v>124</v>
      </c>
      <c r="I10" s="401"/>
      <c r="J10" s="118">
        <f>ROUND(100/'数据-取费表'!G16,0)</f>
        <v>124</v>
      </c>
      <c r="K10" s="591"/>
      <c r="L10" s="2489"/>
      <c r="M10" s="2490"/>
      <c r="N10" s="2490"/>
      <c r="O10" s="2541"/>
      <c r="P10" s="3390"/>
      <c r="Q10" s="529" t="str">
        <f t="shared" si="6"/>
        <v>土地使用年限（年）</v>
      </c>
      <c r="R10" s="663" t="s">
        <v>14</v>
      </c>
      <c r="S10" s="664">
        <f t="shared" si="0"/>
        <v>124</v>
      </c>
      <c r="T10" s="663" t="s">
        <v>14</v>
      </c>
      <c r="U10" s="664">
        <f t="shared" si="1"/>
        <v>124</v>
      </c>
      <c r="V10" s="663" t="s">
        <v>14</v>
      </c>
      <c r="W10" s="664">
        <f t="shared" si="2"/>
        <v>124</v>
      </c>
      <c r="X10" s="665"/>
      <c r="Y10" s="3246"/>
      <c r="Z10" s="50" t="str">
        <f t="shared" si="7"/>
        <v>土地使用年限（年）</v>
      </c>
      <c r="AA10" s="50">
        <f t="shared" si="3"/>
        <v>0.80645161290322576</v>
      </c>
      <c r="AB10" s="50">
        <f t="shared" si="4"/>
        <v>0.80645161290322576</v>
      </c>
      <c r="AC10" s="50">
        <f t="shared" si="5"/>
        <v>0.80645161290322576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90"/>
      <c r="Q11" s="529" t="str">
        <f t="shared" si="6"/>
        <v>容积率</v>
      </c>
      <c r="R11" s="663" t="s">
        <v>14</v>
      </c>
      <c r="S11" s="664" t="e">
        <f t="shared" si="0"/>
        <v>#N/A</v>
      </c>
      <c r="T11" s="663" t="s">
        <v>14</v>
      </c>
      <c r="U11" s="664" t="e">
        <f t="shared" si="1"/>
        <v>#N/A</v>
      </c>
      <c r="V11" s="663" t="s">
        <v>14</v>
      </c>
      <c r="W11" s="664" t="e">
        <f t="shared" si="2"/>
        <v>#N/A</v>
      </c>
      <c r="X11" s="665"/>
      <c r="Y11" s="3246"/>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90"/>
      <c r="Q12" s="529" t="str">
        <f t="shared" si="6"/>
        <v>配建</v>
      </c>
      <c r="R12" s="663" t="s">
        <v>14</v>
      </c>
      <c r="S12" s="664">
        <f t="shared" si="0"/>
        <v>100</v>
      </c>
      <c r="T12" s="663" t="s">
        <v>14</v>
      </c>
      <c r="U12" s="664">
        <f t="shared" si="1"/>
        <v>100</v>
      </c>
      <c r="V12" s="663" t="s">
        <v>14</v>
      </c>
      <c r="W12" s="664">
        <f t="shared" si="2"/>
        <v>100</v>
      </c>
      <c r="X12" s="665"/>
      <c r="Y12" s="324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90"/>
      <c r="Q13" s="529">
        <f t="shared" si="6"/>
        <v>111</v>
      </c>
      <c r="R13" s="663" t="s">
        <v>14</v>
      </c>
      <c r="S13" s="664">
        <f t="shared" si="0"/>
        <v>100</v>
      </c>
      <c r="T13" s="663" t="s">
        <v>14</v>
      </c>
      <c r="U13" s="664">
        <f t="shared" si="1"/>
        <v>100</v>
      </c>
      <c r="V13" s="663" t="s">
        <v>14</v>
      </c>
      <c r="W13" s="664">
        <f t="shared" si="2"/>
        <v>100</v>
      </c>
      <c r="X13" s="665"/>
      <c r="Y13" s="3246"/>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90"/>
      <c r="Q14" s="529">
        <f t="shared" si="6"/>
        <v>111</v>
      </c>
      <c r="R14" s="663" t="s">
        <v>14</v>
      </c>
      <c r="S14" s="664">
        <f t="shared" si="0"/>
        <v>100</v>
      </c>
      <c r="T14" s="663" t="s">
        <v>14</v>
      </c>
      <c r="U14" s="664">
        <f t="shared" si="1"/>
        <v>100</v>
      </c>
      <c r="V14" s="663" t="s">
        <v>14</v>
      </c>
      <c r="W14" s="664">
        <f t="shared" si="2"/>
        <v>100</v>
      </c>
      <c r="X14" s="665"/>
      <c r="Y14" s="3246"/>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92" t="s">
        <v>1691</v>
      </c>
      <c r="Q15" s="1262" t="str">
        <f t="shared" si="6"/>
        <v>居住社区成熟度</v>
      </c>
      <c r="R15" s="666" t="s">
        <v>14</v>
      </c>
      <c r="S15" s="667">
        <f t="shared" si="0"/>
        <v>100</v>
      </c>
      <c r="T15" s="666" t="s">
        <v>14</v>
      </c>
      <c r="U15" s="667">
        <f t="shared" si="1"/>
        <v>100</v>
      </c>
      <c r="V15" s="666" t="s">
        <v>14</v>
      </c>
      <c r="W15" s="667">
        <f t="shared" si="2"/>
        <v>100</v>
      </c>
      <c r="X15" s="1264"/>
      <c r="Y15" s="3392"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93"/>
      <c r="Q16" s="1262"/>
      <c r="R16" s="666"/>
      <c r="S16" s="667"/>
      <c r="T16" s="666"/>
      <c r="U16" s="667"/>
      <c r="V16" s="666"/>
      <c r="W16" s="667"/>
      <c r="X16" s="1264"/>
      <c r="Y16" s="3393"/>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93"/>
      <c r="Q17" s="1262" t="str">
        <f>B17</f>
        <v>商业繁华度</v>
      </c>
      <c r="R17" s="666" t="s">
        <v>14</v>
      </c>
      <c r="S17" s="667">
        <f>F17</f>
        <v>100</v>
      </c>
      <c r="T17" s="666" t="s">
        <v>14</v>
      </c>
      <c r="U17" s="667">
        <f>H17</f>
        <v>100</v>
      </c>
      <c r="V17" s="666" t="s">
        <v>14</v>
      </c>
      <c r="W17" s="667">
        <f>J17</f>
        <v>100</v>
      </c>
      <c r="X17" s="1264"/>
      <c r="Y17" s="3393"/>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93"/>
      <c r="Q18" s="1262"/>
      <c r="R18" s="666"/>
      <c r="S18" s="667"/>
      <c r="T18" s="666"/>
      <c r="U18" s="667"/>
      <c r="V18" s="666"/>
      <c r="W18" s="667"/>
      <c r="X18" s="1264"/>
      <c r="Y18" s="3393"/>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93"/>
      <c r="Q19" s="1262" t="str">
        <f>B19</f>
        <v>办公集聚程度</v>
      </c>
      <c r="R19" s="666" t="s">
        <v>14</v>
      </c>
      <c r="S19" s="667">
        <f>F19</f>
        <v>100</v>
      </c>
      <c r="T19" s="666" t="s">
        <v>14</v>
      </c>
      <c r="U19" s="667">
        <f>H19</f>
        <v>100</v>
      </c>
      <c r="V19" s="666" t="s">
        <v>14</v>
      </c>
      <c r="W19" s="667">
        <f>J19</f>
        <v>100</v>
      </c>
      <c r="X19" s="1264"/>
      <c r="Y19" s="3393"/>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93"/>
      <c r="Q20" s="1262"/>
      <c r="R20" s="666"/>
      <c r="S20" s="667"/>
      <c r="T20" s="666"/>
      <c r="U20" s="667"/>
      <c r="V20" s="666"/>
      <c r="W20" s="667"/>
      <c r="X20" s="1264"/>
      <c r="Y20" s="3393"/>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93"/>
      <c r="Q21" s="1262" t="str">
        <f>B21</f>
        <v>交通便捷度</v>
      </c>
      <c r="R21" s="666" t="s">
        <v>14</v>
      </c>
      <c r="S21" s="667">
        <f>F21</f>
        <v>100</v>
      </c>
      <c r="T21" s="666" t="s">
        <v>14</v>
      </c>
      <c r="U21" s="667">
        <f>H21</f>
        <v>100</v>
      </c>
      <c r="V21" s="666" t="s">
        <v>14</v>
      </c>
      <c r="W21" s="667">
        <f>J21</f>
        <v>100</v>
      </c>
      <c r="X21" s="1264"/>
      <c r="Y21" s="3393"/>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93"/>
      <c r="Q22" s="1262"/>
      <c r="R22" s="666"/>
      <c r="S22" s="667"/>
      <c r="T22" s="666"/>
      <c r="U22" s="667"/>
      <c r="V22" s="666"/>
      <c r="W22" s="667"/>
      <c r="X22" s="1264"/>
      <c r="Y22" s="3393"/>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93"/>
      <c r="Q23" s="1262" t="str">
        <f t="shared" ref="Q23:Q37" si="8">B23</f>
        <v>区域土地利用方向</v>
      </c>
      <c r="R23" s="666" t="s">
        <v>14</v>
      </c>
      <c r="S23" s="667">
        <f>F23</f>
        <v>100</v>
      </c>
      <c r="T23" s="666" t="s">
        <v>14</v>
      </c>
      <c r="U23" s="667">
        <f>H23</f>
        <v>100</v>
      </c>
      <c r="V23" s="666" t="s">
        <v>14</v>
      </c>
      <c r="W23" s="667">
        <f>J23</f>
        <v>100</v>
      </c>
      <c r="X23" s="1264"/>
      <c r="Y23" s="3393"/>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93"/>
      <c r="Q24" s="1262"/>
      <c r="R24" s="666"/>
      <c r="S24" s="667"/>
      <c r="T24" s="666"/>
      <c r="U24" s="667"/>
      <c r="V24" s="666"/>
      <c r="W24" s="667"/>
      <c r="X24" s="1264"/>
      <c r="Y24" s="3393"/>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93"/>
      <c r="Q25" s="1262" t="str">
        <f t="shared" si="8"/>
        <v>自然及人文环境状况</v>
      </c>
      <c r="R25" s="666" t="s">
        <v>14</v>
      </c>
      <c r="S25" s="667">
        <f>F25</f>
        <v>100</v>
      </c>
      <c r="T25" s="666" t="s">
        <v>14</v>
      </c>
      <c r="U25" s="667">
        <f>H25</f>
        <v>100</v>
      </c>
      <c r="V25" s="666" t="s">
        <v>14</v>
      </c>
      <c r="W25" s="667">
        <f>J25</f>
        <v>100</v>
      </c>
      <c r="X25" s="1264"/>
      <c r="Y25" s="3393"/>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93"/>
      <c r="Q26" s="1262"/>
      <c r="R26" s="666"/>
      <c r="S26" s="667"/>
      <c r="T26" s="666"/>
      <c r="U26" s="667"/>
      <c r="V26" s="666"/>
      <c r="W26" s="667"/>
      <c r="X26" s="1264"/>
      <c r="Y26" s="3393"/>
      <c r="Z26" s="1263"/>
      <c r="AA26" s="1263">
        <v>1</v>
      </c>
      <c r="AB26" s="1263">
        <v>1</v>
      </c>
      <c r="AC26" s="1263">
        <v>1</v>
      </c>
    </row>
    <row r="27" spans="1:29" s="102"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93"/>
      <c r="Q27" s="529" t="str">
        <f t="shared" si="8"/>
        <v>公共配套设施</v>
      </c>
      <c r="R27" s="663" t="s">
        <v>14</v>
      </c>
      <c r="S27" s="664">
        <f>F27</f>
        <v>100</v>
      </c>
      <c r="T27" s="663" t="s">
        <v>14</v>
      </c>
      <c r="U27" s="664">
        <f>H27</f>
        <v>100</v>
      </c>
      <c r="V27" s="663" t="s">
        <v>14</v>
      </c>
      <c r="W27" s="664">
        <f>J27</f>
        <v>100</v>
      </c>
      <c r="X27" s="665"/>
      <c r="Y27" s="3393"/>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393"/>
      <c r="Q28" s="529"/>
      <c r="R28" s="663"/>
      <c r="S28" s="664"/>
      <c r="T28" s="663"/>
      <c r="U28" s="664"/>
      <c r="V28" s="663"/>
      <c r="W28" s="664"/>
      <c r="X28" s="665"/>
      <c r="Y28" s="3393"/>
      <c r="Z28" s="50"/>
      <c r="AA28" s="1263">
        <v>1</v>
      </c>
      <c r="AB28" s="1263">
        <v>1</v>
      </c>
      <c r="AC28" s="1263">
        <v>1</v>
      </c>
    </row>
    <row r="29" spans="1:29" s="102"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93"/>
      <c r="Q29" s="529" t="str">
        <f t="shared" ref="Q29" si="9">B29</f>
        <v>基础设施水平</v>
      </c>
      <c r="R29" s="663" t="s">
        <v>14</v>
      </c>
      <c r="S29" s="664">
        <f>F29</f>
        <v>100</v>
      </c>
      <c r="T29" s="663" t="s">
        <v>14</v>
      </c>
      <c r="U29" s="664">
        <f>H29</f>
        <v>100</v>
      </c>
      <c r="V29" s="663" t="s">
        <v>14</v>
      </c>
      <c r="W29" s="664">
        <f>J29</f>
        <v>100</v>
      </c>
      <c r="X29" s="665"/>
      <c r="Y29" s="3393"/>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393"/>
      <c r="Q30" s="529"/>
      <c r="R30" s="663"/>
      <c r="S30" s="664"/>
      <c r="T30" s="663"/>
      <c r="U30" s="664"/>
      <c r="V30" s="663"/>
      <c r="W30" s="664"/>
      <c r="X30" s="665"/>
      <c r="Y30" s="3393"/>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9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3"/>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93"/>
      <c r="Q32" s="1262" t="str">
        <f t="shared" si="8"/>
        <v>毗邻道路的类型与等级</v>
      </c>
      <c r="R32" s="666" t="s">
        <v>14</v>
      </c>
      <c r="S32" s="667">
        <f t="shared" si="10"/>
        <v>100</v>
      </c>
      <c r="T32" s="666" t="s">
        <v>14</v>
      </c>
      <c r="U32" s="667">
        <f t="shared" si="11"/>
        <v>100</v>
      </c>
      <c r="V32" s="666" t="s">
        <v>14</v>
      </c>
      <c r="W32" s="667">
        <f t="shared" si="12"/>
        <v>100</v>
      </c>
      <c r="X32" s="1264"/>
      <c r="Y32" s="3393"/>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93"/>
      <c r="Q33" s="1262"/>
      <c r="R33" s="666"/>
      <c r="S33" s="667"/>
      <c r="T33" s="666"/>
      <c r="U33" s="667"/>
      <c r="V33" s="666"/>
      <c r="W33" s="667"/>
      <c r="X33" s="1264"/>
      <c r="Y33" s="3393"/>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93"/>
      <c r="Q34" s="1262" t="str">
        <f t="shared" si="8"/>
        <v>土地级别</v>
      </c>
      <c r="R34" s="666" t="s">
        <v>14</v>
      </c>
      <c r="S34" s="667">
        <f t="shared" si="10"/>
        <v>100</v>
      </c>
      <c r="T34" s="666" t="s">
        <v>14</v>
      </c>
      <c r="U34" s="667">
        <f t="shared" si="11"/>
        <v>100</v>
      </c>
      <c r="V34" s="666" t="s">
        <v>14</v>
      </c>
      <c r="W34" s="667">
        <f t="shared" si="12"/>
        <v>100</v>
      </c>
      <c r="X34" s="1264"/>
      <c r="Y34" s="339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93"/>
      <c r="Q35" s="1262">
        <f t="shared" si="8"/>
        <v>111</v>
      </c>
      <c r="R35" s="666" t="s">
        <v>14</v>
      </c>
      <c r="S35" s="667">
        <f t="shared" si="10"/>
        <v>100</v>
      </c>
      <c r="T35" s="666" t="s">
        <v>14</v>
      </c>
      <c r="U35" s="667">
        <f t="shared" si="11"/>
        <v>100</v>
      </c>
      <c r="V35" s="666" t="s">
        <v>14</v>
      </c>
      <c r="W35" s="667">
        <f t="shared" si="12"/>
        <v>100</v>
      </c>
      <c r="X35" s="1264"/>
      <c r="Y35" s="339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47" t="s">
        <v>1696</v>
      </c>
      <c r="Q36" s="1262">
        <f t="shared" si="8"/>
        <v>111</v>
      </c>
      <c r="R36" s="666" t="s">
        <v>14</v>
      </c>
      <c r="S36" s="667">
        <f t="shared" si="10"/>
        <v>100</v>
      </c>
      <c r="T36" s="666" t="s">
        <v>14</v>
      </c>
      <c r="U36" s="667">
        <f t="shared" si="11"/>
        <v>100</v>
      </c>
      <c r="V36" s="666" t="s">
        <v>14</v>
      </c>
      <c r="W36" s="667">
        <f t="shared" si="12"/>
        <v>100</v>
      </c>
      <c r="X36" s="1264"/>
      <c r="Y36" s="3397"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97"/>
      <c r="Q37" s="1262">
        <f t="shared" si="8"/>
        <v>111</v>
      </c>
      <c r="R37" s="668" t="s">
        <v>14</v>
      </c>
      <c r="S37" s="669">
        <f t="shared" si="10"/>
        <v>100</v>
      </c>
      <c r="T37" s="668" t="s">
        <v>14</v>
      </c>
      <c r="U37" s="669">
        <f t="shared" si="11"/>
        <v>100</v>
      </c>
      <c r="V37" s="668" t="s">
        <v>14</v>
      </c>
      <c r="W37" s="669">
        <f t="shared" si="12"/>
        <v>100</v>
      </c>
      <c r="X37" s="670"/>
      <c r="Y37" s="3397"/>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97"/>
      <c r="Q38" s="1262" t="str">
        <f>B38</f>
        <v>宗地面积</v>
      </c>
      <c r="R38" s="666" t="s">
        <v>14</v>
      </c>
      <c r="S38" s="667" t="e">
        <f t="shared" si="10"/>
        <v>#N/A</v>
      </c>
      <c r="T38" s="666" t="s">
        <v>14</v>
      </c>
      <c r="U38" s="667" t="e">
        <f t="shared" si="11"/>
        <v>#N/A</v>
      </c>
      <c r="V38" s="666" t="s">
        <v>14</v>
      </c>
      <c r="W38" s="667" t="e">
        <f t="shared" si="12"/>
        <v>#N/A</v>
      </c>
      <c r="X38" s="1264"/>
      <c r="Y38" s="3397"/>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97"/>
      <c r="Q39" s="1262" t="str">
        <f t="shared" ref="Q39:Q45" si="14">B39</f>
        <v>宗地形状</v>
      </c>
      <c r="R39" s="666" t="s">
        <v>14</v>
      </c>
      <c r="S39" s="667">
        <f t="shared" si="10"/>
        <v>100</v>
      </c>
      <c r="T39" s="666" t="s">
        <v>14</v>
      </c>
      <c r="U39" s="667">
        <f t="shared" si="11"/>
        <v>100</v>
      </c>
      <c r="V39" s="666" t="s">
        <v>14</v>
      </c>
      <c r="W39" s="667">
        <f t="shared" si="12"/>
        <v>100</v>
      </c>
      <c r="X39" s="1264"/>
      <c r="Y39" s="3397"/>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97"/>
      <c r="Q40" s="1262" t="str">
        <f t="shared" si="14"/>
        <v>临街宽度及深度</v>
      </c>
      <c r="R40" s="666" t="s">
        <v>14</v>
      </c>
      <c r="S40" s="667">
        <f t="shared" si="10"/>
        <v>100</v>
      </c>
      <c r="T40" s="666" t="s">
        <v>14</v>
      </c>
      <c r="U40" s="667">
        <f t="shared" si="11"/>
        <v>100</v>
      </c>
      <c r="V40" s="666" t="s">
        <v>14</v>
      </c>
      <c r="W40" s="667">
        <f t="shared" si="12"/>
        <v>100</v>
      </c>
      <c r="X40" s="1264"/>
      <c r="Y40" s="3397"/>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97"/>
      <c r="Q41" s="1262" t="str">
        <f t="shared" si="14"/>
        <v>宗地开发程度</v>
      </c>
      <c r="R41" s="663" t="s">
        <v>14</v>
      </c>
      <c r="S41" s="664">
        <f t="shared" si="10"/>
        <v>100</v>
      </c>
      <c r="T41" s="663" t="s">
        <v>14</v>
      </c>
      <c r="U41" s="664">
        <f t="shared" si="11"/>
        <v>100</v>
      </c>
      <c r="V41" s="663" t="s">
        <v>14</v>
      </c>
      <c r="W41" s="664">
        <f t="shared" si="12"/>
        <v>100</v>
      </c>
      <c r="X41" s="665"/>
      <c r="Y41" s="3397"/>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97" t="s">
        <v>1696</v>
      </c>
      <c r="Q42" s="1262" t="str">
        <f t="shared" si="14"/>
        <v>工程地质条件</v>
      </c>
      <c r="R42" s="666" t="s">
        <v>14</v>
      </c>
      <c r="S42" s="667">
        <f t="shared" si="10"/>
        <v>100</v>
      </c>
      <c r="T42" s="666" t="s">
        <v>14</v>
      </c>
      <c r="U42" s="667">
        <f t="shared" si="11"/>
        <v>100</v>
      </c>
      <c r="V42" s="666" t="s">
        <v>14</v>
      </c>
      <c r="W42" s="667">
        <f t="shared" si="12"/>
        <v>100</v>
      </c>
      <c r="X42" s="1264"/>
      <c r="Y42" s="3397"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97"/>
      <c r="Q43" s="1262">
        <f t="shared" si="14"/>
        <v>111</v>
      </c>
      <c r="R43" s="666" t="s">
        <v>14</v>
      </c>
      <c r="S43" s="667">
        <f t="shared" si="10"/>
        <v>100</v>
      </c>
      <c r="T43" s="666" t="s">
        <v>14</v>
      </c>
      <c r="U43" s="667">
        <f t="shared" si="11"/>
        <v>100</v>
      </c>
      <c r="V43" s="666" t="s">
        <v>14</v>
      </c>
      <c r="W43" s="667">
        <f t="shared" si="12"/>
        <v>100</v>
      </c>
      <c r="X43" s="1264"/>
      <c r="Y43" s="339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97"/>
      <c r="Q44" s="1262">
        <f t="shared" si="14"/>
        <v>111</v>
      </c>
      <c r="R44" s="666" t="s">
        <v>14</v>
      </c>
      <c r="S44" s="667">
        <f t="shared" si="10"/>
        <v>100</v>
      </c>
      <c r="T44" s="666" t="s">
        <v>14</v>
      </c>
      <c r="U44" s="667">
        <f t="shared" si="11"/>
        <v>100</v>
      </c>
      <c r="V44" s="666" t="s">
        <v>14</v>
      </c>
      <c r="W44" s="667">
        <f t="shared" si="12"/>
        <v>100</v>
      </c>
      <c r="X44" s="1264"/>
      <c r="Y44" s="3397"/>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97"/>
      <c r="Q45" s="1262">
        <f t="shared" si="14"/>
        <v>111</v>
      </c>
      <c r="R45" s="668" t="s">
        <v>14</v>
      </c>
      <c r="S45" s="669">
        <f t="shared" si="10"/>
        <v>100</v>
      </c>
      <c r="T45" s="668" t="s">
        <v>14</v>
      </c>
      <c r="U45" s="669">
        <f t="shared" si="11"/>
        <v>100</v>
      </c>
      <c r="V45" s="668" t="s">
        <v>14</v>
      </c>
      <c r="W45" s="669">
        <f t="shared" si="12"/>
        <v>100</v>
      </c>
      <c r="X45" s="670"/>
      <c r="Y45" s="3397"/>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390" t="str">
        <f>A46</f>
        <v>成交单价</v>
      </c>
      <c r="Q46" s="3390"/>
      <c r="R46" s="3391">
        <f>E46</f>
        <v>0</v>
      </c>
      <c r="S46" s="3391"/>
      <c r="T46" s="3391">
        <f>G46</f>
        <v>0</v>
      </c>
      <c r="U46" s="3391"/>
      <c r="V46" s="3391">
        <f>I46</f>
        <v>0</v>
      </c>
      <c r="W46" s="3391"/>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390" t="str">
        <f>A47</f>
        <v>比较价值（元/平方米）</v>
      </c>
      <c r="Q47" s="3390"/>
      <c r="R47" s="3449" t="e">
        <f>ROUND(PRODUCT(R46,AA7:AA45),0)</f>
        <v>#DIV/0!</v>
      </c>
      <c r="S47" s="3449"/>
      <c r="T47" s="3449" t="e">
        <f>ROUND(PRODUCT(T46,AB7:AB45),0)</f>
        <v>#DIV/0!</v>
      </c>
      <c r="U47" s="3449"/>
      <c r="V47" s="3449" t="e">
        <f>ROUND(PRODUCT(V46,AC7:AC45),0)</f>
        <v>#DIV/0!</v>
      </c>
      <c r="W47" s="3449"/>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387" t="str">
        <f>A48</f>
        <v>估价对象XX用房的比较价值（楼面单价，元/平方米）</v>
      </c>
      <c r="Q48" s="3388"/>
      <c r="R48" s="3450" t="e">
        <f>ROUND(IF(D47="简单平均",AVERAGE(R47:W47),R47*F47+T47*H47+V47*J47),0)</f>
        <v>#DIV/0!</v>
      </c>
      <c r="S48" s="3450"/>
      <c r="T48" s="3450"/>
      <c r="U48" s="3450"/>
      <c r="V48" s="3450"/>
      <c r="W48" s="3450"/>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05" t="s">
        <v>1887</v>
      </c>
      <c r="H55" s="3451"/>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15950.359999999999</v>
      </c>
      <c r="F56" s="832" t="e">
        <f t="shared" ref="F56:F64" si="15">ROUND(B56*E56/10000,0)</f>
        <v>#DIV/0!</v>
      </c>
      <c r="G56" s="3401"/>
      <c r="H56" s="3390"/>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15950.359999999999</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05" t="s">
        <v>1770</v>
      </c>
      <c r="D4" s="3406"/>
      <c r="E4" s="3407" t="s">
        <v>1771</v>
      </c>
      <c r="F4" s="3408"/>
      <c r="G4" s="3405" t="s">
        <v>1772</v>
      </c>
      <c r="H4" s="3406"/>
      <c r="I4" s="3405" t="s">
        <v>1773</v>
      </c>
      <c r="J4" s="3406"/>
      <c r="K4" s="536" t="s">
        <v>1774</v>
      </c>
      <c r="L4" s="2486"/>
      <c r="M4" s="2487"/>
      <c r="N4" s="2487"/>
      <c r="O4" s="2487"/>
      <c r="P4" s="3409" t="s">
        <v>1775</v>
      </c>
      <c r="Q4" s="3410"/>
      <c r="R4" s="3415" t="s">
        <v>1771</v>
      </c>
      <c r="S4" s="3416"/>
      <c r="T4" s="3415" t="s">
        <v>1772</v>
      </c>
      <c r="U4" s="3416"/>
      <c r="V4" s="3391" t="s">
        <v>1773</v>
      </c>
      <c r="W4" s="3391"/>
      <c r="X4" s="1264"/>
      <c r="Y4" s="3415" t="s">
        <v>1775</v>
      </c>
      <c r="Z4" s="3416"/>
      <c r="AA4" s="3402" t="s">
        <v>1771</v>
      </c>
      <c r="AB4" s="3403" t="s">
        <v>1772</v>
      </c>
      <c r="AC4" s="3402" t="s">
        <v>1773</v>
      </c>
    </row>
    <row r="5" spans="1:29" ht="15">
      <c r="A5" s="347"/>
      <c r="B5" s="348"/>
      <c r="C5" s="3423" t="s">
        <v>1673</v>
      </c>
      <c r="D5" s="3424"/>
      <c r="E5" s="3430" t="s">
        <v>1674</v>
      </c>
      <c r="F5" s="3431"/>
      <c r="G5" s="3423" t="s">
        <v>1675</v>
      </c>
      <c r="H5" s="3424"/>
      <c r="I5" s="3423" t="s">
        <v>1676</v>
      </c>
      <c r="J5" s="3424"/>
      <c r="K5" s="536"/>
      <c r="L5" s="2486"/>
      <c r="M5" s="2487"/>
      <c r="N5" s="2487"/>
      <c r="O5" s="2487"/>
      <c r="P5" s="3411"/>
      <c r="Q5" s="3412"/>
      <c r="R5" s="3417"/>
      <c r="S5" s="3418"/>
      <c r="T5" s="3417"/>
      <c r="U5" s="3418"/>
      <c r="V5" s="3391"/>
      <c r="W5" s="3391"/>
      <c r="X5" s="1264"/>
      <c r="Y5" s="3417"/>
      <c r="Z5" s="3418"/>
      <c r="AA5" s="3403"/>
      <c r="AB5" s="3403"/>
      <c r="AC5" s="3403"/>
    </row>
    <row r="6" spans="1:29" ht="15.75" thickBot="1">
      <c r="A6" s="349"/>
      <c r="B6" s="350"/>
      <c r="C6" s="3452" t="s">
        <v>1919</v>
      </c>
      <c r="D6" s="3453"/>
      <c r="E6" s="3454" t="s">
        <v>1919</v>
      </c>
      <c r="F6" s="3455"/>
      <c r="G6" s="3452" t="s">
        <v>1919</v>
      </c>
      <c r="H6" s="3453"/>
      <c r="I6" s="3452" t="s">
        <v>1919</v>
      </c>
      <c r="J6" s="3453"/>
      <c r="K6" s="536" t="s">
        <v>1678</v>
      </c>
      <c r="L6" s="2486"/>
      <c r="M6" s="2487"/>
      <c r="N6" s="2487"/>
      <c r="O6" s="2487"/>
      <c r="P6" s="3413"/>
      <c r="Q6" s="3414"/>
      <c r="R6" s="3417"/>
      <c r="S6" s="3418"/>
      <c r="T6" s="3419"/>
      <c r="U6" s="3420"/>
      <c r="V6" s="3391"/>
      <c r="W6" s="3391"/>
      <c r="X6" s="1264"/>
      <c r="Y6" s="3419"/>
      <c r="Z6" s="3420"/>
      <c r="AA6" s="3404"/>
      <c r="AB6" s="3404"/>
      <c r="AC6" s="3404"/>
    </row>
    <row r="7" spans="1:29" s="102" customFormat="1" ht="15.75" thickBot="1">
      <c r="A7" s="351" t="s">
        <v>1679</v>
      </c>
      <c r="B7" s="352"/>
      <c r="C7" s="353">
        <f>'数据-取费表'!B2</f>
        <v>45740</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25" t="s">
        <v>1680</v>
      </c>
      <c r="Q7" s="3427"/>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25" t="s">
        <v>1683</v>
      </c>
      <c r="Q8" s="3426"/>
      <c r="R8" s="663" t="s">
        <v>14</v>
      </c>
      <c r="S8" s="664">
        <f t="shared" si="0"/>
        <v>0</v>
      </c>
      <c r="T8" s="663" t="s">
        <v>14</v>
      </c>
      <c r="U8" s="664">
        <f t="shared" si="1"/>
        <v>0</v>
      </c>
      <c r="V8" s="663" t="s">
        <v>14</v>
      </c>
      <c r="W8" s="664">
        <f t="shared" si="2"/>
        <v>0</v>
      </c>
      <c r="X8" s="665"/>
      <c r="Y8" s="3425" t="s">
        <v>1683</v>
      </c>
      <c r="Z8" s="3426"/>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0" t="s">
        <v>1686</v>
      </c>
      <c r="Q9" s="529" t="str">
        <f t="shared" ref="Q9:Q15" si="6">B9</f>
        <v>用途</v>
      </c>
      <c r="R9" s="663" t="s">
        <v>14</v>
      </c>
      <c r="S9" s="664">
        <f t="shared" si="0"/>
        <v>100</v>
      </c>
      <c r="T9" s="663" t="s">
        <v>14</v>
      </c>
      <c r="U9" s="664">
        <f t="shared" si="1"/>
        <v>100</v>
      </c>
      <c r="V9" s="663" t="s">
        <v>14</v>
      </c>
      <c r="W9" s="664">
        <f t="shared" si="2"/>
        <v>100</v>
      </c>
      <c r="X9" s="665"/>
      <c r="Y9" s="32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124</v>
      </c>
      <c r="G10" s="370"/>
      <c r="H10" s="118">
        <f>ROUND(100/'数据-取费表'!G16,0)</f>
        <v>124</v>
      </c>
      <c r="I10" s="370"/>
      <c r="J10" s="118">
        <f>ROUND(100/'数据-取费表'!G16,0)</f>
        <v>124</v>
      </c>
      <c r="K10" s="591"/>
      <c r="L10" s="2489"/>
      <c r="M10" s="2490"/>
      <c r="N10" s="2490"/>
      <c r="O10" s="2541"/>
      <c r="P10" s="3390"/>
      <c r="Q10" s="529" t="str">
        <f t="shared" si="6"/>
        <v>土地使用年限（年）</v>
      </c>
      <c r="R10" s="663" t="s">
        <v>14</v>
      </c>
      <c r="S10" s="664">
        <f t="shared" si="0"/>
        <v>124</v>
      </c>
      <c r="T10" s="663" t="s">
        <v>14</v>
      </c>
      <c r="U10" s="664">
        <f t="shared" si="1"/>
        <v>124</v>
      </c>
      <c r="V10" s="663" t="s">
        <v>14</v>
      </c>
      <c r="W10" s="664">
        <f t="shared" si="2"/>
        <v>124</v>
      </c>
      <c r="X10" s="665"/>
      <c r="Y10" s="3246"/>
      <c r="Z10" s="50" t="str">
        <f t="shared" si="7"/>
        <v>土地使用年限（年）</v>
      </c>
      <c r="AA10" s="50">
        <f t="shared" si="3"/>
        <v>0.80645161290322576</v>
      </c>
      <c r="AB10" s="50">
        <f t="shared" si="4"/>
        <v>0.80645161290322576</v>
      </c>
      <c r="AC10" s="50">
        <f t="shared" si="5"/>
        <v>0.80645161290322576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90"/>
      <c r="Q11" s="529" t="str">
        <f t="shared" si="6"/>
        <v>容积率</v>
      </c>
      <c r="R11" s="663" t="s">
        <v>14</v>
      </c>
      <c r="S11" s="664" t="e">
        <f t="shared" si="0"/>
        <v>#N/A</v>
      </c>
      <c r="T11" s="663" t="s">
        <v>14</v>
      </c>
      <c r="U11" s="664" t="e">
        <f t="shared" si="1"/>
        <v>#N/A</v>
      </c>
      <c r="V11" s="663" t="s">
        <v>14</v>
      </c>
      <c r="W11" s="664" t="e">
        <f t="shared" si="2"/>
        <v>#N/A</v>
      </c>
      <c r="X11" s="665"/>
      <c r="Y11" s="3246"/>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90"/>
      <c r="Q12" s="529">
        <f t="shared" si="6"/>
        <v>111</v>
      </c>
      <c r="R12" s="663" t="s">
        <v>14</v>
      </c>
      <c r="S12" s="664">
        <f t="shared" si="0"/>
        <v>100</v>
      </c>
      <c r="T12" s="663" t="s">
        <v>14</v>
      </c>
      <c r="U12" s="664">
        <f t="shared" si="1"/>
        <v>100</v>
      </c>
      <c r="V12" s="663" t="s">
        <v>14</v>
      </c>
      <c r="W12" s="664">
        <f t="shared" si="2"/>
        <v>100</v>
      </c>
      <c r="X12" s="665"/>
      <c r="Y12" s="324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90"/>
      <c r="Q13" s="529">
        <f t="shared" si="6"/>
        <v>111</v>
      </c>
      <c r="R13" s="663" t="s">
        <v>14</v>
      </c>
      <c r="S13" s="664">
        <f t="shared" si="0"/>
        <v>100</v>
      </c>
      <c r="T13" s="663" t="s">
        <v>14</v>
      </c>
      <c r="U13" s="664">
        <f t="shared" si="1"/>
        <v>100</v>
      </c>
      <c r="V13" s="663" t="s">
        <v>14</v>
      </c>
      <c r="W13" s="664">
        <f t="shared" si="2"/>
        <v>100</v>
      </c>
      <c r="X13" s="665"/>
      <c r="Y13" s="3246"/>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90"/>
      <c r="Q14" s="529">
        <f t="shared" si="6"/>
        <v>111</v>
      </c>
      <c r="R14" s="663" t="s">
        <v>14</v>
      </c>
      <c r="S14" s="664">
        <f t="shared" si="0"/>
        <v>100</v>
      </c>
      <c r="T14" s="663" t="s">
        <v>14</v>
      </c>
      <c r="U14" s="664">
        <f t="shared" si="1"/>
        <v>100</v>
      </c>
      <c r="V14" s="663" t="s">
        <v>14</v>
      </c>
      <c r="W14" s="664">
        <f t="shared" si="2"/>
        <v>100</v>
      </c>
      <c r="X14" s="665"/>
      <c r="Y14" s="3246"/>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92" t="s">
        <v>1691</v>
      </c>
      <c r="Q15" s="1262" t="str">
        <f t="shared" si="6"/>
        <v>产业集聚程度</v>
      </c>
      <c r="R15" s="666" t="s">
        <v>14</v>
      </c>
      <c r="S15" s="667">
        <f t="shared" si="0"/>
        <v>100</v>
      </c>
      <c r="T15" s="666" t="s">
        <v>14</v>
      </c>
      <c r="U15" s="667">
        <f t="shared" si="1"/>
        <v>100</v>
      </c>
      <c r="V15" s="666" t="s">
        <v>14</v>
      </c>
      <c r="W15" s="667">
        <f t="shared" si="2"/>
        <v>100</v>
      </c>
      <c r="X15" s="1264"/>
      <c r="Y15" s="3392"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93"/>
      <c r="Q16" s="1262"/>
      <c r="R16" s="666"/>
      <c r="S16" s="667"/>
      <c r="T16" s="666"/>
      <c r="U16" s="667"/>
      <c r="V16" s="666"/>
      <c r="W16" s="667"/>
      <c r="X16" s="1264"/>
      <c r="Y16" s="3393"/>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93"/>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93"/>
      <c r="Q18" s="1262"/>
      <c r="R18" s="666"/>
      <c r="S18" s="667"/>
      <c r="T18" s="666"/>
      <c r="U18" s="667"/>
      <c r="V18" s="666"/>
      <c r="W18" s="667"/>
      <c r="X18" s="1264"/>
      <c r="Y18" s="3393"/>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93"/>
      <c r="Q19" s="1262" t="str">
        <f t="shared" ref="Q19:Q33" si="8">B19</f>
        <v>区域土地利用方向</v>
      </c>
      <c r="R19" s="666" t="s">
        <v>14</v>
      </c>
      <c r="S19" s="667">
        <f>F19</f>
        <v>100</v>
      </c>
      <c r="T19" s="666" t="s">
        <v>14</v>
      </c>
      <c r="U19" s="667">
        <f>H19</f>
        <v>100</v>
      </c>
      <c r="V19" s="666" t="s">
        <v>14</v>
      </c>
      <c r="W19" s="667">
        <f>J19</f>
        <v>100</v>
      </c>
      <c r="X19" s="1264"/>
      <c r="Y19" s="339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93"/>
      <c r="Q20" s="1262"/>
      <c r="R20" s="666"/>
      <c r="S20" s="667"/>
      <c r="T20" s="666"/>
      <c r="U20" s="667"/>
      <c r="V20" s="666"/>
      <c r="W20" s="667"/>
      <c r="X20" s="1264"/>
      <c r="Y20" s="3393"/>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93"/>
      <c r="Q21" s="1262" t="str">
        <f t="shared" si="8"/>
        <v>环境状况</v>
      </c>
      <c r="R21" s="666" t="s">
        <v>14</v>
      </c>
      <c r="S21" s="667">
        <f>F21</f>
        <v>100</v>
      </c>
      <c r="T21" s="666" t="s">
        <v>14</v>
      </c>
      <c r="U21" s="667">
        <f>H21</f>
        <v>100</v>
      </c>
      <c r="V21" s="666" t="s">
        <v>14</v>
      </c>
      <c r="W21" s="667">
        <f>J21</f>
        <v>100</v>
      </c>
      <c r="X21" s="1264"/>
      <c r="Y21" s="339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93"/>
      <c r="Q22" s="1262"/>
      <c r="R22" s="666"/>
      <c r="S22" s="667"/>
      <c r="T22" s="666"/>
      <c r="U22" s="667"/>
      <c r="V22" s="666"/>
      <c r="W22" s="667"/>
      <c r="X22" s="1264"/>
      <c r="Y22" s="3393"/>
      <c r="Z22" s="1263"/>
      <c r="AA22" s="1263">
        <v>1</v>
      </c>
      <c r="AB22" s="1263">
        <v>1</v>
      </c>
      <c r="AC22" s="1263">
        <v>1</v>
      </c>
    </row>
    <row r="23" spans="1:29" s="102"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93"/>
      <c r="Q23" s="529" t="str">
        <f t="shared" si="8"/>
        <v>公共配套设施</v>
      </c>
      <c r="R23" s="663" t="s">
        <v>14</v>
      </c>
      <c r="S23" s="664">
        <f>F23</f>
        <v>100</v>
      </c>
      <c r="T23" s="663" t="s">
        <v>14</v>
      </c>
      <c r="U23" s="664">
        <f>H23</f>
        <v>100</v>
      </c>
      <c r="V23" s="663" t="s">
        <v>14</v>
      </c>
      <c r="W23" s="664">
        <f>J23</f>
        <v>100</v>
      </c>
      <c r="X23" s="665"/>
      <c r="Y23" s="3393"/>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393"/>
      <c r="Q24" s="529"/>
      <c r="R24" s="663"/>
      <c r="S24" s="664"/>
      <c r="T24" s="663"/>
      <c r="U24" s="664"/>
      <c r="V24" s="663"/>
      <c r="W24" s="664"/>
      <c r="X24" s="665"/>
      <c r="Y24" s="3393"/>
      <c r="Z24" s="50"/>
      <c r="AA24" s="50">
        <v>1</v>
      </c>
      <c r="AB24" s="50">
        <v>1</v>
      </c>
      <c r="AC24" s="50">
        <v>1</v>
      </c>
    </row>
    <row r="25" spans="1:29" s="102"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93"/>
      <c r="Q25" s="529" t="str">
        <f t="shared" ref="Q25" si="9">B25</f>
        <v>基础设施水平</v>
      </c>
      <c r="R25" s="663" t="s">
        <v>14</v>
      </c>
      <c r="S25" s="664">
        <f>F25</f>
        <v>100</v>
      </c>
      <c r="T25" s="663" t="s">
        <v>14</v>
      </c>
      <c r="U25" s="664">
        <f>H25</f>
        <v>100</v>
      </c>
      <c r="V25" s="663" t="s">
        <v>14</v>
      </c>
      <c r="W25" s="664">
        <f>J25</f>
        <v>100</v>
      </c>
      <c r="X25" s="665"/>
      <c r="Y25" s="3393"/>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393"/>
      <c r="Q26" s="529"/>
      <c r="R26" s="663"/>
      <c r="S26" s="664"/>
      <c r="T26" s="663"/>
      <c r="U26" s="664"/>
      <c r="V26" s="663"/>
      <c r="W26" s="664"/>
      <c r="X26" s="665"/>
      <c r="Y26" s="339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9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3"/>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93"/>
      <c r="Q28" s="1262" t="str">
        <f t="shared" si="8"/>
        <v>毗邻道路的类型与等级</v>
      </c>
      <c r="R28" s="666" t="s">
        <v>14</v>
      </c>
      <c r="S28" s="667">
        <f t="shared" si="10"/>
        <v>100</v>
      </c>
      <c r="T28" s="666" t="s">
        <v>14</v>
      </c>
      <c r="U28" s="667">
        <f t="shared" si="11"/>
        <v>100</v>
      </c>
      <c r="V28" s="666" t="s">
        <v>14</v>
      </c>
      <c r="W28" s="667">
        <f t="shared" si="12"/>
        <v>100</v>
      </c>
      <c r="X28" s="1264"/>
      <c r="Y28" s="339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93"/>
      <c r="Q29" s="1262"/>
      <c r="R29" s="666"/>
      <c r="S29" s="667"/>
      <c r="T29" s="666"/>
      <c r="U29" s="667"/>
      <c r="V29" s="666"/>
      <c r="W29" s="667"/>
      <c r="X29" s="1264"/>
      <c r="Y29" s="3393"/>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93"/>
      <c r="Q30" s="1262" t="str">
        <f t="shared" si="8"/>
        <v>土地级别</v>
      </c>
      <c r="R30" s="666" t="s">
        <v>14</v>
      </c>
      <c r="S30" s="667">
        <f t="shared" si="10"/>
        <v>100</v>
      </c>
      <c r="T30" s="666" t="s">
        <v>14</v>
      </c>
      <c r="U30" s="667">
        <f t="shared" si="11"/>
        <v>100</v>
      </c>
      <c r="V30" s="666" t="s">
        <v>14</v>
      </c>
      <c r="W30" s="667">
        <f t="shared" si="12"/>
        <v>100</v>
      </c>
      <c r="X30" s="1264"/>
      <c r="Y30" s="339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93"/>
      <c r="Q31" s="1262">
        <f t="shared" si="8"/>
        <v>111</v>
      </c>
      <c r="R31" s="666" t="s">
        <v>14</v>
      </c>
      <c r="S31" s="667">
        <f t="shared" si="10"/>
        <v>100</v>
      </c>
      <c r="T31" s="666" t="s">
        <v>14</v>
      </c>
      <c r="U31" s="667">
        <f t="shared" si="11"/>
        <v>100</v>
      </c>
      <c r="V31" s="666" t="s">
        <v>14</v>
      </c>
      <c r="W31" s="667">
        <f t="shared" si="12"/>
        <v>100</v>
      </c>
      <c r="X31" s="1264"/>
      <c r="Y31" s="339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47" t="s">
        <v>1696</v>
      </c>
      <c r="Q32" s="1262">
        <f t="shared" si="8"/>
        <v>111</v>
      </c>
      <c r="R32" s="666" t="s">
        <v>14</v>
      </c>
      <c r="S32" s="667">
        <f t="shared" si="10"/>
        <v>100</v>
      </c>
      <c r="T32" s="666" t="s">
        <v>14</v>
      </c>
      <c r="U32" s="667">
        <f t="shared" si="11"/>
        <v>100</v>
      </c>
      <c r="V32" s="666" t="s">
        <v>14</v>
      </c>
      <c r="W32" s="667">
        <f t="shared" si="12"/>
        <v>100</v>
      </c>
      <c r="X32" s="1264"/>
      <c r="Y32" s="3397"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97"/>
      <c r="Q33" s="1262">
        <f t="shared" si="8"/>
        <v>111</v>
      </c>
      <c r="R33" s="668" t="s">
        <v>14</v>
      </c>
      <c r="S33" s="669">
        <f t="shared" si="10"/>
        <v>100</v>
      </c>
      <c r="T33" s="668" t="s">
        <v>14</v>
      </c>
      <c r="U33" s="669">
        <f t="shared" si="11"/>
        <v>100</v>
      </c>
      <c r="V33" s="668" t="s">
        <v>14</v>
      </c>
      <c r="W33" s="669">
        <f t="shared" si="12"/>
        <v>100</v>
      </c>
      <c r="X33" s="670"/>
      <c r="Y33" s="3397"/>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97"/>
      <c r="Q34" s="1262" t="str">
        <f>B34</f>
        <v>宗地面积</v>
      </c>
      <c r="R34" s="666" t="s">
        <v>14</v>
      </c>
      <c r="S34" s="667" t="e">
        <f t="shared" si="10"/>
        <v>#N/A</v>
      </c>
      <c r="T34" s="666" t="s">
        <v>14</v>
      </c>
      <c r="U34" s="667" t="e">
        <f t="shared" si="11"/>
        <v>#N/A</v>
      </c>
      <c r="V34" s="666" t="s">
        <v>14</v>
      </c>
      <c r="W34" s="667" t="e">
        <f t="shared" si="12"/>
        <v>#N/A</v>
      </c>
      <c r="X34" s="1264"/>
      <c r="Y34" s="3397"/>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97"/>
      <c r="Q35" s="1262" t="str">
        <f t="shared" ref="Q35:Q40" si="14">B35</f>
        <v>宗地形状</v>
      </c>
      <c r="R35" s="666" t="s">
        <v>14</v>
      </c>
      <c r="S35" s="667">
        <f t="shared" si="10"/>
        <v>100</v>
      </c>
      <c r="T35" s="666" t="s">
        <v>14</v>
      </c>
      <c r="U35" s="667">
        <f t="shared" si="11"/>
        <v>100</v>
      </c>
      <c r="V35" s="666" t="s">
        <v>14</v>
      </c>
      <c r="W35" s="667">
        <f t="shared" si="12"/>
        <v>100</v>
      </c>
      <c r="X35" s="1264"/>
      <c r="Y35" s="3397"/>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97"/>
      <c r="Q36" s="1262" t="str">
        <f t="shared" si="14"/>
        <v>宗地开发程度</v>
      </c>
      <c r="R36" s="663" t="s">
        <v>14</v>
      </c>
      <c r="S36" s="664">
        <f t="shared" si="10"/>
        <v>100</v>
      </c>
      <c r="T36" s="663" t="s">
        <v>14</v>
      </c>
      <c r="U36" s="664">
        <f t="shared" si="11"/>
        <v>100</v>
      </c>
      <c r="V36" s="663" t="s">
        <v>14</v>
      </c>
      <c r="W36" s="664">
        <f t="shared" si="12"/>
        <v>100</v>
      </c>
      <c r="X36" s="665"/>
      <c r="Y36" s="3397"/>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97" t="s">
        <v>1696</v>
      </c>
      <c r="Q37" s="1262" t="str">
        <f t="shared" si="14"/>
        <v>工程地质条件</v>
      </c>
      <c r="R37" s="666" t="s">
        <v>14</v>
      </c>
      <c r="S37" s="667">
        <f t="shared" si="10"/>
        <v>100</v>
      </c>
      <c r="T37" s="666" t="s">
        <v>14</v>
      </c>
      <c r="U37" s="667">
        <f t="shared" si="11"/>
        <v>100</v>
      </c>
      <c r="V37" s="666" t="s">
        <v>14</v>
      </c>
      <c r="W37" s="667">
        <f t="shared" si="12"/>
        <v>100</v>
      </c>
      <c r="X37" s="1264"/>
      <c r="Y37" s="3397"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97"/>
      <c r="Q38" s="1262">
        <f t="shared" si="14"/>
        <v>111</v>
      </c>
      <c r="R38" s="666" t="s">
        <v>14</v>
      </c>
      <c r="S38" s="667">
        <f t="shared" si="10"/>
        <v>100</v>
      </c>
      <c r="T38" s="666" t="s">
        <v>14</v>
      </c>
      <c r="U38" s="667">
        <f t="shared" si="11"/>
        <v>100</v>
      </c>
      <c r="V38" s="666" t="s">
        <v>14</v>
      </c>
      <c r="W38" s="667">
        <f t="shared" si="12"/>
        <v>100</v>
      </c>
      <c r="X38" s="1264"/>
      <c r="Y38" s="339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97"/>
      <c r="Q39" s="1262">
        <f t="shared" si="14"/>
        <v>111</v>
      </c>
      <c r="R39" s="666" t="s">
        <v>14</v>
      </c>
      <c r="S39" s="667">
        <f t="shared" si="10"/>
        <v>100</v>
      </c>
      <c r="T39" s="666" t="s">
        <v>14</v>
      </c>
      <c r="U39" s="667">
        <f t="shared" si="11"/>
        <v>100</v>
      </c>
      <c r="V39" s="666" t="s">
        <v>14</v>
      </c>
      <c r="W39" s="667">
        <f t="shared" si="12"/>
        <v>100</v>
      </c>
      <c r="X39" s="1264"/>
      <c r="Y39" s="3397"/>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97"/>
      <c r="Q40" s="1262">
        <f t="shared" si="14"/>
        <v>111</v>
      </c>
      <c r="R40" s="668" t="s">
        <v>14</v>
      </c>
      <c r="S40" s="669">
        <f t="shared" si="10"/>
        <v>100</v>
      </c>
      <c r="T40" s="668" t="s">
        <v>14</v>
      </c>
      <c r="U40" s="669">
        <f t="shared" si="11"/>
        <v>100</v>
      </c>
      <c r="V40" s="668" t="s">
        <v>14</v>
      </c>
      <c r="W40" s="669">
        <f t="shared" si="12"/>
        <v>100</v>
      </c>
      <c r="X40" s="670"/>
      <c r="Y40" s="3397"/>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90" t="str">
        <f>A41</f>
        <v>成交单价</v>
      </c>
      <c r="Q41" s="3390"/>
      <c r="R41" s="3391">
        <f>E41</f>
        <v>0</v>
      </c>
      <c r="S41" s="3391"/>
      <c r="T41" s="3391">
        <f>G41</f>
        <v>0</v>
      </c>
      <c r="U41" s="3391"/>
      <c r="V41" s="3391">
        <f>I41</f>
        <v>0</v>
      </c>
      <c r="W41" s="3391"/>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390" t="str">
        <f>A42</f>
        <v>比较价值（元/平方米）</v>
      </c>
      <c r="Q42" s="3390"/>
      <c r="R42" s="3449" t="e">
        <f>ROUND(PRODUCT(R41,AA7:AA40),0)</f>
        <v>#DIV/0!</v>
      </c>
      <c r="S42" s="3449"/>
      <c r="T42" s="3449" t="e">
        <f>ROUND(PRODUCT(T41,AB7:AB40),0)</f>
        <v>#DIV/0!</v>
      </c>
      <c r="U42" s="3449"/>
      <c r="V42" s="3449" t="e">
        <f>ROUND(PRODUCT(V41,AC7:AC40),0)</f>
        <v>#DIV/0!</v>
      </c>
      <c r="W42" s="3449"/>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87" t="str">
        <f>A43</f>
        <v>估价对象XX用房的比较价值（楼面单价，元/平方米）</v>
      </c>
      <c r="Q43" s="3388"/>
      <c r="R43" s="3450" t="e">
        <f>ROUND(IF(D42="简单平均",AVERAGE(R42:W42),R42*F42+T42*H42+V42*J42),0)</f>
        <v>#DIV/0!</v>
      </c>
      <c r="S43" s="3450"/>
      <c r="T43" s="3450"/>
      <c r="U43" s="3450"/>
      <c r="V43" s="3450"/>
      <c r="W43" s="3450"/>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05" t="s">
        <v>1887</v>
      </c>
      <c r="H50" s="3451"/>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15950.359999999999</v>
      </c>
      <c r="F51" s="610" t="e">
        <f t="shared" ref="F51:F60" si="15">ROUND(B51*E51/10000,0)</f>
        <v>#DIV/0!</v>
      </c>
      <c r="G51" s="3401"/>
      <c r="H51" s="3390"/>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24215.7</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59" t="s">
        <v>2084</v>
      </c>
      <c r="D1" s="3460"/>
      <c r="E1" s="3460"/>
      <c r="F1" s="3460"/>
      <c r="G1" s="3460"/>
      <c r="H1" s="3460"/>
      <c r="I1" s="3460"/>
      <c r="J1" s="3460"/>
      <c r="K1" s="3460"/>
      <c r="L1" s="3460"/>
      <c r="M1" s="3460"/>
      <c r="N1" s="3460"/>
      <c r="O1" s="3460"/>
      <c r="P1" s="3460"/>
      <c r="Q1" s="3460"/>
      <c r="R1" s="3460"/>
      <c r="S1" s="3461"/>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5" sqref="B65:H66"/>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2451</v>
      </c>
      <c r="C2" s="1983" t="s">
        <v>2074</v>
      </c>
      <c r="D2" s="1983" t="s">
        <v>2075</v>
      </c>
      <c r="E2" s="2397">
        <f ca="1">SUMIF(E6:E13,"&lt;&gt;#ref!",E6:E13)</f>
        <v>24215.7</v>
      </c>
      <c r="F2" s="2544"/>
      <c r="G2" s="2544"/>
      <c r="H2" s="2544"/>
      <c r="I2" s="2544"/>
      <c r="J2" s="2544"/>
      <c r="K2" s="2544"/>
      <c r="L2" s="2544"/>
      <c r="M2" s="2544"/>
      <c r="N2" s="2544"/>
      <c r="O2" s="2544"/>
      <c r="P2" s="2544"/>
    </row>
    <row r="3" spans="1:16" ht="15.75">
      <c r="A3" s="1983" t="s">
        <v>2076</v>
      </c>
      <c r="B3" s="2387">
        <f ca="1">ROUND(B2*10000/E2,0)</f>
        <v>1012</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2451</v>
      </c>
      <c r="C6" s="1983" t="s">
        <v>2074</v>
      </c>
      <c r="D6" s="2544"/>
      <c r="E6" s="2397">
        <f ca="1">SUMIF(INDIRECT("'"&amp;A6&amp;"'"&amp;"!C:C"),"建筑面积",INDIRECT("'"&amp;A6&amp;"'"&amp;"!D:D"))</f>
        <v>24215.7</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0"/>
      <c r="B4" s="3161" t="s">
        <v>917</v>
      </c>
      <c r="C4" s="3161"/>
      <c r="D4" s="3161"/>
      <c r="E4" s="1390"/>
    </row>
    <row r="5" spans="1:5" ht="16.5" thickTop="1">
      <c r="B5" s="3159" t="s">
        <v>909</v>
      </c>
      <c r="C5" s="1391" t="s">
        <v>910</v>
      </c>
      <c r="D5" s="796">
        <f ca="1">结果表!H101</f>
        <v>7924</v>
      </c>
    </row>
    <row r="6" spans="1:5" ht="15.75">
      <c r="B6" s="3159"/>
      <c r="C6" s="1391" t="s">
        <v>911</v>
      </c>
      <c r="D6" s="796" t="str">
        <f ca="1">NUMBERSTRING(INT(D5*10000),2)&amp;"元整"</f>
        <v>柒仟玖佰贰拾肆万元整</v>
      </c>
    </row>
    <row r="7" spans="1:5" ht="15.75">
      <c r="B7" s="3164"/>
      <c r="C7" s="1392" t="s">
        <v>912</v>
      </c>
      <c r="D7" s="797">
        <f ca="1">结果表!H102</f>
        <v>4968</v>
      </c>
    </row>
    <row r="8" spans="1:5" ht="15.75">
      <c r="B8" s="3165" t="str">
        <f>结果表!E103</f>
        <v>2.估价师知悉的法定优先受偿款</v>
      </c>
      <c r="C8" s="1393" t="s">
        <v>913</v>
      </c>
      <c r="D8" s="797">
        <f>结果表!H103</f>
        <v>0</v>
      </c>
    </row>
    <row r="9" spans="1:5" ht="15.75">
      <c r="B9" s="316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8" t="str">
        <f>结果表!E107</f>
        <v>3.房地产抵押价值</v>
      </c>
      <c r="C13" s="1396" t="s">
        <v>910</v>
      </c>
      <c r="D13" s="799">
        <f ca="1">结果表!H107</f>
        <v>7924</v>
      </c>
    </row>
    <row r="14" spans="1:5" ht="15.75">
      <c r="B14" s="3159"/>
      <c r="C14" s="1391" t="s">
        <v>911</v>
      </c>
      <c r="D14" s="796" t="str">
        <f ca="1">NUMBERSTRING(INT(D13*10000),2)&amp;"元整"</f>
        <v>柒仟玖佰贰拾肆万元整</v>
      </c>
    </row>
    <row r="15" spans="1:5" ht="15">
      <c r="B15" s="3164"/>
      <c r="C15" s="1392" t="s">
        <v>921</v>
      </c>
      <c r="D15" s="805">
        <f ca="1">结果表!H108</f>
        <v>4968</v>
      </c>
    </row>
    <row r="16" spans="1:5" ht="15">
      <c r="B16" s="3165" t="str">
        <f>结果表!E109</f>
        <v>——</v>
      </c>
      <c r="C16" s="1396" t="s">
        <v>922</v>
      </c>
      <c r="D16" s="1397" t="str">
        <f>结果表!H109</f>
        <v>——</v>
      </c>
    </row>
    <row r="17" spans="1:5" ht="15.75">
      <c r="B17" s="3166"/>
      <c r="C17" s="1391" t="s">
        <v>923</v>
      </c>
      <c r="D17" s="796" t="e">
        <f>NUMBERSTRING(INT(D16*10000),2)&amp;"元整"</f>
        <v>#VALUE!</v>
      </c>
    </row>
    <row r="18" spans="1:5" ht="15">
      <c r="B18" s="3167"/>
      <c r="C18" s="1392" t="s">
        <v>912</v>
      </c>
      <c r="D18" s="805" t="str">
        <f>结果表!H110</f>
        <v>——</v>
      </c>
    </row>
    <row r="19" spans="1:5" ht="15.75">
      <c r="B19" s="3158" t="str">
        <f>结果表!E111</f>
        <v>——</v>
      </c>
      <c r="C19" s="1396" t="s">
        <v>910</v>
      </c>
      <c r="D19" s="797" t="str">
        <f>结果表!H111</f>
        <v>——</v>
      </c>
    </row>
    <row r="20" spans="1:5" ht="15.75">
      <c r="B20" s="3159"/>
      <c r="C20" s="1391" t="s">
        <v>923</v>
      </c>
      <c r="D20" s="796" t="e">
        <f>NUMBERSTRING(INT(D19*10000),2)&amp;"元整"</f>
        <v>#VALUE!</v>
      </c>
    </row>
    <row r="21" spans="1:5" ht="15.75" thickBot="1">
      <c r="B21" s="316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1" t="s">
        <v>2607</v>
      </c>
      <c r="B20" s="3466" t="s">
        <v>2628</v>
      </c>
      <c r="C20" s="2842" t="s">
        <v>2439</v>
      </c>
      <c r="D20" s="2843"/>
      <c r="E20" s="2844">
        <v>1</v>
      </c>
      <c r="F20" s="2845" t="s">
        <v>2440</v>
      </c>
      <c r="G20" s="2845"/>
    </row>
    <row r="21" spans="1:13" ht="19.5" customHeight="1">
      <c r="A21" s="3472"/>
      <c r="B21" s="3465"/>
      <c r="C21" s="2846" t="s">
        <v>2441</v>
      </c>
      <c r="D21" s="2847"/>
      <c r="E21" s="2848">
        <v>1</v>
      </c>
      <c r="F21" s="2845" t="s">
        <v>2442</v>
      </c>
      <c r="G21" s="2845"/>
    </row>
    <row r="22" spans="1:13" ht="19.5" customHeight="1">
      <c r="A22" s="3472"/>
      <c r="B22" s="3465"/>
      <c r="C22" s="2846" t="s">
        <v>2443</v>
      </c>
      <c r="D22" s="2847"/>
      <c r="E22" s="2848">
        <v>0.9</v>
      </c>
      <c r="F22" s="2845" t="s">
        <v>2444</v>
      </c>
      <c r="G22" s="2845"/>
    </row>
    <row r="23" spans="1:13" ht="19.5" customHeight="1">
      <c r="A23" s="3472"/>
      <c r="B23" s="3465"/>
      <c r="C23" s="2846" t="s">
        <v>2445</v>
      </c>
      <c r="D23" s="2847"/>
      <c r="E23" s="2848">
        <v>0.9</v>
      </c>
      <c r="F23" s="2845" t="s">
        <v>2446</v>
      </c>
      <c r="G23" s="2845"/>
    </row>
    <row r="24" spans="1:13" ht="19.5" customHeight="1">
      <c r="A24" s="3472"/>
      <c r="B24" s="3465"/>
      <c r="C24" s="2846" t="s">
        <v>2447</v>
      </c>
      <c r="D24" s="2847"/>
      <c r="E24" s="2848">
        <v>0.8</v>
      </c>
      <c r="F24" s="2845" t="s">
        <v>2448</v>
      </c>
      <c r="G24" s="2845"/>
    </row>
    <row r="25" spans="1:13" ht="19.5" customHeight="1" thickBot="1">
      <c r="A25" s="3473"/>
      <c r="B25" s="346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8" t="s">
        <v>2631</v>
      </c>
      <c r="B27" s="3466" t="s">
        <v>2612</v>
      </c>
      <c r="C27" s="2842" t="s">
        <v>2452</v>
      </c>
      <c r="D27" s="2843"/>
      <c r="E27" s="2844">
        <v>1</v>
      </c>
      <c r="F27" s="2845" t="s">
        <v>2453</v>
      </c>
      <c r="G27" s="2845"/>
    </row>
    <row r="28" spans="1:13" ht="19.5" customHeight="1">
      <c r="A28" s="3469"/>
      <c r="B28" s="3465"/>
      <c r="C28" s="2846" t="s">
        <v>2454</v>
      </c>
      <c r="D28" s="2847"/>
      <c r="E28" s="2848">
        <v>1</v>
      </c>
      <c r="F28" s="2845" t="s">
        <v>2455</v>
      </c>
      <c r="G28" s="2845"/>
    </row>
    <row r="29" spans="1:13" ht="19.5" customHeight="1">
      <c r="A29" s="3469"/>
      <c r="B29" s="3465"/>
      <c r="C29" s="2846" t="s">
        <v>2456</v>
      </c>
      <c r="D29" s="2847"/>
      <c r="E29" s="2848">
        <v>0.8</v>
      </c>
      <c r="F29" s="2845" t="s">
        <v>2457</v>
      </c>
      <c r="G29" s="2845"/>
    </row>
    <row r="30" spans="1:13" ht="19.5" customHeight="1">
      <c r="A30" s="3469"/>
      <c r="B30" s="3465"/>
      <c r="C30" s="2846" t="s">
        <v>2458</v>
      </c>
      <c r="D30" s="2847"/>
      <c r="E30" s="2848">
        <v>0.8</v>
      </c>
      <c r="F30" s="2845" t="s">
        <v>2459</v>
      </c>
      <c r="G30" s="2845"/>
    </row>
    <row r="31" spans="1:13" ht="19.5" customHeight="1">
      <c r="A31" s="3469"/>
      <c r="B31" s="3465"/>
      <c r="C31" s="2846" t="s">
        <v>2460</v>
      </c>
      <c r="D31" s="2847"/>
      <c r="E31" s="2848">
        <v>0.8</v>
      </c>
      <c r="F31" s="2845" t="s">
        <v>2461</v>
      </c>
      <c r="G31" s="2845"/>
    </row>
    <row r="32" spans="1:13" ht="19.5" customHeight="1">
      <c r="A32" s="3469"/>
      <c r="B32" s="3465"/>
      <c r="C32" s="2846" t="s">
        <v>2462</v>
      </c>
      <c r="D32" s="2847"/>
      <c r="E32" s="2848">
        <v>0.7</v>
      </c>
      <c r="F32" s="2845" t="s">
        <v>2463</v>
      </c>
      <c r="G32" s="2845"/>
    </row>
    <row r="33" spans="1:7" ht="19.5" customHeight="1">
      <c r="A33" s="3469"/>
      <c r="B33" s="3465"/>
      <c r="C33" s="2846" t="s">
        <v>2464</v>
      </c>
      <c r="D33" s="2847"/>
      <c r="E33" s="2848">
        <v>0.8</v>
      </c>
      <c r="F33" s="2845" t="s">
        <v>2465</v>
      </c>
      <c r="G33" s="2845"/>
    </row>
    <row r="34" spans="1:7" ht="19.5" customHeight="1">
      <c r="A34" s="3469"/>
      <c r="B34" s="3465"/>
      <c r="C34" s="2846" t="s">
        <v>2466</v>
      </c>
      <c r="D34" s="2847"/>
      <c r="E34" s="2848">
        <v>0.6</v>
      </c>
      <c r="F34" s="2845" t="s">
        <v>2467</v>
      </c>
      <c r="G34" s="2845"/>
    </row>
    <row r="35" spans="1:7" ht="19.5" customHeight="1">
      <c r="A35" s="3469"/>
      <c r="B35" s="3465"/>
      <c r="C35" s="2846" t="s">
        <v>2468</v>
      </c>
      <c r="D35" s="2847"/>
      <c r="E35" s="2848">
        <v>0.2</v>
      </c>
      <c r="F35" s="2845" t="s">
        <v>2469</v>
      </c>
      <c r="G35" s="2845"/>
    </row>
    <row r="36" spans="1:7" ht="19.5" customHeight="1">
      <c r="A36" s="3469"/>
      <c r="B36" s="3465"/>
      <c r="C36" s="2846" t="s">
        <v>2470</v>
      </c>
      <c r="D36" s="2847"/>
      <c r="E36" s="2848">
        <v>0.2</v>
      </c>
      <c r="F36" s="2845" t="s">
        <v>2471</v>
      </c>
      <c r="G36" s="2845"/>
    </row>
    <row r="37" spans="1:7" ht="19.5" customHeight="1">
      <c r="A37" s="3469"/>
      <c r="B37" s="3463" t="s">
        <v>2632</v>
      </c>
      <c r="C37" s="2846" t="s">
        <v>2472</v>
      </c>
      <c r="D37" s="2847"/>
      <c r="E37" s="2848">
        <v>0.6</v>
      </c>
      <c r="F37" s="2845" t="s">
        <v>2473</v>
      </c>
      <c r="G37" s="2845"/>
    </row>
    <row r="38" spans="1:7" ht="19.5" customHeight="1">
      <c r="A38" s="3469"/>
      <c r="B38" s="3465"/>
      <c r="C38" s="2846" t="s">
        <v>2474</v>
      </c>
      <c r="D38" s="2847"/>
      <c r="E38" s="2848">
        <v>0.6</v>
      </c>
      <c r="F38" s="2845" t="s">
        <v>2475</v>
      </c>
      <c r="G38" s="2845"/>
    </row>
    <row r="39" spans="1:7" ht="19.5" customHeight="1" thickBot="1">
      <c r="A39" s="3470"/>
      <c r="B39" s="346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1" t="s">
        <v>2610</v>
      </c>
      <c r="B41" s="3466" t="s">
        <v>2634</v>
      </c>
      <c r="C41" s="2842" t="s">
        <v>2479</v>
      </c>
      <c r="D41" s="2843"/>
      <c r="E41" s="2844">
        <v>1</v>
      </c>
      <c r="F41" s="2845" t="s">
        <v>2480</v>
      </c>
      <c r="G41" s="2845"/>
    </row>
    <row r="42" spans="1:7" ht="19.5" customHeight="1">
      <c r="A42" s="3472"/>
      <c r="B42" s="3465"/>
      <c r="C42" s="2846" t="s">
        <v>2481</v>
      </c>
      <c r="D42" s="2847"/>
      <c r="E42" s="2848">
        <v>1</v>
      </c>
      <c r="F42" s="2845" t="s">
        <v>2482</v>
      </c>
      <c r="G42" s="2845"/>
    </row>
    <row r="43" spans="1:7" ht="19.5" customHeight="1">
      <c r="A43" s="3472"/>
      <c r="B43" s="3464"/>
      <c r="C43" s="2846" t="s">
        <v>2483</v>
      </c>
      <c r="D43" s="2847"/>
      <c r="E43" s="2848">
        <v>1.5</v>
      </c>
      <c r="F43" s="2845" t="s">
        <v>2484</v>
      </c>
      <c r="G43" s="2845"/>
    </row>
    <row r="44" spans="1:7" ht="19.5" customHeight="1">
      <c r="A44" s="3472"/>
      <c r="B44" s="2857" t="s">
        <v>2635</v>
      </c>
      <c r="C44" s="2846" t="s">
        <v>2636</v>
      </c>
      <c r="D44" s="2847"/>
      <c r="E44" s="2848">
        <v>2</v>
      </c>
      <c r="F44" s="2845" t="s">
        <v>2485</v>
      </c>
      <c r="G44" s="2845"/>
    </row>
    <row r="45" spans="1:7" ht="19.5" customHeight="1">
      <c r="A45" s="3472"/>
      <c r="B45" s="3463" t="s">
        <v>2637</v>
      </c>
      <c r="C45" s="2846" t="s">
        <v>2486</v>
      </c>
      <c r="D45" s="2847"/>
      <c r="E45" s="2848">
        <v>1</v>
      </c>
      <c r="F45" s="2845" t="s">
        <v>2487</v>
      </c>
      <c r="G45" s="2845"/>
    </row>
    <row r="46" spans="1:7" ht="19.5" customHeight="1">
      <c r="A46" s="3472"/>
      <c r="B46" s="3465"/>
      <c r="C46" s="2846" t="s">
        <v>2488</v>
      </c>
      <c r="D46" s="2847"/>
      <c r="E46" s="2848">
        <v>1</v>
      </c>
      <c r="F46" s="2845" t="s">
        <v>2489</v>
      </c>
      <c r="G46" s="2845"/>
    </row>
    <row r="47" spans="1:7" ht="19.5" customHeight="1">
      <c r="A47" s="3472"/>
      <c r="B47" s="3465"/>
      <c r="C47" s="2846" t="s">
        <v>2490</v>
      </c>
      <c r="D47" s="2847"/>
      <c r="E47" s="2848">
        <v>1</v>
      </c>
      <c r="F47" s="2845" t="s">
        <v>2491</v>
      </c>
      <c r="G47" s="2845"/>
    </row>
    <row r="48" spans="1:7" ht="19.5" customHeight="1">
      <c r="A48" s="3472"/>
      <c r="B48" s="3465"/>
      <c r="C48" s="2846" t="s">
        <v>2492</v>
      </c>
      <c r="D48" s="2847"/>
      <c r="E48" s="2848">
        <v>1</v>
      </c>
      <c r="F48" s="2845" t="s">
        <v>2493</v>
      </c>
      <c r="G48" s="2845"/>
    </row>
    <row r="49" spans="1:7" ht="19.5" customHeight="1">
      <c r="A49" s="3472"/>
      <c r="B49" s="3465"/>
      <c r="C49" s="2846" t="s">
        <v>2494</v>
      </c>
      <c r="D49" s="2847"/>
      <c r="E49" s="2848">
        <v>1</v>
      </c>
      <c r="F49" s="2845" t="s">
        <v>2495</v>
      </c>
      <c r="G49" s="2845"/>
    </row>
    <row r="50" spans="1:7" ht="19.5" customHeight="1">
      <c r="A50" s="3472"/>
      <c r="B50" s="3465"/>
      <c r="C50" s="2846" t="s">
        <v>2496</v>
      </c>
      <c r="D50" s="2847"/>
      <c r="E50" s="2848">
        <v>1</v>
      </c>
      <c r="F50" s="2845" t="s">
        <v>2497</v>
      </c>
      <c r="G50" s="2845"/>
    </row>
    <row r="51" spans="1:7" ht="19.5" customHeight="1" thickBot="1">
      <c r="A51" s="3473"/>
      <c r="B51" s="346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463" t="s">
        <v>2651</v>
      </c>
      <c r="C73" s="2831" t="s">
        <v>2652</v>
      </c>
      <c r="D73" s="2831" t="s">
        <v>2653</v>
      </c>
      <c r="E73" s="2857">
        <v>0.2</v>
      </c>
      <c r="F73" s="2857">
        <v>25</v>
      </c>
    </row>
    <row r="74" spans="1:7" ht="24">
      <c r="A74" s="2857">
        <v>2</v>
      </c>
      <c r="B74" s="3465"/>
      <c r="C74" s="2831" t="s">
        <v>2654</v>
      </c>
      <c r="D74" s="2831" t="s">
        <v>2655</v>
      </c>
      <c r="E74" s="2857">
        <v>0.2</v>
      </c>
      <c r="F74" s="2857">
        <v>25</v>
      </c>
    </row>
    <row r="75" spans="1:7" ht="24">
      <c r="A75" s="2857">
        <v>3</v>
      </c>
      <c r="B75" s="3465"/>
      <c r="C75" s="2831" t="s">
        <v>2656</v>
      </c>
      <c r="D75" s="2831" t="s">
        <v>2657</v>
      </c>
      <c r="E75" s="2857">
        <v>0.2</v>
      </c>
      <c r="F75" s="2857">
        <v>25</v>
      </c>
    </row>
    <row r="76" spans="1:7" ht="13.5">
      <c r="A76" s="2857">
        <v>4</v>
      </c>
      <c r="B76" s="3465"/>
      <c r="C76" s="2831" t="s">
        <v>2658</v>
      </c>
      <c r="D76" s="2831" t="s">
        <v>2659</v>
      </c>
      <c r="E76" s="2857">
        <v>0.15</v>
      </c>
      <c r="F76" s="2857">
        <v>20</v>
      </c>
    </row>
    <row r="77" spans="1:7" ht="24">
      <c r="A77" s="2857">
        <v>5</v>
      </c>
      <c r="B77" s="3465"/>
      <c r="C77" s="2831" t="s">
        <v>2660</v>
      </c>
      <c r="D77" s="2831" t="s">
        <v>2661</v>
      </c>
      <c r="E77" s="2857">
        <v>0.15</v>
      </c>
      <c r="F77" s="2857">
        <v>20</v>
      </c>
    </row>
    <row r="78" spans="1:7" ht="24">
      <c r="A78" s="2857">
        <v>6</v>
      </c>
      <c r="B78" s="3465"/>
      <c r="C78" s="2831" t="s">
        <v>2662</v>
      </c>
      <c r="D78" s="2831" t="s">
        <v>2663</v>
      </c>
      <c r="E78" s="2857">
        <v>0.15</v>
      </c>
      <c r="F78" s="2857">
        <v>20</v>
      </c>
    </row>
    <row r="79" spans="1:7" ht="24">
      <c r="A79" s="2857">
        <v>7</v>
      </c>
      <c r="B79" s="3465"/>
      <c r="C79" s="2831" t="s">
        <v>2664</v>
      </c>
      <c r="D79" s="2831" t="s">
        <v>2665</v>
      </c>
      <c r="E79" s="2857">
        <v>0.15</v>
      </c>
      <c r="F79" s="2857">
        <v>20</v>
      </c>
    </row>
    <row r="80" spans="1:7" ht="24">
      <c r="A80" s="2857">
        <v>8</v>
      </c>
      <c r="B80" s="3465"/>
      <c r="C80" s="2831" t="s">
        <v>2666</v>
      </c>
      <c r="D80" s="2831" t="s">
        <v>2667</v>
      </c>
      <c r="E80" s="2857">
        <v>0.1</v>
      </c>
      <c r="F80" s="2857">
        <v>15</v>
      </c>
    </row>
    <row r="81" spans="1:6" ht="24">
      <c r="A81" s="2857">
        <v>9</v>
      </c>
      <c r="B81" s="3465"/>
      <c r="C81" s="2831" t="s">
        <v>2668</v>
      </c>
      <c r="D81" s="2831" t="s">
        <v>2669</v>
      </c>
      <c r="E81" s="2857">
        <v>0.1</v>
      </c>
      <c r="F81" s="2857">
        <v>15</v>
      </c>
    </row>
    <row r="82" spans="1:6" ht="24">
      <c r="A82" s="2857">
        <v>10</v>
      </c>
      <c r="B82" s="3465"/>
      <c r="C82" s="2831" t="s">
        <v>2670</v>
      </c>
      <c r="D82" s="2831" t="s">
        <v>2671</v>
      </c>
      <c r="E82" s="2857">
        <v>0.1</v>
      </c>
      <c r="F82" s="2857">
        <v>15</v>
      </c>
    </row>
    <row r="83" spans="1:6" ht="24">
      <c r="A83" s="2857">
        <v>11</v>
      </c>
      <c r="B83" s="3465"/>
      <c r="C83" s="2831" t="s">
        <v>2672</v>
      </c>
      <c r="D83" s="2831" t="s">
        <v>2673</v>
      </c>
      <c r="E83" s="2857">
        <v>0.1</v>
      </c>
      <c r="F83" s="2857">
        <v>15</v>
      </c>
    </row>
    <row r="84" spans="1:6" ht="24">
      <c r="A84" s="2857">
        <v>12</v>
      </c>
      <c r="B84" s="3465"/>
      <c r="C84" s="2831" t="s">
        <v>2674</v>
      </c>
      <c r="D84" s="2831" t="s">
        <v>2675</v>
      </c>
      <c r="E84" s="2857">
        <v>0.1</v>
      </c>
      <c r="F84" s="2857">
        <v>15</v>
      </c>
    </row>
    <row r="85" spans="1:6" ht="13.5">
      <c r="A85" s="2857">
        <v>13</v>
      </c>
      <c r="B85" s="3465"/>
      <c r="C85" s="2831" t="s">
        <v>2676</v>
      </c>
      <c r="D85" s="2831" t="s">
        <v>2677</v>
      </c>
      <c r="E85" s="2857">
        <v>0.1</v>
      </c>
      <c r="F85" s="2857">
        <v>15</v>
      </c>
    </row>
    <row r="86" spans="1:6" ht="13.5">
      <c r="A86" s="2857">
        <v>14</v>
      </c>
      <c r="B86" s="3465"/>
      <c r="C86" s="2831" t="s">
        <v>2678</v>
      </c>
      <c r="D86" s="2831" t="s">
        <v>2679</v>
      </c>
      <c r="E86" s="2857">
        <v>0.1</v>
      </c>
      <c r="F86" s="2857">
        <v>15</v>
      </c>
    </row>
    <row r="87" spans="1:6" ht="13.5">
      <c r="A87" s="2857">
        <v>15</v>
      </c>
      <c r="B87" s="3465"/>
      <c r="C87" s="2831" t="s">
        <v>2680</v>
      </c>
      <c r="D87" s="2831" t="s">
        <v>2681</v>
      </c>
      <c r="E87" s="2857">
        <v>0.1</v>
      </c>
      <c r="F87" s="2857">
        <v>15</v>
      </c>
    </row>
    <row r="88" spans="1:6" ht="24">
      <c r="A88" s="2857">
        <v>16</v>
      </c>
      <c r="B88" s="3465"/>
      <c r="C88" s="2831" t="s">
        <v>2682</v>
      </c>
      <c r="D88" s="2831" t="s">
        <v>2683</v>
      </c>
      <c r="E88" s="2857">
        <v>0.1</v>
      </c>
      <c r="F88" s="2857">
        <v>15</v>
      </c>
    </row>
    <row r="89" spans="1:6" ht="24">
      <c r="A89" s="2857">
        <v>17</v>
      </c>
      <c r="B89" s="3464"/>
      <c r="C89" s="2831" t="s">
        <v>2684</v>
      </c>
      <c r="D89" s="2831" t="s">
        <v>2685</v>
      </c>
      <c r="E89" s="2857">
        <v>0.1</v>
      </c>
      <c r="F89" s="2857">
        <v>15</v>
      </c>
    </row>
    <row r="90" spans="1:6" ht="13.5">
      <c r="A90" s="2857">
        <v>18</v>
      </c>
      <c r="B90" s="3463" t="s">
        <v>2686</v>
      </c>
      <c r="C90" s="2831" t="s">
        <v>2687</v>
      </c>
      <c r="D90" s="2831" t="s">
        <v>2688</v>
      </c>
      <c r="E90" s="2857">
        <v>0.2</v>
      </c>
      <c r="F90" s="2857">
        <v>25</v>
      </c>
    </row>
    <row r="91" spans="1:6" ht="24">
      <c r="A91" s="2857">
        <v>19</v>
      </c>
      <c r="B91" s="3465"/>
      <c r="C91" s="2831" t="s">
        <v>2689</v>
      </c>
      <c r="D91" s="2831" t="s">
        <v>2690</v>
      </c>
      <c r="E91" s="2857">
        <v>0.2</v>
      </c>
      <c r="F91" s="2857">
        <v>25</v>
      </c>
    </row>
    <row r="92" spans="1:6" ht="13.5">
      <c r="A92" s="2857">
        <v>20</v>
      </c>
      <c r="B92" s="3465"/>
      <c r="C92" s="2831" t="s">
        <v>2691</v>
      </c>
      <c r="D92" s="2831" t="s">
        <v>2692</v>
      </c>
      <c r="E92" s="2857">
        <v>0.15</v>
      </c>
      <c r="F92" s="2857">
        <v>20</v>
      </c>
    </row>
    <row r="93" spans="1:6" ht="13.5">
      <c r="A93" s="2857">
        <v>21</v>
      </c>
      <c r="B93" s="3465"/>
      <c r="C93" s="2831" t="s">
        <v>2693</v>
      </c>
      <c r="D93" s="2831" t="s">
        <v>2694</v>
      </c>
      <c r="E93" s="2857">
        <v>0.15</v>
      </c>
      <c r="F93" s="2857">
        <v>20</v>
      </c>
    </row>
    <row r="94" spans="1:6" ht="13.5">
      <c r="A94" s="2857">
        <v>22</v>
      </c>
      <c r="B94" s="3465"/>
      <c r="C94" s="2831" t="s">
        <v>2695</v>
      </c>
      <c r="D94" s="2831" t="s">
        <v>2696</v>
      </c>
      <c r="E94" s="2857">
        <v>0.15</v>
      </c>
      <c r="F94" s="2857">
        <v>20</v>
      </c>
    </row>
    <row r="95" spans="1:6" ht="36">
      <c r="A95" s="2857">
        <v>23</v>
      </c>
      <c r="B95" s="3465"/>
      <c r="C95" s="2831" t="s">
        <v>2697</v>
      </c>
      <c r="D95" s="2831" t="s">
        <v>2698</v>
      </c>
      <c r="E95" s="2857">
        <v>0.15</v>
      </c>
      <c r="F95" s="2857">
        <v>20</v>
      </c>
    </row>
    <row r="96" spans="1:6" ht="13.5">
      <c r="A96" s="2857">
        <v>24</v>
      </c>
      <c r="B96" s="3465"/>
      <c r="C96" s="2831" t="s">
        <v>2699</v>
      </c>
      <c r="D96" s="2831" t="s">
        <v>2700</v>
      </c>
      <c r="E96" s="2857">
        <v>0.1</v>
      </c>
      <c r="F96" s="2857">
        <v>15</v>
      </c>
    </row>
    <row r="97" spans="1:6" ht="13.5">
      <c r="A97" s="2857">
        <v>25</v>
      </c>
      <c r="B97" s="3465"/>
      <c r="C97" s="2831" t="s">
        <v>2701</v>
      </c>
      <c r="D97" s="2831" t="s">
        <v>2702</v>
      </c>
      <c r="E97" s="2857">
        <v>0.1</v>
      </c>
      <c r="F97" s="2857">
        <v>15</v>
      </c>
    </row>
    <row r="98" spans="1:6" ht="24">
      <c r="A98" s="2857">
        <v>26</v>
      </c>
      <c r="B98" s="3465"/>
      <c r="C98" s="2831" t="s">
        <v>2703</v>
      </c>
      <c r="D98" s="2831" t="s">
        <v>2704</v>
      </c>
      <c r="E98" s="2857">
        <v>0.1</v>
      </c>
      <c r="F98" s="2857">
        <v>15</v>
      </c>
    </row>
    <row r="99" spans="1:6" ht="24">
      <c r="A99" s="2857">
        <v>27</v>
      </c>
      <c r="B99" s="3465"/>
      <c r="C99" s="2831" t="s">
        <v>2705</v>
      </c>
      <c r="D99" s="2831" t="s">
        <v>2706</v>
      </c>
      <c r="E99" s="2857">
        <v>0.1</v>
      </c>
      <c r="F99" s="2857">
        <v>15</v>
      </c>
    </row>
    <row r="100" spans="1:6" ht="13.5">
      <c r="A100" s="2857">
        <v>28</v>
      </c>
      <c r="B100" s="3465"/>
      <c r="C100" s="2831" t="s">
        <v>2707</v>
      </c>
      <c r="D100" s="2831" t="s">
        <v>2708</v>
      </c>
      <c r="E100" s="2857">
        <v>0.1</v>
      </c>
      <c r="F100" s="2857">
        <v>15</v>
      </c>
    </row>
    <row r="101" spans="1:6" ht="13.5">
      <c r="A101" s="2857">
        <v>29</v>
      </c>
      <c r="B101" s="3465"/>
      <c r="C101" s="2831" t="s">
        <v>2709</v>
      </c>
      <c r="D101" s="2831" t="s">
        <v>2710</v>
      </c>
      <c r="E101" s="2857">
        <v>0.1</v>
      </c>
      <c r="F101" s="2857">
        <v>15</v>
      </c>
    </row>
    <row r="102" spans="1:6" ht="13.5">
      <c r="A102" s="2857">
        <v>30</v>
      </c>
      <c r="B102" s="3465"/>
      <c r="C102" s="2831" t="s">
        <v>2711</v>
      </c>
      <c r="D102" s="2831" t="s">
        <v>2712</v>
      </c>
      <c r="E102" s="2857">
        <v>0.1</v>
      </c>
      <c r="F102" s="2857">
        <v>15</v>
      </c>
    </row>
    <row r="103" spans="1:6" ht="24">
      <c r="A103" s="2857">
        <v>31</v>
      </c>
      <c r="B103" s="3465"/>
      <c r="C103" s="2831" t="s">
        <v>2713</v>
      </c>
      <c r="D103" s="2831" t="s">
        <v>2714</v>
      </c>
      <c r="E103" s="2857">
        <v>0.1</v>
      </c>
      <c r="F103" s="2857">
        <v>15</v>
      </c>
    </row>
    <row r="104" spans="1:6" ht="24">
      <c r="A104" s="2857">
        <v>32</v>
      </c>
      <c r="B104" s="3465"/>
      <c r="C104" s="2831" t="s">
        <v>2715</v>
      </c>
      <c r="D104" s="2831" t="s">
        <v>2716</v>
      </c>
      <c r="E104" s="2857">
        <v>0.1</v>
      </c>
      <c r="F104" s="2857">
        <v>15</v>
      </c>
    </row>
    <row r="105" spans="1:6" ht="24">
      <c r="A105" s="2857">
        <v>33</v>
      </c>
      <c r="B105" s="3465"/>
      <c r="C105" s="2831" t="s">
        <v>2717</v>
      </c>
      <c r="D105" s="2831" t="s">
        <v>2718</v>
      </c>
      <c r="E105" s="2857">
        <v>0.1</v>
      </c>
      <c r="F105" s="2857">
        <v>15</v>
      </c>
    </row>
    <row r="106" spans="1:6" ht="24">
      <c r="A106" s="2857">
        <v>34</v>
      </c>
      <c r="B106" s="3464"/>
      <c r="C106" s="2831" t="s">
        <v>2719</v>
      </c>
      <c r="D106" s="2831" t="s">
        <v>2720</v>
      </c>
      <c r="E106" s="2857">
        <v>0.1</v>
      </c>
      <c r="F106" s="2857">
        <v>15</v>
      </c>
    </row>
    <row r="107" spans="1:6" ht="24">
      <c r="A107" s="2857">
        <v>35</v>
      </c>
      <c r="B107" s="3463" t="s">
        <v>2721</v>
      </c>
      <c r="C107" s="2857" t="s">
        <v>2722</v>
      </c>
      <c r="D107" s="2831" t="s">
        <v>2723</v>
      </c>
      <c r="E107" s="2857">
        <v>0.15</v>
      </c>
      <c r="F107" s="2857">
        <v>20</v>
      </c>
    </row>
    <row r="108" spans="1:6" ht="13.5">
      <c r="A108" s="2857">
        <v>36</v>
      </c>
      <c r="B108" s="3465"/>
      <c r="C108" s="2857" t="s">
        <v>2724</v>
      </c>
      <c r="D108" s="2831" t="s">
        <v>2725</v>
      </c>
      <c r="E108" s="2857">
        <v>0.15</v>
      </c>
      <c r="F108" s="2857">
        <v>20</v>
      </c>
    </row>
    <row r="109" spans="1:6" ht="13.5">
      <c r="A109" s="2857">
        <v>37</v>
      </c>
      <c r="B109" s="3465"/>
      <c r="C109" s="2857" t="s">
        <v>2726</v>
      </c>
      <c r="D109" s="2831" t="s">
        <v>2727</v>
      </c>
      <c r="E109" s="2857">
        <v>0.15</v>
      </c>
      <c r="F109" s="2857">
        <v>20</v>
      </c>
    </row>
    <row r="110" spans="1:6" ht="13.5">
      <c r="A110" s="2857">
        <v>38</v>
      </c>
      <c r="B110" s="3465"/>
      <c r="C110" s="2857" t="s">
        <v>2728</v>
      </c>
      <c r="D110" s="2831" t="s">
        <v>2729</v>
      </c>
      <c r="E110" s="2857">
        <v>0.1</v>
      </c>
      <c r="F110" s="2857">
        <v>15</v>
      </c>
    </row>
    <row r="111" spans="1:6" ht="24">
      <c r="A111" s="2857">
        <v>39</v>
      </c>
      <c r="B111" s="3465"/>
      <c r="C111" s="2857" t="s">
        <v>2730</v>
      </c>
      <c r="D111" s="2831" t="s">
        <v>2731</v>
      </c>
      <c r="E111" s="2857">
        <v>0.1</v>
      </c>
      <c r="F111" s="2857">
        <v>15</v>
      </c>
    </row>
    <row r="112" spans="1:6" ht="24">
      <c r="A112" s="2857">
        <v>40</v>
      </c>
      <c r="B112" s="3464"/>
      <c r="C112" s="2857" t="s">
        <v>2732</v>
      </c>
      <c r="D112" s="2831" t="s">
        <v>2733</v>
      </c>
      <c r="E112" s="2857">
        <v>0.1</v>
      </c>
      <c r="F112" s="2857">
        <v>15</v>
      </c>
    </row>
    <row r="113" spans="1:6" ht="13.5">
      <c r="A113" s="2857">
        <v>41</v>
      </c>
      <c r="B113" s="3462" t="s">
        <v>2734</v>
      </c>
      <c r="C113" s="2857" t="s">
        <v>2735</v>
      </c>
      <c r="D113" s="2831" t="s">
        <v>2736</v>
      </c>
      <c r="E113" s="2857">
        <v>0.1</v>
      </c>
      <c r="F113" s="2857">
        <v>15</v>
      </c>
    </row>
    <row r="114" spans="1:6" ht="13.5">
      <c r="A114" s="2857">
        <v>42</v>
      </c>
      <c r="B114" s="3462"/>
      <c r="C114" s="2857" t="s">
        <v>2737</v>
      </c>
      <c r="D114" s="2831" t="s">
        <v>2738</v>
      </c>
      <c r="E114" s="2857">
        <v>0.1</v>
      </c>
      <c r="F114" s="2857">
        <v>15</v>
      </c>
    </row>
    <row r="115" spans="1:6" ht="24">
      <c r="A115" s="2857">
        <v>43</v>
      </c>
      <c r="B115" s="3462"/>
      <c r="C115" s="2857" t="s">
        <v>2739</v>
      </c>
      <c r="D115" s="2831" t="s">
        <v>2740</v>
      </c>
      <c r="E115" s="2857">
        <v>0.1</v>
      </c>
      <c r="F115" s="2857">
        <v>15</v>
      </c>
    </row>
    <row r="116" spans="1:6" ht="13.5">
      <c r="A116" s="2857">
        <v>44</v>
      </c>
      <c r="B116" s="3463" t="s">
        <v>2741</v>
      </c>
      <c r="C116" s="2857" t="s">
        <v>2742</v>
      </c>
      <c r="D116" s="2831" t="s">
        <v>2743</v>
      </c>
      <c r="E116" s="2857">
        <v>0.1</v>
      </c>
      <c r="F116" s="2857">
        <v>15</v>
      </c>
    </row>
    <row r="117" spans="1:6" ht="24">
      <c r="A117" s="2857">
        <v>45</v>
      </c>
      <c r="B117" s="3464"/>
      <c r="C117" s="2831" t="s">
        <v>2744</v>
      </c>
      <c r="D117" s="2831" t="s">
        <v>2745</v>
      </c>
      <c r="E117" s="2857">
        <v>0.1</v>
      </c>
      <c r="F117" s="2857">
        <v>15</v>
      </c>
    </row>
    <row r="118" spans="1:6" ht="24">
      <c r="A118" s="2857">
        <v>46</v>
      </c>
      <c r="B118" s="3463" t="s">
        <v>2746</v>
      </c>
      <c r="C118" s="2857" t="s">
        <v>2747</v>
      </c>
      <c r="D118" s="2831" t="s">
        <v>2748</v>
      </c>
      <c r="E118" s="2857">
        <v>0.1</v>
      </c>
      <c r="F118" s="2857">
        <v>15</v>
      </c>
    </row>
    <row r="119" spans="1:6" ht="24">
      <c r="A119" s="2857">
        <v>47</v>
      </c>
      <c r="B119" s="3464"/>
      <c r="C119" s="2857" t="s">
        <v>2749</v>
      </c>
      <c r="D119" s="2831" t="s">
        <v>2750</v>
      </c>
      <c r="E119" s="2857">
        <v>0.1</v>
      </c>
      <c r="F119" s="2857">
        <v>15</v>
      </c>
    </row>
    <row r="120" spans="1:6" ht="13.5">
      <c r="A120" s="2857">
        <v>48</v>
      </c>
      <c r="B120" s="3463" t="s">
        <v>2751</v>
      </c>
      <c r="C120" s="2857" t="s">
        <v>2752</v>
      </c>
      <c r="D120" s="2831" t="s">
        <v>2753</v>
      </c>
      <c r="E120" s="2857">
        <v>0.1</v>
      </c>
      <c r="F120" s="2857">
        <v>15</v>
      </c>
    </row>
    <row r="121" spans="1:6" ht="13.5">
      <c r="A121" s="2857">
        <v>49</v>
      </c>
      <c r="B121" s="3464"/>
      <c r="C121" s="2857" t="s">
        <v>2754</v>
      </c>
      <c r="D121" s="2831" t="s">
        <v>2755</v>
      </c>
      <c r="E121" s="2857">
        <v>0.1</v>
      </c>
      <c r="F121" s="2857">
        <v>15</v>
      </c>
    </row>
    <row r="122" spans="1:6" ht="24">
      <c r="A122" s="2857">
        <v>50</v>
      </c>
      <c r="B122" s="3462" t="s">
        <v>2756</v>
      </c>
      <c r="C122" s="2857" t="s">
        <v>2757</v>
      </c>
      <c r="D122" s="2831" t="s">
        <v>2758</v>
      </c>
      <c r="E122" s="2857">
        <v>0.1</v>
      </c>
      <c r="F122" s="2857">
        <v>15</v>
      </c>
    </row>
    <row r="123" spans="1:6" ht="24">
      <c r="A123" s="2857">
        <v>51</v>
      </c>
      <c r="B123" s="3462"/>
      <c r="C123" s="2857" t="s">
        <v>2759</v>
      </c>
      <c r="D123" s="2831" t="s">
        <v>2760</v>
      </c>
      <c r="E123" s="2857">
        <v>0.1</v>
      </c>
      <c r="F123" s="2857">
        <v>15</v>
      </c>
    </row>
    <row r="124" spans="1:6" ht="24">
      <c r="A124" s="2857">
        <v>52</v>
      </c>
      <c r="B124" s="3462" t="s">
        <v>2761</v>
      </c>
      <c r="C124" s="2857" t="s">
        <v>2762</v>
      </c>
      <c r="D124" s="2831" t="s">
        <v>2763</v>
      </c>
      <c r="E124" s="2857">
        <v>0.1</v>
      </c>
      <c r="F124" s="2857">
        <v>15</v>
      </c>
    </row>
    <row r="125" spans="1:6" ht="24">
      <c r="A125" s="2857">
        <v>53</v>
      </c>
      <c r="B125" s="3462"/>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462" t="s">
        <v>2769</v>
      </c>
      <c r="C127" s="2857" t="s">
        <v>2770</v>
      </c>
      <c r="D127" s="2831" t="s">
        <v>2771</v>
      </c>
      <c r="E127" s="2857">
        <v>0.1</v>
      </c>
      <c r="F127" s="2857">
        <v>15</v>
      </c>
    </row>
    <row r="128" spans="1:6" ht="13.5">
      <c r="A128" s="2857">
        <v>56</v>
      </c>
      <c r="B128" s="3462"/>
      <c r="C128" s="2857" t="s">
        <v>2772</v>
      </c>
      <c r="D128" s="2831" t="s">
        <v>2773</v>
      </c>
      <c r="E128" s="2857">
        <v>0.1</v>
      </c>
      <c r="F128" s="2857">
        <v>15</v>
      </c>
    </row>
    <row r="129" spans="1:6" ht="24">
      <c r="A129" s="2857">
        <v>57</v>
      </c>
      <c r="B129" s="3462"/>
      <c r="C129" s="2857" t="s">
        <v>2774</v>
      </c>
      <c r="D129" s="2831" t="s">
        <v>2775</v>
      </c>
      <c r="E129" s="2857">
        <v>0.1</v>
      </c>
      <c r="F129" s="2857">
        <v>15</v>
      </c>
    </row>
    <row r="130" spans="1:6" ht="24">
      <c r="A130" s="2857">
        <v>58</v>
      </c>
      <c r="B130" s="3462" t="s">
        <v>2776</v>
      </c>
      <c r="C130" s="2857" t="s">
        <v>2777</v>
      </c>
      <c r="D130" s="2831" t="s">
        <v>2778</v>
      </c>
      <c r="E130" s="2857">
        <v>0.1</v>
      </c>
      <c r="F130" s="2857">
        <v>15</v>
      </c>
    </row>
    <row r="131" spans="1:6" ht="13.5">
      <c r="A131" s="2857">
        <v>59</v>
      </c>
      <c r="B131" s="3462"/>
      <c r="C131" s="2857" t="s">
        <v>2779</v>
      </c>
      <c r="D131" s="2831" t="s">
        <v>2780</v>
      </c>
      <c r="E131" s="2857">
        <v>0.1</v>
      </c>
      <c r="F131" s="2857">
        <v>15</v>
      </c>
    </row>
    <row r="132" spans="1:6" ht="13.5">
      <c r="A132" s="2857">
        <v>60</v>
      </c>
      <c r="B132" s="3463" t="s">
        <v>2781</v>
      </c>
      <c r="C132" s="2857" t="s">
        <v>2782</v>
      </c>
      <c r="D132" s="2831" t="s">
        <v>2783</v>
      </c>
      <c r="E132" s="2857">
        <v>0.1</v>
      </c>
      <c r="F132" s="2857">
        <v>15</v>
      </c>
    </row>
    <row r="133" spans="1:6" ht="13.5">
      <c r="A133" s="2857">
        <v>61</v>
      </c>
      <c r="B133" s="3464"/>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462" t="s">
        <v>2789</v>
      </c>
      <c r="C135" s="2857" t="s">
        <v>2790</v>
      </c>
      <c r="D135" s="2831" t="s">
        <v>2791</v>
      </c>
      <c r="E135" s="2857">
        <v>0.1</v>
      </c>
      <c r="F135" s="2857">
        <v>15</v>
      </c>
    </row>
    <row r="136" spans="1:6" ht="13.5">
      <c r="A136" s="2857">
        <v>64</v>
      </c>
      <c r="B136" s="3462"/>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1.2302</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1.1198999999999999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30555</v>
      </c>
      <c r="C2" s="2" t="s">
        <v>106</v>
      </c>
      <c r="D2" s="190"/>
      <c r="E2" s="190"/>
      <c r="F2" s="190"/>
      <c r="G2" s="190"/>
    </row>
    <row r="3" spans="1:7" s="191" customFormat="1" ht="18" customHeight="1" thickBot="1">
      <c r="A3" s="194" t="s">
        <v>58</v>
      </c>
      <c r="B3" s="195">
        <f ca="1">ROUND(B2*10000/'数据-汇总表'!E3,0)</f>
        <v>19156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191</v>
      </c>
      <c r="D10" s="794">
        <f>'数据-汇总表'!E6</f>
        <v>15950.36</v>
      </c>
      <c r="E10" s="216">
        <f>'数据-取费表'!B28</f>
        <v>120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191</v>
      </c>
      <c r="D19" s="203">
        <f>'数据-汇总表'!E3</f>
        <v>15950.36</v>
      </c>
      <c r="E19" s="202">
        <f>'数据-取费表'!B31</f>
        <v>120</v>
      </c>
      <c r="F19" s="222"/>
      <c r="G19" s="1" t="s">
        <v>436</v>
      </c>
    </row>
    <row r="20" spans="1:7" s="205" customFormat="1" ht="13.5" customHeight="1">
      <c r="A20" s="730" t="s">
        <v>419</v>
      </c>
      <c r="B20" s="201" t="s">
        <v>77</v>
      </c>
      <c r="C20" s="223">
        <f>ROUND((C5+C19)*F20,0)</f>
        <v>416</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1323</v>
      </c>
      <c r="D22" s="226">
        <f ca="1">C26</f>
        <v>5.9999999999999995E-4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12</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2122</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2122</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26661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4253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3796</v>
      </c>
      <c r="D34" s="208"/>
      <c r="E34" s="211"/>
      <c r="F34" s="248">
        <f>IF('数据-取费表'!B24=0,1,'数据-取费表'!N16)</f>
        <v>1</v>
      </c>
      <c r="G34" s="210" t="s">
        <v>89</v>
      </c>
    </row>
    <row r="35" spans="1:7" ht="13.5" customHeight="1">
      <c r="A35" s="733" t="s">
        <v>351</v>
      </c>
      <c r="B35" s="206" t="s">
        <v>33</v>
      </c>
      <c r="C35" s="211">
        <f>ROUND(C34*F35,0)</f>
        <v>190</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191</v>
      </c>
      <c r="D37" s="208">
        <f>'数据-汇总表'!E3</f>
        <v>15950.36</v>
      </c>
      <c r="E37" s="240">
        <f>'数据-取费表'!B35</f>
        <v>120</v>
      </c>
      <c r="F37" s="250"/>
      <c r="G37" s="252" t="s">
        <v>92</v>
      </c>
    </row>
    <row r="38" spans="1:7" ht="13.5" customHeight="1">
      <c r="A38" s="733" t="s">
        <v>354</v>
      </c>
      <c r="B38" s="206" t="s">
        <v>36</v>
      </c>
      <c r="C38" s="211">
        <f>ROUND(C34*F38,0)</f>
        <v>76</v>
      </c>
      <c r="D38" s="211"/>
      <c r="E38" s="211"/>
      <c r="F38" s="250">
        <f>'数据-取费表'!B36</f>
        <v>0.02</v>
      </c>
      <c r="G38" s="210" t="s">
        <v>90</v>
      </c>
    </row>
    <row r="39" spans="1:7" s="205" customFormat="1" ht="13.5" customHeight="1">
      <c r="A39" s="730" t="s">
        <v>338</v>
      </c>
      <c r="B39" s="201" t="s">
        <v>77</v>
      </c>
      <c r="C39" s="223">
        <f>ROUND(C33*F20,0)</f>
        <v>85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135</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132</v>
      </c>
      <c r="D42" s="229"/>
      <c r="E42" s="229"/>
      <c r="F42" s="230"/>
      <c r="G42" s="3339" t="s">
        <v>94</v>
      </c>
    </row>
    <row r="43" spans="1:7" ht="13.5" customHeight="1">
      <c r="A43" s="733" t="s">
        <v>347</v>
      </c>
      <c r="B43" s="206" t="s">
        <v>426</v>
      </c>
      <c r="C43" s="229">
        <f ca="1">ROUND(IF('数据-取费表'!B22&lt;=1,C39*F22*'数据-取费表'!B21/2,C39*(POWER((1+F22),'数据-取费表'!B21/2)-1)),0)</f>
        <v>3</v>
      </c>
      <c r="D43" s="229"/>
      <c r="E43" s="229"/>
      <c r="F43" s="230"/>
      <c r="G43" s="3340"/>
    </row>
    <row r="44" spans="1:7" ht="13.5" customHeight="1">
      <c r="A44" s="733" t="s">
        <v>348</v>
      </c>
      <c r="B44" s="206" t="s">
        <v>428</v>
      </c>
      <c r="C44" s="229">
        <f ca="1">ROUND(IF('数据-取费表'!B22&lt;=1,C40*F22*'数据-取费表'!B21/2,C40*(POWER((1+F22),'数据-取费表'!B21/2)-1)),4)</f>
        <v>5.9999999999999995E-4</v>
      </c>
      <c r="D44" s="229"/>
      <c r="E44" s="229"/>
      <c r="F44" s="230"/>
      <c r="G44" s="3341"/>
    </row>
    <row r="45" spans="1:7" s="205" customFormat="1" ht="13.5" customHeight="1">
      <c r="A45" s="730" t="s">
        <v>341</v>
      </c>
      <c r="B45" s="235" t="s">
        <v>85</v>
      </c>
      <c r="C45" s="236">
        <f>C46</f>
        <v>434</v>
      </c>
      <c r="D45" s="226">
        <f>C47</f>
        <v>2E-3</v>
      </c>
      <c r="E45" s="227" t="s">
        <v>102</v>
      </c>
      <c r="F45" s="237"/>
      <c r="G45" s="238" t="s">
        <v>434</v>
      </c>
    </row>
    <row r="46" spans="1:7" s="205" customFormat="1" ht="13.5" customHeight="1">
      <c r="A46" s="733" t="s">
        <v>349</v>
      </c>
      <c r="B46" s="239" t="s">
        <v>427</v>
      </c>
      <c r="C46" s="240">
        <f>ROUND((C33+C39)*F27,0)</f>
        <v>434</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5305</v>
      </c>
      <c r="D49" s="223"/>
      <c r="E49" s="223"/>
      <c r="F49" s="255"/>
      <c r="G49" s="225" t="s">
        <v>435</v>
      </c>
    </row>
    <row r="50" spans="1:7" s="249" customFormat="1" ht="24">
      <c r="A50" s="730" t="s">
        <v>344</v>
      </c>
      <c r="B50" s="201" t="s">
        <v>97</v>
      </c>
      <c r="C50" s="223"/>
      <c r="D50" s="223"/>
      <c r="E50" s="223"/>
      <c r="F50" s="255">
        <f>IF('数据-取费表'!B24=0,'数据-取费表'!N16,1)</f>
        <v>0.73399999999999999</v>
      </c>
      <c r="G50" s="238" t="s">
        <v>98</v>
      </c>
    </row>
    <row r="51" spans="1:7" ht="16.5" customHeight="1">
      <c r="A51" s="730" t="s">
        <v>345</v>
      </c>
      <c r="B51" s="201" t="s">
        <v>105</v>
      </c>
      <c r="C51" s="223">
        <f ca="1">ROUND(C49*F50,0)</f>
        <v>3894</v>
      </c>
      <c r="D51" s="223"/>
      <c r="E51" s="223"/>
      <c r="F51" s="255"/>
      <c r="G51" s="225" t="s">
        <v>37</v>
      </c>
    </row>
    <row r="52" spans="1:7" s="199" customFormat="1" ht="16.5" thickBot="1">
      <c r="A52" s="256" t="s">
        <v>38</v>
      </c>
      <c r="B52" s="257"/>
      <c r="C52" s="258">
        <f ca="1">C31+C51</f>
        <v>30555</v>
      </c>
      <c r="D52" s="257"/>
      <c r="E52" s="257"/>
      <c r="F52" s="257"/>
      <c r="G52" s="259"/>
    </row>
    <row r="55" spans="1:7" ht="15">
      <c r="B55" s="261" t="s">
        <v>39</v>
      </c>
      <c r="C55" s="262"/>
    </row>
    <row r="56" spans="1:7">
      <c r="B56" s="264" t="s">
        <v>40</v>
      </c>
      <c r="C56" s="265">
        <f ca="1">ROUND(C51/C52,3)</f>
        <v>0.127</v>
      </c>
    </row>
    <row r="57" spans="1:7">
      <c r="B57" s="264" t="s">
        <v>41</v>
      </c>
      <c r="C57" s="266">
        <f ca="1">1-C56</f>
        <v>0.873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2839</v>
      </c>
      <c r="B1" s="3476"/>
      <c r="C1" s="3476"/>
      <c r="D1" s="3476"/>
      <c r="E1" s="3476"/>
      <c r="F1" s="3476"/>
      <c r="G1" s="347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7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47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3181</v>
      </c>
      <c r="B1" s="3478"/>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9" t="s">
        <v>3232</v>
      </c>
      <c r="B1" s="3479"/>
      <c r="C1" s="3479"/>
      <c r="D1" s="3479"/>
      <c r="E1" s="3479"/>
      <c r="F1" s="348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45740</v>
      </c>
      <c r="B1" s="2929" t="s">
        <v>3380</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row>
    <row r="3" spans="1:30" s="2886" customFormat="1" ht="12.75">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3376</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4" customFormat="1" ht="12.75">
      <c r="A7" s="2039" t="s">
        <v>3384</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3377</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3375</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3371</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3370</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3368</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3367</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3366</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3364</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3355</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2820</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2821</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2822</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2823</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3383</v>
      </c>
    </row>
    <row r="24" spans="1:30">
      <c r="I24" s="1404" t="s">
        <v>2825</v>
      </c>
    </row>
    <row r="26" spans="1:30" s="2008" customFormat="1" ht="12.75">
      <c r="B26" s="2929" t="s">
        <v>3381</v>
      </c>
      <c r="C26" s="2930"/>
      <c r="D26" s="2930"/>
      <c r="E26" s="2930"/>
      <c r="F26" s="2930"/>
      <c r="G26" s="2930"/>
      <c r="H26" s="2930"/>
      <c r="I26" s="2930"/>
      <c r="J26" s="2896"/>
      <c r="K26" s="2930" t="s">
        <v>2826</v>
      </c>
      <c r="L26" s="2930"/>
      <c r="M26" s="2930"/>
      <c r="N26" s="2930"/>
      <c r="O26" s="2930"/>
      <c r="P26" s="2930"/>
      <c r="Q26" s="2896"/>
      <c r="R26" s="3481" t="s">
        <v>2827</v>
      </c>
      <c r="S26" s="3482"/>
      <c r="T26" s="3482"/>
      <c r="U26" s="3482"/>
      <c r="V26" s="3482"/>
      <c r="W26" s="3482"/>
      <c r="X26" s="2896"/>
      <c r="Y26" s="3481" t="s">
        <v>2828</v>
      </c>
      <c r="Z26" s="3482"/>
      <c r="AA26" s="3482"/>
      <c r="AB26" s="3482"/>
      <c r="AC26" s="3482"/>
      <c r="AD26" s="3482"/>
    </row>
    <row r="27" spans="1:30" s="2009" customFormat="1" ht="14.25" thickBot="1">
      <c r="B27" s="2881"/>
      <c r="C27" s="2882"/>
      <c r="D27" s="2010" t="s">
        <v>2829</v>
      </c>
      <c r="E27" s="2011" t="s">
        <v>2830</v>
      </c>
      <c r="F27" s="2011" t="s">
        <v>2831</v>
      </c>
      <c r="G27" s="2011" t="s">
        <v>2832</v>
      </c>
      <c r="H27" s="2011"/>
      <c r="I27" s="2011" t="s">
        <v>2833</v>
      </c>
      <c r="J27" s="2883"/>
      <c r="K27" s="2010" t="s">
        <v>2829</v>
      </c>
      <c r="L27" s="2011" t="s">
        <v>2830</v>
      </c>
      <c r="M27" s="2011" t="s">
        <v>2831</v>
      </c>
      <c r="N27" s="2011" t="s">
        <v>2832</v>
      </c>
      <c r="O27" s="2011"/>
      <c r="P27" s="2011" t="s">
        <v>2833</v>
      </c>
      <c r="Q27" s="2883"/>
      <c r="R27" s="2010" t="s">
        <v>2829</v>
      </c>
      <c r="S27" s="2011" t="s">
        <v>2830</v>
      </c>
      <c r="T27" s="2011" t="s">
        <v>2831</v>
      </c>
      <c r="U27" s="2011" t="s">
        <v>2832</v>
      </c>
      <c r="V27" s="2011"/>
      <c r="W27" s="2011" t="s">
        <v>2833</v>
      </c>
      <c r="X27" s="2883"/>
      <c r="Y27" s="2010" t="s">
        <v>2829</v>
      </c>
      <c r="Z27" s="2011" t="s">
        <v>2830</v>
      </c>
      <c r="AA27" s="2011" t="s">
        <v>2831</v>
      </c>
      <c r="AB27" s="2011" t="s">
        <v>2832</v>
      </c>
      <c r="AC27" s="2011"/>
      <c r="AD27" s="2011" t="s">
        <v>2833</v>
      </c>
    </row>
    <row r="28" spans="1:30" s="2886" customFormat="1" ht="12.75">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3376</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4" customFormat="1" ht="12.75">
      <c r="A32" s="2039" t="s">
        <v>3373</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3379</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3374</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3372</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3370</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3369</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3367</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3366</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3365</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3355</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2835</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2836</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2837</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2838</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topLeftCell="A24"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45740</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2309</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1"/>
      <c r="B3" s="3171"/>
      <c r="C3" s="3171"/>
      <c r="D3" s="800" t="s">
        <v>925</v>
      </c>
      <c r="E3" s="800" t="s">
        <v>931</v>
      </c>
      <c r="F3" s="800" t="s">
        <v>925</v>
      </c>
      <c r="G3" s="800" t="s">
        <v>926</v>
      </c>
      <c r="H3" s="800" t="s">
        <v>925</v>
      </c>
      <c r="I3" s="800" t="s">
        <v>926</v>
      </c>
    </row>
    <row r="4" spans="1:9" ht="15">
      <c r="A4" s="1402" t="str">
        <f>项目基本情况!S2</f>
        <v>北京市房地产</v>
      </c>
      <c r="B4" s="800">
        <f>项目基本情况!C17</f>
        <v>15950.36</v>
      </c>
      <c r="C4" s="800">
        <f>项目基本情况!C18</f>
        <v>24215.7</v>
      </c>
      <c r="D4" s="800">
        <f ca="1">结果表!D118</f>
        <v>3740</v>
      </c>
      <c r="E4" s="800">
        <f ca="1">结果表!E118</f>
        <v>2345</v>
      </c>
      <c r="F4" s="800">
        <f ca="1">结果表!F118</f>
        <v>4184</v>
      </c>
      <c r="G4" s="800">
        <f ca="1">结果表!G118</f>
        <v>2623</v>
      </c>
      <c r="H4" s="800">
        <f ca="1">结果表!H118</f>
        <v>7924</v>
      </c>
      <c r="I4" s="800">
        <f ca="1">结果表!I118</f>
        <v>4968</v>
      </c>
    </row>
    <row r="5" spans="1:9" ht="30" customHeight="1">
      <c r="A5" s="3171" t="s">
        <v>927</v>
      </c>
      <c r="B5" s="3171"/>
      <c r="C5" s="3171"/>
      <c r="D5" s="3171" t="str">
        <f ca="1">结果表!D119</f>
        <v>叁仟柒佰肆拾万元整</v>
      </c>
      <c r="E5" s="3171"/>
      <c r="F5" s="3171" t="str">
        <f ca="1">结果表!F119</f>
        <v>肆仟壹佰捌拾肆万元整</v>
      </c>
      <c r="G5" s="3171"/>
      <c r="H5" s="3171" t="str">
        <f ca="1">结果表!H119</f>
        <v>柒仟玖佰贰拾肆万元整</v>
      </c>
      <c r="I5" s="3171"/>
    </row>
    <row r="6" spans="1:9" ht="15.75">
      <c r="A6" s="3170" t="str">
        <f>结果表!A120</f>
        <v>估价师知悉的法定优先受偿款</v>
      </c>
      <c r="B6" s="3170"/>
      <c r="C6" s="3170"/>
      <c r="D6" s="3170">
        <f>结果表!D120</f>
        <v>0</v>
      </c>
      <c r="E6" s="3170"/>
      <c r="F6" s="3170"/>
      <c r="G6" s="3170"/>
      <c r="H6" s="3170"/>
      <c r="I6" s="3170"/>
    </row>
    <row r="7" spans="1:9" ht="15">
      <c r="A7" s="3171" t="s">
        <v>927</v>
      </c>
      <c r="B7" s="3171"/>
      <c r="C7" s="3171"/>
      <c r="D7" s="3172" t="str">
        <f>结果表!D121</f>
        <v>零元整</v>
      </c>
      <c r="E7" s="3173"/>
      <c r="F7" s="3173"/>
      <c r="G7" s="3173"/>
      <c r="H7" s="3173"/>
      <c r="I7" s="3174"/>
    </row>
    <row r="8" spans="1:9" ht="15.75">
      <c r="A8" s="3170" t="str">
        <f>结果表!A122</f>
        <v>房地产抵押价值</v>
      </c>
      <c r="B8" s="3170"/>
      <c r="C8" s="3170"/>
      <c r="D8" s="3170">
        <f ca="1">结果表!D122</f>
        <v>7924</v>
      </c>
      <c r="E8" s="3170"/>
      <c r="F8" s="3170"/>
      <c r="G8" s="3170"/>
      <c r="H8" s="3170"/>
      <c r="I8" s="3170"/>
    </row>
    <row r="9" spans="1:9" ht="15">
      <c r="A9" s="3171" t="s">
        <v>927</v>
      </c>
      <c r="B9" s="3171"/>
      <c r="C9" s="3171"/>
      <c r="D9" s="3171" t="str">
        <f ca="1">结果表!D123</f>
        <v>柒仟玖佰贰拾肆万元整</v>
      </c>
      <c r="E9" s="3171"/>
      <c r="F9" s="3171"/>
      <c r="G9" s="3171"/>
      <c r="H9" s="3171"/>
      <c r="I9" s="3171"/>
    </row>
    <row r="10" spans="1:9" ht="15.75">
      <c r="A10" s="3170" t="str">
        <f>结果表!A124</f>
        <v/>
      </c>
      <c r="B10" s="3170"/>
      <c r="C10" s="3170"/>
      <c r="D10" s="3170" t="str">
        <f>结果表!D124</f>
        <v>——</v>
      </c>
      <c r="E10" s="3170"/>
      <c r="F10" s="3170"/>
      <c r="G10" s="3170"/>
      <c r="H10" s="3170"/>
      <c r="I10" s="3170"/>
    </row>
    <row r="11" spans="1:9" ht="15">
      <c r="A11" s="3171" t="s">
        <v>927</v>
      </c>
      <c r="B11" s="3171"/>
      <c r="C11" s="3171"/>
      <c r="D11" s="3171" t="e">
        <f>结果表!D125</f>
        <v>#VALUE!</v>
      </c>
      <c r="E11" s="3171"/>
      <c r="F11" s="3171"/>
      <c r="G11" s="3171"/>
      <c r="H11" s="3171"/>
      <c r="I11" s="3171"/>
    </row>
    <row r="12" spans="1:9" ht="15.75">
      <c r="A12" s="3170" t="str">
        <f>结果表!A126</f>
        <v/>
      </c>
      <c r="B12" s="3170"/>
      <c r="C12" s="3170"/>
      <c r="D12" s="3170" t="str">
        <f>结果表!D126</f>
        <v>——</v>
      </c>
      <c r="E12" s="3170"/>
      <c r="F12" s="3170"/>
      <c r="G12" s="3170"/>
      <c r="H12" s="3170"/>
      <c r="I12" s="3170"/>
    </row>
    <row r="13" spans="1:9" ht="15.75" thickBot="1">
      <c r="A13" s="3168" t="s">
        <v>927</v>
      </c>
      <c r="B13" s="3168"/>
      <c r="C13" s="3168"/>
      <c r="D13" s="3168" t="e">
        <f>结果表!D127</f>
        <v>#VALUE!</v>
      </c>
      <c r="E13" s="3168"/>
      <c r="F13" s="3168"/>
      <c r="G13" s="3168"/>
      <c r="H13" s="3168"/>
      <c r="I13" s="3168"/>
    </row>
    <row r="14" spans="1:9" ht="15" thickTop="1">
      <c r="A14" s="3169" t="s">
        <v>932</v>
      </c>
      <c r="B14" s="3169"/>
      <c r="C14" s="3169"/>
      <c r="D14" s="3169"/>
      <c r="E14" s="3169"/>
      <c r="F14" s="3169"/>
      <c r="G14" s="3169"/>
      <c r="H14" s="3169"/>
      <c r="I14" s="3169"/>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3" t="s">
        <v>949</v>
      </c>
      <c r="B1" s="3183"/>
      <c r="C1" s="3183"/>
      <c r="D1" s="3183"/>
    </row>
    <row r="2" spans="1:4" ht="18">
      <c r="A2" s="3184" t="s">
        <v>933</v>
      </c>
      <c r="B2" s="3184"/>
      <c r="C2" s="3184"/>
      <c r="D2" s="318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4" t="s">
        <v>939</v>
      </c>
      <c r="B6" s="3184"/>
      <c r="C6" s="3184"/>
      <c r="D6" s="318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5"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7" t="str">
        <f>IF(项目基本情况!B8="抵押","4.本次评估估价师所知悉的法定优先受偿款情况说明如下：","——")</f>
        <v>4.本次评估估价师所知悉的法定优先受偿款情况说明如下：</v>
      </c>
      <c r="B14" s="3182"/>
      <c r="C14" s="3182"/>
      <c r="D14" s="3182"/>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79" t="s">
        <v>943</v>
      </c>
      <c r="B16" s="3179"/>
      <c r="C16" s="3179"/>
      <c r="D16" s="3179"/>
    </row>
    <row r="17" spans="1:4" ht="144" customHeight="1">
      <c r="A17" s="3179" t="s">
        <v>944</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945</v>
      </c>
      <c r="B22" s="3181"/>
      <c r="C22" s="3181"/>
      <c r="D22" s="3181"/>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1" t="s">
        <v>956</v>
      </c>
      <c r="B15" s="3186" t="s">
        <v>109</v>
      </c>
      <c r="C15" s="3187"/>
    </row>
    <row r="16" spans="1:7" ht="13.5">
      <c r="A16" s="3192"/>
      <c r="B16" s="3186" t="s">
        <v>42</v>
      </c>
      <c r="C16" s="3187"/>
    </row>
    <row r="17" spans="1:3" ht="13.5">
      <c r="A17" s="3192"/>
      <c r="B17" s="3189" t="s">
        <v>957</v>
      </c>
      <c r="C17" s="1428" t="s">
        <v>956</v>
      </c>
    </row>
    <row r="18" spans="1:3" ht="13.5">
      <c r="A18" s="3192"/>
      <c r="B18" s="3189"/>
      <c r="C18" s="1428" t="s">
        <v>958</v>
      </c>
    </row>
    <row r="19" spans="1:3" ht="13.5">
      <c r="A19" s="3192"/>
      <c r="B19" s="3189"/>
      <c r="C19" s="1428" t="s">
        <v>959</v>
      </c>
    </row>
    <row r="20" spans="1:3" ht="13.5">
      <c r="A20" s="3193"/>
      <c r="B20" s="3188" t="s">
        <v>960</v>
      </c>
      <c r="C20" s="3187"/>
    </row>
    <row r="21" spans="1:3" ht="13.5">
      <c r="A21" s="1429" t="s">
        <v>961</v>
      </c>
      <c r="B21" s="1430"/>
      <c r="C21" s="1431"/>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8" t="s">
        <v>967</v>
      </c>
    </row>
    <row r="26" spans="1:3" ht="13.5">
      <c r="A26" s="3190"/>
      <c r="B26" s="3189"/>
      <c r="C26" s="1428" t="s">
        <v>968</v>
      </c>
    </row>
    <row r="27" spans="1:3" ht="13.5">
      <c r="A27" s="3190"/>
      <c r="B27" s="3189"/>
      <c r="C27" s="1428" t="s">
        <v>969</v>
      </c>
    </row>
    <row r="28" spans="1:3" ht="13.5">
      <c r="A28" s="3190"/>
      <c r="B28" s="3189"/>
      <c r="C28" s="1428" t="s">
        <v>970</v>
      </c>
    </row>
    <row r="29" spans="1:3" ht="13.5">
      <c r="A29" s="3190"/>
      <c r="B29" s="3189"/>
      <c r="C29" s="1428" t="s">
        <v>971</v>
      </c>
    </row>
    <row r="30" spans="1:3" ht="13.5">
      <c r="A30" s="3190"/>
      <c r="B30" s="3189"/>
      <c r="C30" s="1428" t="s">
        <v>972</v>
      </c>
    </row>
    <row r="31" spans="1:3" ht="13.5">
      <c r="A31" s="3190"/>
      <c r="B31" s="3189"/>
      <c r="C31" s="1428" t="s">
        <v>973</v>
      </c>
    </row>
    <row r="32" spans="1:3" ht="13.5">
      <c r="A32" s="3190"/>
      <c r="B32" s="3189"/>
      <c r="C32" s="1428" t="s">
        <v>974</v>
      </c>
    </row>
    <row r="33" spans="1:3" ht="13.5">
      <c r="A33" s="3190"/>
      <c r="B33" s="318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45740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历史</vt:lpstr>
      <vt:lpstr>成本法</vt:lpstr>
      <vt:lpstr>成本法 (元)</vt:lpstr>
      <vt:lpstr>假设开发法</vt:lpstr>
      <vt:lpstr>基准地价修正</vt:lpstr>
      <vt:lpstr>收益法厂房</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2025-03-24T02:52:48Z</dcterms:modified>
</cp:coreProperties>
</file>