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2017-1079 1080\塔城\"/>
    </mc:Choice>
  </mc:AlternateContent>
  <bookViews>
    <workbookView xWindow="0" yWindow="0" windowWidth="19200" windowHeight="11040" tabRatio="881"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业" sheetId="82" state="hidden" r:id="rId18"/>
    <sheet name="结果表" sheetId="9" r:id="rId19"/>
    <sheet name="比较法-办公" sheetId="34" r:id="rId20"/>
    <sheet name="收益法（办公）" sheetId="67" r:id="rId21"/>
    <sheet name="信息" sheetId="84" r:id="rId22"/>
    <sheet name="Sheet1" sheetId="85" state="hidden" r:id="rId23"/>
    <sheet name="典型户型修正（办公）" sheetId="31" state="hidden" r:id="rId24"/>
    <sheet name="成本法" sheetId="68" state="hidden" r:id="rId25"/>
    <sheet name="成本法 (元)" sheetId="69" state="hidden" r:id="rId26"/>
    <sheet name="假设开发法" sheetId="12" state="hidden" r:id="rId27"/>
    <sheet name="比较法-住宅" sheetId="21" state="hidden" r:id="rId28"/>
    <sheet name="收益法" sheetId="15" state="hidden" r:id="rId29"/>
    <sheet name="收益法（汇总）" sheetId="70" state="hidden" r:id="rId30"/>
    <sheet name="酒店收入计算" sheetId="66" state="hidden" r:id="rId31"/>
    <sheet name="比较法-商业" sheetId="33" state="hidden" r:id="rId32"/>
    <sheet name="收益法 (1层商业)" sheetId="81" state="hidden" r:id="rId33"/>
    <sheet name="典型户型修正（商业）" sheetId="83"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面积1" sheetId="80"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19"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19">'比较法-办公'!$A$1:$K$50</definedName>
    <definedName name="_xlnm.Print_Area" localSheetId="31">'比较法-商业'!$A$1:$K$49</definedName>
    <definedName name="_xlnm.Print_Area" localSheetId="23">'典型户型修正（办公）'!$A$1:$T$34</definedName>
    <definedName name="_xlnm.Print_Area" localSheetId="33">'典型户型修正（商业）'!$A$1:$T$28</definedName>
    <definedName name="_xlnm.Print_Area" localSheetId="15">估价对象房地状况!$A$1:$G$24</definedName>
    <definedName name="_xlnm.Print_Area" localSheetId="8">估价师及机构信息!$A$1:$F$29</definedName>
    <definedName name="_xlnm.Print_Area" localSheetId="18">结果表!$A$1:$I$22</definedName>
    <definedName name="_xlnm.Print_Area" localSheetId="17">'结果表（商业'!$A$1:$I$22</definedName>
    <definedName name="_xlnm.Print_Area" localSheetId="47">面积1!$A$1:$J$31</definedName>
    <definedName name="_xlnm.Print_Area" localSheetId="28">收益法!$A$1:$AK$69</definedName>
    <definedName name="_xlnm.Print_Area" localSheetId="32">'收益法 (1层商业)'!$A$1:$F$43</definedName>
    <definedName name="_xlnm.Print_Area" localSheetId="20">'收益法（办公）'!$A$1:$F$44</definedName>
    <definedName name="_xlnm.Print_Area" localSheetId="38">'收益法-车库'!$A$1:$AK$69</definedName>
    <definedName name="_xlnm.Print_Area" localSheetId="36">'收益法-联排'!$A$1:$AK$69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'典型户型修正（商业）'!$5:$5</definedName>
    <definedName name="一修多修正项2">'典型户型修正（办公）'!$5:$5</definedName>
    <definedName name="一修多修正项3" localSheetId="33">'典型户型修正（商业）'!$7:$7</definedName>
    <definedName name="一修多修正项3">'典型户型修正（办公）'!$7:$7</definedName>
    <definedName name="一修多修正项4" localSheetId="33">'典型户型修正（商业）'!$9:$9</definedName>
    <definedName name="一修多修正项4">'典型户型修正（办公）'!$9:$9</definedName>
    <definedName name="一修多修正项5" localSheetId="33">'典型户型修正（商业）'!$11:$11</definedName>
    <definedName name="一修多修正项5">'典型户型修正（办公）'!$11:$11</definedName>
    <definedName name="一修多修正项6" localSheetId="33">'典型户型修正（商业）'!$13:$13</definedName>
    <definedName name="一修多修正项6">'典型户型修正（办公）'!$13:$13</definedName>
    <definedName name="一修多修正项7" localSheetId="33">'典型户型修正（商业）'!$15:$15</definedName>
    <definedName name="一修多修正项7">'典型户型修正（办公）'!$15:$15</definedName>
    <definedName name="一修多修正项8" localSheetId="33">'典型户型修正（商业）'!$17:$17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48" i="34" l="1"/>
  <c r="D5" i="84"/>
  <c r="E5" i="84"/>
  <c r="E4" i="84"/>
  <c r="C37" i="34"/>
  <c r="C34" i="34"/>
  <c r="N6" i="1"/>
  <c r="F19" i="6"/>
  <c r="K16" i="3"/>
  <c r="D3" i="4"/>
  <c r="I47" i="33"/>
  <c r="G47" i="33"/>
  <c r="E47" i="33"/>
  <c r="B7" i="83"/>
  <c r="T5" i="83"/>
  <c r="D5" i="83"/>
  <c r="E5" i="83"/>
  <c r="F5" i="83"/>
  <c r="G5" i="83"/>
  <c r="C5" i="83"/>
  <c r="C36" i="33"/>
  <c r="H36" i="33"/>
  <c r="AB36" i="33"/>
  <c r="K42" i="33"/>
  <c r="D123" i="33"/>
  <c r="H42" i="33"/>
  <c r="AB42" i="33"/>
  <c r="H34" i="33"/>
  <c r="AB34" i="33"/>
  <c r="T47" i="33"/>
  <c r="H28" i="33"/>
  <c r="AB28" i="33"/>
  <c r="D87" i="33"/>
  <c r="E87" i="33"/>
  <c r="H25" i="33"/>
  <c r="AB25" i="33"/>
  <c r="B2" i="1"/>
  <c r="C7" i="33"/>
  <c r="C58" i="33"/>
  <c r="D58" i="33"/>
  <c r="E58" i="33"/>
  <c r="F58" i="33"/>
  <c r="G58" i="33"/>
  <c r="H58" i="33"/>
  <c r="I58" i="33"/>
  <c r="J58" i="33"/>
  <c r="K58" i="33"/>
  <c r="L58" i="33"/>
  <c r="M58" i="33"/>
  <c r="N58" i="33"/>
  <c r="O58" i="33"/>
  <c r="H7" i="33"/>
  <c r="AB7" i="33"/>
  <c r="C33" i="33"/>
  <c r="H33" i="33"/>
  <c r="AB33" i="33"/>
  <c r="T48" i="33"/>
  <c r="F26" i="33"/>
  <c r="AA26" i="33"/>
  <c r="F34" i="33"/>
  <c r="AA34" i="33"/>
  <c r="F33" i="33"/>
  <c r="AA33" i="33"/>
  <c r="R47" i="33"/>
  <c r="F28" i="33"/>
  <c r="AA28" i="33"/>
  <c r="F87" i="33"/>
  <c r="G87" i="33"/>
  <c r="F25" i="33"/>
  <c r="AA25" i="33"/>
  <c r="F36" i="33"/>
  <c r="AA36" i="33"/>
  <c r="F7" i="33"/>
  <c r="AA7" i="33"/>
  <c r="E123" i="33"/>
  <c r="F123" i="33"/>
  <c r="F42" i="33"/>
  <c r="AA42" i="33"/>
  <c r="R48" i="33"/>
  <c r="J34" i="33"/>
  <c r="AC34" i="33"/>
  <c r="V47" i="33"/>
  <c r="J28" i="33"/>
  <c r="AC28" i="33"/>
  <c r="J25" i="33"/>
  <c r="AC25" i="33"/>
  <c r="J36" i="33"/>
  <c r="AC36" i="33"/>
  <c r="J7" i="33"/>
  <c r="AC7" i="33"/>
  <c r="J33" i="33"/>
  <c r="AC33" i="33"/>
  <c r="J42" i="33"/>
  <c r="AC42" i="33"/>
  <c r="V48" i="33"/>
  <c r="R49" i="33"/>
  <c r="C49" i="33"/>
  <c r="B3" i="33"/>
  <c r="A7" i="1"/>
  <c r="A6" i="1"/>
  <c r="G1" i="81"/>
  <c r="E20" i="6"/>
  <c r="K7" i="1"/>
  <c r="C1" i="73"/>
  <c r="L1" i="73"/>
  <c r="C42" i="1"/>
  <c r="B43" i="1"/>
  <c r="B41" i="1"/>
  <c r="F32" i="81"/>
  <c r="BB13" i="3"/>
  <c r="BC13" i="3"/>
  <c r="BA13" i="3"/>
  <c r="BC16" i="3"/>
  <c r="BD16" i="3"/>
  <c r="BA16" i="3"/>
  <c r="BB14" i="3"/>
  <c r="BC14" i="3"/>
  <c r="BD14" i="3"/>
  <c r="BE14" i="3"/>
  <c r="BF14" i="3"/>
  <c r="BG14" i="3"/>
  <c r="BH14" i="3"/>
  <c r="BI14" i="3"/>
  <c r="BJ14" i="3"/>
  <c r="BK14" i="3"/>
  <c r="BA14" i="3"/>
  <c r="BC15" i="3"/>
  <c r="BB15" i="3"/>
  <c r="BD15" i="3"/>
  <c r="BE15" i="3"/>
  <c r="BF15" i="3"/>
  <c r="BG15" i="3"/>
  <c r="BH15" i="3"/>
  <c r="BI15" i="3"/>
  <c r="BJ15" i="3"/>
  <c r="BK15" i="3"/>
  <c r="BA15" i="3"/>
  <c r="BA5" i="3"/>
  <c r="E19" i="6"/>
  <c r="BC5" i="3"/>
  <c r="BD10" i="3"/>
  <c r="E8" i="6"/>
  <c r="F27" i="6"/>
  <c r="E27" i="6"/>
  <c r="BQ14" i="3"/>
  <c r="BQ15" i="3"/>
  <c r="BQ5" i="3"/>
  <c r="BS14" i="3"/>
  <c r="BS15" i="3"/>
  <c r="BS5" i="3"/>
  <c r="F28" i="6"/>
  <c r="BR14" i="3"/>
  <c r="BR15" i="3"/>
  <c r="BR5" i="3"/>
  <c r="BT14" i="3"/>
  <c r="BT15" i="3"/>
  <c r="BT5" i="3"/>
  <c r="G28" i="6"/>
  <c r="E28" i="6"/>
  <c r="K20" i="6"/>
  <c r="S7" i="1"/>
  <c r="F17" i="81"/>
  <c r="J1" i="73"/>
  <c r="B22" i="1"/>
  <c r="E1" i="73"/>
  <c r="F23" i="81"/>
  <c r="F28" i="81"/>
  <c r="C28" i="81"/>
  <c r="AZ13" i="3"/>
  <c r="AZ16" i="3"/>
  <c r="BM14" i="3"/>
  <c r="BN14" i="3"/>
  <c r="BO14" i="3"/>
  <c r="BP14" i="3"/>
  <c r="BL14" i="3"/>
  <c r="AZ14" i="3"/>
  <c r="BM15" i="3"/>
  <c r="BN15" i="3"/>
  <c r="BO15" i="3"/>
  <c r="BP15" i="3"/>
  <c r="BL15" i="3"/>
  <c r="AZ15" i="3"/>
  <c r="AZ5" i="3"/>
  <c r="H13" i="3"/>
  <c r="G13" i="3"/>
  <c r="H16" i="3"/>
  <c r="G16" i="3"/>
  <c r="H14" i="3"/>
  <c r="G14" i="3"/>
  <c r="H15" i="3"/>
  <c r="G15" i="3"/>
  <c r="G5" i="3"/>
  <c r="B3" i="3"/>
  <c r="AY6" i="3"/>
  <c r="D3" i="6"/>
  <c r="E3" i="6"/>
  <c r="D20" i="6"/>
  <c r="L20" i="6"/>
  <c r="M20" i="6"/>
  <c r="I20" i="6"/>
  <c r="H20" i="6"/>
  <c r="R20" i="6"/>
  <c r="R7" i="1"/>
  <c r="B52" i="1"/>
  <c r="F34" i="81"/>
  <c r="E15" i="4"/>
  <c r="F7" i="1"/>
  <c r="J51" i="81"/>
  <c r="AE7" i="1"/>
  <c r="D18" i="83"/>
  <c r="E18" i="83"/>
  <c r="F18" i="83"/>
  <c r="G18" i="83"/>
  <c r="C18" i="83"/>
  <c r="D17" i="83"/>
  <c r="E17" i="83"/>
  <c r="F17" i="83"/>
  <c r="G17" i="83"/>
  <c r="C17" i="83"/>
  <c r="D4" i="83"/>
  <c r="E4" i="83"/>
  <c r="F4" i="83"/>
  <c r="G4" i="83"/>
  <c r="H4" i="83"/>
  <c r="C4" i="83"/>
  <c r="D3" i="83"/>
  <c r="E3" i="83"/>
  <c r="F3" i="83"/>
  <c r="G3" i="83"/>
  <c r="H3" i="83"/>
  <c r="C3" i="83"/>
  <c r="I19" i="33"/>
  <c r="E89" i="33"/>
  <c r="F89" i="33"/>
  <c r="G89" i="33"/>
  <c r="D89" i="33"/>
  <c r="C17"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F34" i="34"/>
  <c r="AA34" i="34"/>
  <c r="D78" i="34"/>
  <c r="E78" i="34"/>
  <c r="F15" i="34"/>
  <c r="AA15" i="34"/>
  <c r="D88" i="34"/>
  <c r="E88" i="34"/>
  <c r="F25" i="34"/>
  <c r="AA25" i="34"/>
  <c r="F37" i="34"/>
  <c r="AA37" i="34"/>
  <c r="C7" i="34"/>
  <c r="C59" i="34"/>
  <c r="D59" i="34"/>
  <c r="E59" i="34"/>
  <c r="F59" i="34"/>
  <c r="G59" i="34"/>
  <c r="H59" i="34"/>
  <c r="I59" i="34"/>
  <c r="J59" i="34"/>
  <c r="K59" i="34"/>
  <c r="L59" i="34"/>
  <c r="M59" i="34"/>
  <c r="N59" i="34"/>
  <c r="O59" i="34"/>
  <c r="F7" i="34"/>
  <c r="AA7" i="34"/>
  <c r="F10" i="34"/>
  <c r="AA10" i="34"/>
  <c r="D80" i="34"/>
  <c r="E80" i="34"/>
  <c r="F80" i="34"/>
  <c r="F17" i="34"/>
  <c r="AA17" i="34"/>
  <c r="F19" i="34"/>
  <c r="AA19" i="34"/>
  <c r="R48" i="34"/>
  <c r="F33" i="34"/>
  <c r="AA33" i="34"/>
  <c r="F35" i="34"/>
  <c r="AA35" i="34"/>
  <c r="D120" i="34"/>
  <c r="F41" i="34"/>
  <c r="AA41" i="34"/>
  <c r="D109" i="34"/>
  <c r="E109" i="34"/>
  <c r="F109" i="34"/>
  <c r="F36" i="34"/>
  <c r="AA36" i="34"/>
  <c r="D124" i="34"/>
  <c r="E124" i="34"/>
  <c r="F124" i="34"/>
  <c r="F43" i="34"/>
  <c r="AA43" i="34"/>
  <c r="D116" i="34"/>
  <c r="E116" i="34"/>
  <c r="F39" i="34"/>
  <c r="AA39" i="34"/>
  <c r="B127" i="34"/>
  <c r="F45" i="34"/>
  <c r="AA45" i="34" s="1"/>
  <c r="B129" i="34"/>
  <c r="F46" i="34"/>
  <c r="AA46" i="34"/>
  <c r="B131" i="34"/>
  <c r="F47" i="34"/>
  <c r="AA47" i="34" s="1"/>
  <c r="F9" i="34"/>
  <c r="AA9" i="34"/>
  <c r="E90" i="34"/>
  <c r="H27" i="34"/>
  <c r="AB27" i="34"/>
  <c r="H34" i="34"/>
  <c r="AB34" i="34"/>
  <c r="F78" i="34"/>
  <c r="H15" i="34"/>
  <c r="AB15" i="34"/>
  <c r="H25" i="34"/>
  <c r="AB25" i="34"/>
  <c r="H37" i="34"/>
  <c r="AB37" i="34"/>
  <c r="H7" i="34"/>
  <c r="AB7" i="34"/>
  <c r="H10" i="34"/>
  <c r="AB10" i="34"/>
  <c r="H17" i="34"/>
  <c r="AB17" i="34"/>
  <c r="H19" i="34"/>
  <c r="AB19" i="34"/>
  <c r="T48" i="34"/>
  <c r="H33" i="34"/>
  <c r="AB33" i="34"/>
  <c r="H35" i="34"/>
  <c r="AB35" i="34"/>
  <c r="H41" i="34"/>
  <c r="AB41" i="34"/>
  <c r="H36" i="34"/>
  <c r="AB36" i="34"/>
  <c r="H43" i="34"/>
  <c r="AB43" i="34"/>
  <c r="H39" i="34"/>
  <c r="AB39" i="34"/>
  <c r="H45" i="34"/>
  <c r="AB45" i="34" s="1"/>
  <c r="H46" i="34"/>
  <c r="AB46" i="34"/>
  <c r="H47" i="34"/>
  <c r="AB47" i="34" s="1"/>
  <c r="H9" i="34"/>
  <c r="AB9" i="34"/>
  <c r="J27" i="34"/>
  <c r="AC27" i="34"/>
  <c r="J34" i="34"/>
  <c r="AC34" i="34"/>
  <c r="J15" i="34"/>
  <c r="AC15" i="34"/>
  <c r="J25" i="34"/>
  <c r="AC25" i="34"/>
  <c r="J37" i="34"/>
  <c r="AC37" i="34"/>
  <c r="J7" i="34"/>
  <c r="AC7" i="34"/>
  <c r="J10" i="34"/>
  <c r="AC10" i="34" s="1"/>
  <c r="J17" i="34"/>
  <c r="AC17" i="34"/>
  <c r="J19" i="34"/>
  <c r="AC19" i="34"/>
  <c r="V48" i="34"/>
  <c r="J45" i="34"/>
  <c r="AC45" i="34" s="1"/>
  <c r="J33" i="34"/>
  <c r="AC33" i="34"/>
  <c r="J35" i="34"/>
  <c r="AC35" i="34"/>
  <c r="J36" i="34"/>
  <c r="AC36" i="34"/>
  <c r="J43" i="34"/>
  <c r="AC43" i="34"/>
  <c r="J39" i="34"/>
  <c r="AC39" i="34"/>
  <c r="J46" i="34"/>
  <c r="AC46" i="34"/>
  <c r="J47" i="34"/>
  <c r="AC47" i="34"/>
  <c r="J9" i="34"/>
  <c r="AC9" i="34"/>
  <c r="J41" i="34"/>
  <c r="AC41" i="34"/>
  <c r="G1" i="67"/>
  <c r="K6" i="1"/>
  <c r="F32" i="67"/>
  <c r="K19" i="6"/>
  <c r="S6" i="1"/>
  <c r="F17" i="67"/>
  <c r="F23" i="67"/>
  <c r="F28" i="67"/>
  <c r="C28" i="67"/>
  <c r="D19" i="6"/>
  <c r="L19" i="6"/>
  <c r="M19" i="6"/>
  <c r="I19" i="6"/>
  <c r="H19" i="6"/>
  <c r="R19" i="6"/>
  <c r="R6" i="1"/>
  <c r="F34" i="67"/>
  <c r="Y6" i="1"/>
  <c r="F15" i="4"/>
  <c r="F6" i="1"/>
  <c r="M47" i="67"/>
  <c r="C17" i="82"/>
  <c r="D17" i="82"/>
  <c r="C18" i="82"/>
  <c r="D18" i="82"/>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1" i="34"/>
  <c r="G21" i="34"/>
  <c r="I25" i="34"/>
  <c r="G25" i="34"/>
  <c r="E25" i="34"/>
  <c r="C17"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C27" i="83"/>
  <c r="E27" i="83"/>
  <c r="G27" i="83"/>
  <c r="I27" i="83"/>
  <c r="K27" i="83"/>
  <c r="M27" i="83"/>
  <c r="O27" i="83"/>
  <c r="Q27" i="83"/>
  <c r="C26" i="83"/>
  <c r="E26" i="83"/>
  <c r="G26" i="83"/>
  <c r="I26" i="83"/>
  <c r="K26" i="83"/>
  <c r="M26" i="83"/>
  <c r="O26" i="83"/>
  <c r="Q26" i="83"/>
  <c r="C25" i="83"/>
  <c r="E25" i="83"/>
  <c r="G25" i="83"/>
  <c r="I25" i="83"/>
  <c r="K25" i="83"/>
  <c r="M25" i="83"/>
  <c r="O25" i="83"/>
  <c r="Q25" i="83"/>
  <c r="P23" i="83"/>
  <c r="N23" i="83"/>
  <c r="L23" i="83"/>
  <c r="J23" i="83"/>
  <c r="H23" i="83"/>
  <c r="F23" i="83"/>
  <c r="D23" i="83"/>
  <c r="B22"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F67" i="34"/>
  <c r="G67" i="34"/>
  <c r="H67" i="34"/>
  <c r="D112" i="34"/>
  <c r="E112" i="34"/>
  <c r="F112" i="34"/>
  <c r="G112" i="34"/>
  <c r="D3" i="34"/>
  <c r="C24" i="82"/>
  <c r="H105" i="82"/>
  <c r="H106" i="82"/>
  <c r="H103" i="82"/>
  <c r="A122" i="82"/>
  <c r="D120" i="82"/>
  <c r="D121" i="82"/>
  <c r="A120" i="82"/>
  <c r="K120" i="82"/>
  <c r="M18" i="82"/>
  <c r="B118" i="82"/>
  <c r="M19" i="82"/>
  <c r="C118" i="82"/>
  <c r="S2" i="4"/>
  <c r="A118" i="82"/>
  <c r="H112" i="82"/>
  <c r="H110" i="82"/>
  <c r="H104" i="82"/>
  <c r="D101" i="82"/>
  <c r="C101" i="82"/>
  <c r="D89" i="82"/>
  <c r="C89" i="82"/>
  <c r="C87" i="82"/>
  <c r="C91" i="82"/>
  <c r="C92" i="82"/>
  <c r="D93" i="82"/>
  <c r="C94" i="82"/>
  <c r="E90" i="82"/>
  <c r="C76" i="82"/>
  <c r="D77" i="82"/>
  <c r="C77" i="82"/>
  <c r="C74" i="82"/>
  <c r="D78" i="82"/>
  <c r="H77" i="82"/>
  <c r="M49" i="82"/>
  <c r="L63" i="82"/>
  <c r="M63" i="82"/>
  <c r="M69" i="82"/>
  <c r="N69" i="82"/>
  <c r="L68" i="82"/>
  <c r="M68" i="82"/>
  <c r="D68" i="82"/>
  <c r="L67" i="82"/>
  <c r="M67" i="82"/>
  <c r="L66" i="82"/>
  <c r="M66" i="82"/>
  <c r="L65" i="82"/>
  <c r="M65" i="82"/>
  <c r="L64" i="82"/>
  <c r="M64"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19" i="82"/>
  <c r="L18" i="82"/>
  <c r="L4" i="82"/>
  <c r="K4" i="82"/>
  <c r="A2" i="82"/>
  <c r="H1" i="82"/>
  <c r="F15" i="81"/>
  <c r="F18" i="81"/>
  <c r="F20" i="81"/>
  <c r="F21" i="81"/>
  <c r="F33" i="81"/>
  <c r="M47" i="81"/>
  <c r="J50" i="81"/>
  <c r="D7" i="1"/>
  <c r="K59" i="81"/>
  <c r="P74" i="81"/>
  <c r="Q72" i="81"/>
  <c r="F60" i="81"/>
  <c r="F61" i="81"/>
  <c r="F62" i="81"/>
  <c r="P61" i="81"/>
  <c r="Q59" i="81"/>
  <c r="B24" i="1"/>
  <c r="F59" i="81"/>
  <c r="Q58" i="81"/>
  <c r="Q51" i="81"/>
  <c r="D46" i="81"/>
  <c r="F31" i="81"/>
  <c r="M18" i="81"/>
  <c r="M19" i="81"/>
  <c r="M20"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A8" i="1"/>
  <c r="A9" i="1"/>
  <c r="G1" i="78"/>
  <c r="K9" i="1"/>
  <c r="M9" i="1"/>
  <c r="S9" i="1"/>
  <c r="T9" i="1"/>
  <c r="M6" i="1"/>
  <c r="BB5" i="3"/>
  <c r="BB10" i="3"/>
  <c r="T6" i="1"/>
  <c r="M7" i="1"/>
  <c r="T7" i="1"/>
  <c r="K8" i="1"/>
  <c r="M8" i="1"/>
  <c r="S8" i="1"/>
  <c r="T8" i="1"/>
  <c r="F15" i="78"/>
  <c r="F17" i="78"/>
  <c r="F18" i="78"/>
  <c r="F20" i="78"/>
  <c r="F23" i="78"/>
  <c r="F21" i="78"/>
  <c r="F28" i="78"/>
  <c r="C28" i="78"/>
  <c r="F32" i="78"/>
  <c r="F33" i="78"/>
  <c r="F34" i="78"/>
  <c r="R9" i="1"/>
  <c r="R8" i="1"/>
  <c r="AE9" i="1"/>
  <c r="J50" i="67"/>
  <c r="J51" i="67" s="1"/>
  <c r="AE8" i="1"/>
  <c r="M47" i="78"/>
  <c r="F9" i="1"/>
  <c r="F8" i="1"/>
  <c r="J50" i="78"/>
  <c r="J51" i="78"/>
  <c r="D9" i="1"/>
  <c r="D6" i="1"/>
  <c r="D8" i="1"/>
  <c r="K59" i="78"/>
  <c r="P74" i="78"/>
  <c r="Q72" i="78"/>
  <c r="F60" i="78"/>
  <c r="F61" i="78"/>
  <c r="F62" i="78"/>
  <c r="P61" i="78"/>
  <c r="J53" i="78"/>
  <c r="Q59" i="78"/>
  <c r="F59" i="78"/>
  <c r="Q58" i="78"/>
  <c r="Q52" i="78"/>
  <c r="Q51" i="78"/>
  <c r="D46" i="78"/>
  <c r="F31" i="78"/>
  <c r="AG9" i="1"/>
  <c r="AG6"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s="1"/>
  <c r="B2" i="74" s="1"/>
  <c r="M18" i="9"/>
  <c r="B118" i="9" s="1"/>
  <c r="B14" i="74" s="1"/>
  <c r="B1" i="74" s="1"/>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c r="F11" i="1"/>
  <c r="F12" i="1"/>
  <c r="F13"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C27" i="31"/>
  <c r="E27" i="31"/>
  <c r="G27" i="31"/>
  <c r="I27" i="31"/>
  <c r="K27" i="31"/>
  <c r="M27" i="31"/>
  <c r="O27" i="31"/>
  <c r="C28" i="31"/>
  <c r="E28" i="31"/>
  <c r="G28" i="31"/>
  <c r="I28" i="31"/>
  <c r="K28" i="31"/>
  <c r="M28" i="31"/>
  <c r="O28" i="31"/>
  <c r="C29" i="31"/>
  <c r="E29" i="31"/>
  <c r="G29" i="31"/>
  <c r="I29" i="31"/>
  <c r="K29" i="31"/>
  <c r="M29" i="31"/>
  <c r="O29" i="31"/>
  <c r="C30" i="31"/>
  <c r="E30" i="31"/>
  <c r="G30" i="31"/>
  <c r="I30" i="31"/>
  <c r="K30" i="31"/>
  <c r="M30" i="31"/>
  <c r="O30" i="31"/>
  <c r="C31" i="31"/>
  <c r="E31" i="31"/>
  <c r="G31" i="31"/>
  <c r="I31" i="31"/>
  <c r="K31" i="31"/>
  <c r="M31" i="31"/>
  <c r="O31" i="31"/>
  <c r="C32" i="31"/>
  <c r="E32" i="31"/>
  <c r="G32" i="31"/>
  <c r="I32" i="31"/>
  <c r="K32" i="31"/>
  <c r="M32" i="31"/>
  <c r="O32" i="31"/>
  <c r="C33" i="31"/>
  <c r="E33" i="31"/>
  <c r="G33" i="31"/>
  <c r="I33" i="31"/>
  <c r="K33" i="31"/>
  <c r="M33" i="31"/>
  <c r="O33" i="31"/>
  <c r="C34" i="31"/>
  <c r="E34" i="31"/>
  <c r="G34" i="31"/>
  <c r="I34" i="31"/>
  <c r="K34" i="31"/>
  <c r="M34" i="31"/>
  <c r="O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F88" i="34"/>
  <c r="G88" i="34"/>
  <c r="H88" i="34"/>
  <c r="I88" i="34"/>
  <c r="J88" i="34"/>
  <c r="K88" i="34"/>
  <c r="L88" i="34"/>
  <c r="M88" i="34"/>
  <c r="D86" i="34"/>
  <c r="E86" i="34"/>
  <c r="F86" i="34"/>
  <c r="G86" i="34"/>
  <c r="D82" i="34"/>
  <c r="E82" i="34"/>
  <c r="F82" i="34"/>
  <c r="G82" i="34"/>
  <c r="G80" i="34"/>
  <c r="G78" i="34"/>
  <c r="D70" i="34"/>
  <c r="E70" i="34"/>
  <c r="M68" i="34"/>
  <c r="L68" i="34"/>
  <c r="K68" i="34"/>
  <c r="J68" i="34"/>
  <c r="I68" i="34"/>
  <c r="H68" i="34"/>
  <c r="G68" i="34"/>
  <c r="F68" i="34"/>
  <c r="E68" i="34"/>
  <c r="D68" i="34"/>
  <c r="C68" i="34"/>
  <c r="C64" i="34"/>
  <c r="P50" i="34"/>
  <c r="P49" i="34"/>
  <c r="P48" i="34"/>
  <c r="Q47" i="34"/>
  <c r="Z47" i="34" s="1"/>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Q15" i="34"/>
  <c r="Z15" i="34"/>
  <c r="Q14" i="34"/>
  <c r="Z14" i="34"/>
  <c r="Q13" i="34"/>
  <c r="Z13" i="34"/>
  <c r="Q12" i="34"/>
  <c r="Z12" i="34"/>
  <c r="J12" i="34"/>
  <c r="W12" i="34"/>
  <c r="H12" i="34"/>
  <c r="F12" i="34"/>
  <c r="S12" i="34"/>
  <c r="Q11" i="34"/>
  <c r="Z11" i="34"/>
  <c r="Q10" i="34"/>
  <c r="Z10" i="34"/>
  <c r="Q9" i="34"/>
  <c r="Z9" i="34"/>
  <c r="J8" i="34"/>
  <c r="AC8" i="34"/>
  <c r="H8" i="34"/>
  <c r="U8" i="34"/>
  <c r="F8" i="34"/>
  <c r="D121" i="33"/>
  <c r="E121" i="33"/>
  <c r="F109" i="33"/>
  <c r="E109" i="33"/>
  <c r="D109" i="33"/>
  <c r="C109" i="33"/>
  <c r="D91" i="33"/>
  <c r="E91" i="33"/>
  <c r="B88" i="33"/>
  <c r="J26" i="33"/>
  <c r="C23" i="33"/>
  <c r="C19"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W45" i="34"/>
  <c r="S45" i="34"/>
  <c r="U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62" i="67"/>
  <c r="M20" i="67"/>
  <c r="F34" i="15"/>
  <c r="F62" i="15"/>
  <c r="E10" i="6"/>
  <c r="E11" i="6"/>
  <c r="E61" i="39"/>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U25" i="34"/>
  <c r="W33" i="34"/>
  <c r="AC14" i="34"/>
  <c r="AC32" i="34"/>
  <c r="AC29" i="34"/>
  <c r="W29" i="34"/>
  <c r="W46" i="34"/>
  <c r="S32" i="34"/>
  <c r="AA32" i="34"/>
  <c r="U30" i="34"/>
  <c r="AB30" i="34"/>
  <c r="S37" i="34"/>
  <c r="U38" i="34"/>
  <c r="AC40" i="34"/>
  <c r="W40" i="34"/>
  <c r="S19" i="34"/>
  <c r="S36" i="34"/>
  <c r="AA8" i="34"/>
  <c r="S8" i="34"/>
  <c r="U9" i="34"/>
  <c r="S46" i="34"/>
  <c r="U32" i="34"/>
  <c r="AB32" i="34"/>
  <c r="U14" i="34"/>
  <c r="AB14" i="34"/>
  <c r="W43" i="34"/>
  <c r="AA11" i="34"/>
  <c r="W23" i="34"/>
  <c r="AC23"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31" i="12"/>
  <c r="F52" i="9"/>
  <c r="C31" i="12"/>
  <c r="M18"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S21" i="6"/>
  <c r="L27" i="6"/>
  <c r="S26" i="6"/>
  <c r="S22" i="6"/>
  <c r="G16" i="1"/>
  <c r="H10" i="40"/>
  <c r="U10" i="40"/>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W36" i="33"/>
  <c r="U36" i="33"/>
  <c r="W27" i="33"/>
  <c r="AC27" i="33"/>
  <c r="W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F10" i="40"/>
  <c r="AA10" i="40"/>
  <c r="S20" i="6"/>
  <c r="M27" i="6"/>
  <c r="H10" i="39"/>
  <c r="J10" i="39"/>
  <c r="M16" i="1"/>
  <c r="N16" i="1" s="1"/>
  <c r="F27" i="11"/>
  <c r="E37" i="43"/>
  <c r="AA7" i="36"/>
  <c r="R36" i="36"/>
  <c r="E36" i="36"/>
  <c r="E40" i="36"/>
  <c r="F40" i="36"/>
  <c r="AC11" i="37"/>
  <c r="W11" i="37"/>
  <c r="AB7" i="37"/>
  <c r="T42" i="37"/>
  <c r="G42" i="37"/>
  <c r="G46" i="37"/>
  <c r="H46" i="37"/>
  <c r="W11" i="34"/>
  <c r="AC11" i="34"/>
  <c r="AB7" i="36"/>
  <c r="T36" i="36"/>
  <c r="E38" i="43"/>
  <c r="E6" i="3"/>
  <c r="AA10" i="39"/>
  <c r="D10" i="68"/>
  <c r="C10" i="68" s="1"/>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s="1"/>
  <c r="C15" i="12" s="1"/>
  <c r="F34" i="11"/>
  <c r="C37" i="11" s="1"/>
  <c r="F11" i="12"/>
  <c r="C23" i="12" s="1"/>
  <c r="F34" i="68"/>
  <c r="C36" i="68" s="1"/>
  <c r="AC10" i="40"/>
  <c r="E33" i="43"/>
  <c r="G35" i="43"/>
  <c r="I35" i="43"/>
  <c r="E35" i="43"/>
  <c r="C30" i="43"/>
  <c r="E30" i="43"/>
  <c r="E29"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F63" i="40"/>
  <c r="E65" i="40"/>
  <c r="E70" i="39"/>
  <c r="F70" i="39"/>
  <c r="S10" i="40"/>
  <c r="S19" i="6"/>
  <c r="S27" i="6"/>
  <c r="I27" i="6"/>
  <c r="W10" i="39"/>
  <c r="AC10" i="39"/>
  <c r="U10" i="39"/>
  <c r="AB10" i="39"/>
  <c r="C47" i="11"/>
  <c r="D45" i="11"/>
  <c r="C29" i="11"/>
  <c r="D27" i="11"/>
  <c r="C28" i="11"/>
  <c r="C27" i="11"/>
  <c r="L16" i="1"/>
  <c r="C36" i="11"/>
  <c r="G36" i="36"/>
  <c r="R37" i="36"/>
  <c r="W7" i="21"/>
  <c r="AA7" i="21"/>
  <c r="R48" i="21"/>
  <c r="E48" i="21"/>
  <c r="E52" i="21"/>
  <c r="F52" i="21"/>
  <c r="R26" i="6"/>
  <c r="R23" i="6"/>
  <c r="R24" i="6"/>
  <c r="R21" i="6"/>
  <c r="R22" i="6"/>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H27" i="6"/>
  <c r="D31" i="6"/>
  <c r="I6" i="6"/>
  <c r="B2" i="43"/>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I5" i="6"/>
  <c r="B3" i="43"/>
  <c r="C49" i="21"/>
  <c r="I63" i="40"/>
  <c r="H65" i="40"/>
  <c r="I70" i="39"/>
  <c r="J63" i="40"/>
  <c r="I65" i="40"/>
  <c r="J70" i="39"/>
  <c r="K63" i="40"/>
  <c r="J65" i="40"/>
  <c r="K70" i="39"/>
  <c r="L63" i="40"/>
  <c r="K65" i="40"/>
  <c r="L70" i="39"/>
  <c r="E2" i="70"/>
  <c r="C34" i="69"/>
  <c r="C38"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B2" i="33"/>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50" i="11" l="1"/>
  <c r="F50" i="68"/>
  <c r="F50" i="69"/>
  <c r="C34" i="11"/>
  <c r="S47" i="34"/>
  <c r="R49" i="34"/>
  <c r="E49" i="34" s="1"/>
  <c r="E53" i="34" s="1"/>
  <c r="F53" i="34" s="1"/>
  <c r="T49" i="34"/>
  <c r="G49" i="34" s="1"/>
  <c r="G53" i="34" s="1"/>
  <c r="H53" i="34" s="1"/>
  <c r="W10" i="34"/>
  <c r="V49" i="34"/>
  <c r="I49" i="34" s="1"/>
  <c r="U45" i="34"/>
  <c r="C35" i="69"/>
  <c r="C8" i="69"/>
  <c r="C5" i="69" s="1"/>
  <c r="R16" i="1"/>
  <c r="D19" i="69"/>
  <c r="D37" i="69" s="1"/>
  <c r="C37" i="69" s="1"/>
  <c r="D7" i="74"/>
  <c r="D8" i="74"/>
  <c r="C7" i="74"/>
  <c r="C8" i="74"/>
  <c r="E10" i="49"/>
  <c r="C47" i="69"/>
  <c r="D45" i="69" s="1"/>
  <c r="E11" i="49"/>
  <c r="E22" i="49"/>
  <c r="C34" i="68"/>
  <c r="C35" i="68" s="1"/>
  <c r="B4" i="49"/>
  <c r="E16" i="49"/>
  <c r="B7" i="49"/>
  <c r="C18" i="12"/>
  <c r="B8" i="49"/>
  <c r="E5" i="49"/>
  <c r="E8" i="49"/>
  <c r="B5" i="49"/>
  <c r="B14" i="49"/>
  <c r="B22" i="49"/>
  <c r="C12" i="12"/>
  <c r="C14" i="12"/>
  <c r="C47" i="68"/>
  <c r="D45" i="68" s="1"/>
  <c r="E4" i="49"/>
  <c r="B6" i="49"/>
  <c r="E9" i="49"/>
  <c r="E21" i="49"/>
  <c r="B11" i="49"/>
  <c r="B13" i="49"/>
  <c r="B9" i="49"/>
  <c r="E4" i="4" s="1"/>
  <c r="E6" i="49"/>
  <c r="E7" i="49"/>
  <c r="B16" i="49"/>
  <c r="C4" i="4" s="1"/>
  <c r="B4" i="62" s="1"/>
  <c r="B71" i="72" s="1"/>
  <c r="B10" i="49"/>
  <c r="C9" i="68"/>
  <c r="D19" i="68"/>
  <c r="C35" i="11" l="1"/>
  <c r="C38" i="11"/>
  <c r="C33" i="11" s="1"/>
  <c r="E54" i="34"/>
  <c r="F54" i="34" s="1"/>
  <c r="R50" i="34"/>
  <c r="C49" i="34" s="1"/>
  <c r="I53" i="34"/>
  <c r="J53" i="34" s="1"/>
  <c r="G54" i="34"/>
  <c r="H54" i="34" s="1"/>
  <c r="I54" i="34"/>
  <c r="J54" i="34" s="1"/>
  <c r="C50" i="34"/>
  <c r="C33" i="69"/>
  <c r="C39" i="69" s="1"/>
  <c r="C19" i="69"/>
  <c r="C20" i="69" s="1"/>
  <c r="C16" i="12"/>
  <c r="C21" i="12" s="1"/>
  <c r="C22" i="12" s="1"/>
  <c r="C30" i="12" s="1"/>
  <c r="C28" i="12" s="1"/>
  <c r="C38" i="68"/>
  <c r="K4" i="4"/>
  <c r="B46" i="48" s="1"/>
  <c r="B4" i="72" s="1"/>
  <c r="B5" i="62"/>
  <c r="B73" i="72" s="1"/>
  <c r="D37" i="68"/>
  <c r="C37" i="68" s="1"/>
  <c r="C19" i="68"/>
  <c r="C39" i="11" l="1"/>
  <c r="C46" i="11" s="1"/>
  <c r="C45" i="11" s="1"/>
  <c r="B2" i="34"/>
  <c r="B3" i="34"/>
  <c r="C46" i="69"/>
  <c r="C45" i="69" s="1"/>
  <c r="C28" i="69"/>
  <c r="C27" i="69" s="1"/>
  <c r="C33" i="68"/>
  <c r="C39" i="68" s="1"/>
  <c r="C20" i="68"/>
  <c r="C28" i="68" s="1"/>
  <c r="C27" i="68" s="1"/>
  <c r="M9" i="67"/>
  <c r="M22" i="81"/>
  <c r="F5" i="73"/>
  <c r="F41" i="78"/>
  <c r="D2" i="36"/>
  <c r="M28" i="67"/>
  <c r="L47" i="81"/>
  <c r="J15" i="77"/>
  <c r="C14" i="77"/>
  <c r="M29" i="77"/>
  <c r="L47" i="67"/>
  <c r="J15" i="81"/>
  <c r="D5" i="73"/>
  <c r="M26" i="67"/>
  <c r="F13" i="81"/>
  <c r="F40" i="81"/>
  <c r="M29" i="78"/>
  <c r="F40" i="67"/>
  <c r="D34" i="9"/>
  <c r="F26" i="67"/>
  <c r="E2" i="68"/>
  <c r="C14" i="15"/>
  <c r="F16" i="81"/>
  <c r="F36" i="67"/>
  <c r="M6" i="81"/>
  <c r="F36" i="78"/>
  <c r="F35" i="77"/>
  <c r="M6" i="15"/>
  <c r="E8" i="76"/>
  <c r="C76" i="78"/>
  <c r="C76" i="15"/>
  <c r="M9" i="78"/>
  <c r="F42" i="67"/>
  <c r="M24" i="15"/>
  <c r="D35" i="9"/>
  <c r="F40" i="15"/>
  <c r="F37" i="77"/>
  <c r="M26" i="81"/>
  <c r="M21" i="15"/>
  <c r="D2" i="79"/>
  <c r="F6" i="67"/>
  <c r="F7" i="67"/>
  <c r="F6" i="77"/>
  <c r="M27" i="81"/>
  <c r="M29" i="67"/>
  <c r="F43" i="78"/>
  <c r="F41" i="81"/>
  <c r="F43" i="15"/>
  <c r="F26" i="81"/>
  <c r="M27" i="77"/>
  <c r="F9" i="81"/>
  <c r="M8" i="81"/>
  <c r="B13" i="76"/>
  <c r="F42" i="81"/>
  <c r="F26" i="15"/>
  <c r="B7" i="76"/>
  <c r="F37" i="67"/>
  <c r="M22" i="78"/>
  <c r="F8" i="67"/>
  <c r="M28" i="81"/>
  <c r="F6" i="73"/>
  <c r="F16" i="15"/>
  <c r="D35" i="82"/>
  <c r="AO13" i="1"/>
  <c r="D2" i="33"/>
  <c r="M23" i="67"/>
  <c r="F9" i="77"/>
  <c r="E10" i="76"/>
  <c r="F36" i="77"/>
  <c r="M29" i="81"/>
  <c r="M28" i="15"/>
  <c r="F8" i="81"/>
  <c r="D3" i="73"/>
  <c r="M21" i="77"/>
  <c r="AO12" i="1"/>
  <c r="F38" i="78"/>
  <c r="E2" i="69"/>
  <c r="F6" i="78"/>
  <c r="J15" i="15"/>
  <c r="B10" i="76"/>
  <c r="B6" i="76"/>
  <c r="F41" i="77"/>
  <c r="C14" i="78"/>
  <c r="M6" i="67"/>
  <c r="L48" i="15"/>
  <c r="M26" i="78"/>
  <c r="F38" i="67"/>
  <c r="M22" i="77"/>
  <c r="F7" i="15"/>
  <c r="F35" i="81"/>
  <c r="F7" i="78"/>
  <c r="C76" i="77"/>
  <c r="F13" i="15"/>
  <c r="L47" i="78"/>
  <c r="L48" i="67"/>
  <c r="F35" i="15"/>
  <c r="D6" i="73"/>
  <c r="M27" i="78"/>
  <c r="M21" i="67"/>
  <c r="E6" i="76"/>
  <c r="C20" i="82"/>
  <c r="C20" i="9"/>
  <c r="F16" i="67"/>
  <c r="M8" i="78"/>
  <c r="L47" i="77"/>
  <c r="F38" i="15"/>
  <c r="AO10" i="1"/>
  <c r="F7" i="77"/>
  <c r="D2" i="37"/>
  <c r="F38" i="81"/>
  <c r="L48" i="81"/>
  <c r="F42" i="15"/>
  <c r="F35" i="78"/>
  <c r="F42" i="77"/>
  <c r="F20" i="31"/>
  <c r="M26" i="77"/>
  <c r="L48" i="77"/>
  <c r="F36" i="15"/>
  <c r="D4" i="73"/>
  <c r="M23" i="77"/>
  <c r="D2" i="35"/>
  <c r="F42" i="78"/>
  <c r="F3" i="73"/>
  <c r="M22" i="15"/>
  <c r="F4" i="73"/>
  <c r="C76" i="67"/>
  <c r="F9" i="15"/>
  <c r="F37" i="81"/>
  <c r="D34" i="82"/>
  <c r="B11" i="76"/>
  <c r="M24" i="81"/>
  <c r="M27" i="15"/>
  <c r="D7" i="73"/>
  <c r="F36" i="81"/>
  <c r="F40" i="77"/>
  <c r="M23" i="81"/>
  <c r="J15" i="78"/>
  <c r="F8" i="15"/>
  <c r="AO9" i="1"/>
  <c r="M23" i="15"/>
  <c r="B9" i="76"/>
  <c r="M9" i="15"/>
  <c r="M27" i="67"/>
  <c r="M9" i="81"/>
  <c r="E13" i="76"/>
  <c r="M24" i="78"/>
  <c r="F20" i="83"/>
  <c r="F13" i="77"/>
  <c r="F13" i="78"/>
  <c r="B8" i="76"/>
  <c r="M24" i="67"/>
  <c r="AO11" i="1"/>
  <c r="F43" i="81"/>
  <c r="F26" i="78"/>
  <c r="M23" i="78"/>
  <c r="M8" i="15"/>
  <c r="F38" i="77"/>
  <c r="M8" i="67"/>
  <c r="D2" i="21"/>
  <c r="F37" i="78"/>
  <c r="F9" i="67"/>
  <c r="B12" i="76"/>
  <c r="F41" i="15"/>
  <c r="F43" i="67"/>
  <c r="E9" i="76"/>
  <c r="M21" i="78"/>
  <c r="L47" i="15"/>
  <c r="F16" i="78"/>
  <c r="E11" i="76"/>
  <c r="F40" i="78"/>
  <c r="M28" i="77"/>
  <c r="AO7" i="1"/>
  <c r="L48" i="78"/>
  <c r="F43" i="77"/>
  <c r="F6" i="15"/>
  <c r="F7" i="81"/>
  <c r="F37" i="15"/>
  <c r="D2" i="34"/>
  <c r="J15" i="67"/>
  <c r="F6" i="81"/>
  <c r="M29" i="15"/>
  <c r="M9" i="77"/>
  <c r="F8" i="78"/>
  <c r="F9" i="78"/>
  <c r="F13" i="67"/>
  <c r="E7" i="76"/>
  <c r="C76" i="81"/>
  <c r="F35" i="67"/>
  <c r="AO8" i="1"/>
  <c r="F16" i="77"/>
  <c r="M22" i="67"/>
  <c r="M6" i="77"/>
  <c r="M21" i="81"/>
  <c r="M26" i="15"/>
  <c r="M6" i="78"/>
  <c r="M8" i="77"/>
  <c r="F7" i="73"/>
  <c r="F8" i="77"/>
  <c r="M24" i="77"/>
  <c r="M28" i="78"/>
  <c r="E12" i="76"/>
  <c r="F26" i="77"/>
  <c r="C19" i="82"/>
  <c r="C19" i="9"/>
  <c r="E2" i="76" l="1"/>
  <c r="C27" i="77"/>
  <c r="J20" i="67"/>
  <c r="C34" i="15"/>
  <c r="F63" i="15"/>
  <c r="C62" i="15" s="1"/>
  <c r="F51" i="77"/>
  <c r="J57" i="67"/>
  <c r="J55" i="67" s="1"/>
  <c r="J58" i="67" s="1"/>
  <c r="Q50" i="67" s="1"/>
  <c r="I54" i="67"/>
  <c r="J60" i="67"/>
  <c r="Q48" i="67" s="1"/>
  <c r="J53" i="67"/>
  <c r="F1" i="67" s="1"/>
  <c r="L57" i="67"/>
  <c r="L56" i="67"/>
  <c r="L60" i="67"/>
  <c r="J59" i="67"/>
  <c r="L58" i="78"/>
  <c r="Q60" i="78" s="1"/>
  <c r="L59" i="78"/>
  <c r="Q61" i="78" s="1"/>
  <c r="N59" i="78"/>
  <c r="M59" i="78"/>
  <c r="Q71" i="77"/>
  <c r="F50" i="78"/>
  <c r="M7" i="78"/>
  <c r="J6" i="78" s="1"/>
  <c r="J20" i="81"/>
  <c r="F63" i="81"/>
  <c r="C62" i="81" s="1"/>
  <c r="C34" i="81"/>
  <c r="M7" i="15"/>
  <c r="J6" i="15" s="1"/>
  <c r="F50" i="15"/>
  <c r="F66" i="67"/>
  <c r="B8" i="70"/>
  <c r="C34" i="67"/>
  <c r="F63" i="67"/>
  <c r="C62" i="67" s="1"/>
  <c r="I54" i="15"/>
  <c r="J53" i="15"/>
  <c r="L56" i="15" s="1"/>
  <c r="J57" i="15"/>
  <c r="J55" i="15" s="1"/>
  <c r="J58" i="15" s="1"/>
  <c r="Q50" i="15" s="1"/>
  <c r="Q71" i="81"/>
  <c r="C18" i="78"/>
  <c r="C15" i="78"/>
  <c r="F69" i="77"/>
  <c r="B2" i="76"/>
  <c r="B3" i="76" s="1"/>
  <c r="F51" i="78"/>
  <c r="C6" i="78"/>
  <c r="F49" i="81"/>
  <c r="C6" i="81"/>
  <c r="F66" i="78"/>
  <c r="B12" i="70"/>
  <c r="F65" i="15"/>
  <c r="J20" i="77"/>
  <c r="F50" i="81"/>
  <c r="M7" i="81"/>
  <c r="J6" i="81" s="1"/>
  <c r="C6" i="15"/>
  <c r="F51" i="81"/>
  <c r="F71" i="77"/>
  <c r="I54" i="78"/>
  <c r="L56" i="78"/>
  <c r="J57" i="78"/>
  <c r="J55" i="78" s="1"/>
  <c r="J58" i="78" s="1"/>
  <c r="Q50" i="78" s="1"/>
  <c r="B7" i="70"/>
  <c r="F64" i="77"/>
  <c r="F68" i="78"/>
  <c r="N59" i="15"/>
  <c r="L58" i="15"/>
  <c r="Q60" i="15" s="1"/>
  <c r="M59" i="15"/>
  <c r="L59" i="15"/>
  <c r="Q74" i="15" s="1"/>
  <c r="B13" i="70"/>
  <c r="J20" i="78"/>
  <c r="F71" i="67"/>
  <c r="F69" i="15"/>
  <c r="F51" i="67"/>
  <c r="F52" i="67"/>
  <c r="F65" i="78"/>
  <c r="F65" i="67"/>
  <c r="B2" i="21"/>
  <c r="B3" i="21" s="1"/>
  <c r="C27" i="15"/>
  <c r="F66" i="77"/>
  <c r="F70" i="81"/>
  <c r="C27" i="78"/>
  <c r="F52" i="81"/>
  <c r="F71" i="81"/>
  <c r="B11" i="70"/>
  <c r="C27" i="81"/>
  <c r="F71" i="15"/>
  <c r="F69" i="81"/>
  <c r="F71" i="78"/>
  <c r="C6" i="77"/>
  <c r="M7" i="67"/>
  <c r="J6" i="67" s="1"/>
  <c r="F50" i="67"/>
  <c r="C6" i="67"/>
  <c r="F49" i="67"/>
  <c r="C49" i="67" s="1"/>
  <c r="B2" i="79"/>
  <c r="B3" i="79" s="1"/>
  <c r="J20" i="15"/>
  <c r="F65" i="77"/>
  <c r="B9" i="70"/>
  <c r="F68" i="15"/>
  <c r="F51" i="15"/>
  <c r="C49" i="15" s="1"/>
  <c r="F70" i="67"/>
  <c r="F68" i="77"/>
  <c r="F64" i="81"/>
  <c r="Q71" i="15"/>
  <c r="Q71" i="78"/>
  <c r="C34" i="77"/>
  <c r="F63" i="77"/>
  <c r="C62" i="77" s="1"/>
  <c r="F64" i="78"/>
  <c r="F65" i="81"/>
  <c r="F64" i="67"/>
  <c r="Q71" i="67"/>
  <c r="I1" i="73"/>
  <c r="B39" i="1" s="1"/>
  <c r="M11" i="15" s="1"/>
  <c r="J10" i="15" s="1"/>
  <c r="J5" i="15" s="1"/>
  <c r="J24" i="15" s="1"/>
  <c r="C18" i="15"/>
  <c r="C15" i="15"/>
  <c r="C27" i="67"/>
  <c r="B2" i="35"/>
  <c r="B3" i="35" s="1"/>
  <c r="F68" i="67"/>
  <c r="E20" i="43"/>
  <c r="O17" i="43" s="1"/>
  <c r="F68" i="81"/>
  <c r="F64" i="15"/>
  <c r="I54" i="77"/>
  <c r="J57" i="77"/>
  <c r="J55" i="77" s="1"/>
  <c r="J58" i="77" s="1"/>
  <c r="Q50" i="77" s="1"/>
  <c r="L56" i="77"/>
  <c r="K1" i="73"/>
  <c r="N59" i="67"/>
  <c r="L58" i="67"/>
  <c r="Q60" i="67" s="1"/>
  <c r="M59" i="67"/>
  <c r="L59" i="67"/>
  <c r="Q74" i="67" s="1"/>
  <c r="C34" i="78"/>
  <c r="F63" i="78"/>
  <c r="C62" i="78" s="1"/>
  <c r="C18" i="77"/>
  <c r="C15" i="77"/>
  <c r="J57" i="81"/>
  <c r="J55" i="81" s="1"/>
  <c r="J58" i="81" s="1"/>
  <c r="Q50" i="81" s="1"/>
  <c r="L60" i="81"/>
  <c r="Q66" i="81" s="1"/>
  <c r="L46" i="81"/>
  <c r="J53" i="81"/>
  <c r="F1" i="81" s="1"/>
  <c r="J60" i="81"/>
  <c r="Q48" i="81" s="1"/>
  <c r="I54" i="81"/>
  <c r="L57" i="81"/>
  <c r="J59" i="81"/>
  <c r="L56" i="81"/>
  <c r="F66" i="81"/>
  <c r="L58" i="81"/>
  <c r="Q73" i="81" s="1"/>
  <c r="N59" i="81"/>
  <c r="L59" i="81"/>
  <c r="Q61" i="81" s="1"/>
  <c r="M59" i="81"/>
  <c r="B2" i="37"/>
  <c r="B3" i="37" s="1"/>
  <c r="F50" i="77"/>
  <c r="M7" i="77"/>
  <c r="J6" i="77" s="1"/>
  <c r="B2" i="36"/>
  <c r="B3" i="36" s="1"/>
  <c r="B10" i="70"/>
  <c r="F69" i="78"/>
  <c r="F66" i="15"/>
  <c r="L59" i="77"/>
  <c r="Q74" i="77" s="1"/>
  <c r="L58" i="77"/>
  <c r="Q73" i="77" s="1"/>
  <c r="M59" i="77"/>
  <c r="N59" i="77"/>
  <c r="C103" i="9"/>
  <c r="C103" i="82"/>
  <c r="C102" i="9"/>
  <c r="C21" i="9"/>
  <c r="C21" i="82"/>
  <c r="C102" i="82"/>
  <c r="F11" i="77"/>
  <c r="C10" i="77" s="1"/>
  <c r="C5" i="77" s="1"/>
  <c r="C38" i="77" s="1"/>
  <c r="L46" i="67"/>
  <c r="M11" i="81"/>
  <c r="J10" i="81" s="1"/>
  <c r="J5" i="81" s="1"/>
  <c r="Q74" i="81"/>
  <c r="Q74" i="78"/>
  <c r="Q73" i="78"/>
  <c r="Q60" i="81"/>
  <c r="Q60" i="77"/>
  <c r="Q73" i="15"/>
  <c r="Q61" i="15"/>
  <c r="Q57" i="67"/>
  <c r="Q66" i="67"/>
  <c r="C46" i="68"/>
  <c r="C45" i="68" s="1"/>
  <c r="C16" i="77"/>
  <c r="C16" i="15"/>
  <c r="C17" i="67"/>
  <c r="AE6" i="1"/>
  <c r="C16" i="67"/>
  <c r="C14" i="81"/>
  <c r="C17" i="78"/>
  <c r="C17" i="77"/>
  <c r="C14" i="67"/>
  <c r="C16" i="81"/>
  <c r="C16" i="78"/>
  <c r="C17" i="81"/>
  <c r="C17" i="15"/>
  <c r="G1" i="73"/>
  <c r="C49" i="81" l="1"/>
  <c r="Q52" i="67"/>
  <c r="F1" i="15"/>
  <c r="Q52" i="81"/>
  <c r="Q52" i="15"/>
  <c r="F11" i="67"/>
  <c r="C53" i="67" s="1"/>
  <c r="C48" i="67" s="1"/>
  <c r="C66" i="67" s="1"/>
  <c r="C49" i="77"/>
  <c r="M17" i="43"/>
  <c r="Q61" i="67"/>
  <c r="F11" i="15"/>
  <c r="C53" i="15" s="1"/>
  <c r="C48" i="15" s="1"/>
  <c r="Q73" i="67"/>
  <c r="Q57" i="81"/>
  <c r="C49" i="78"/>
  <c r="B40" i="1"/>
  <c r="F24" i="67" s="1"/>
  <c r="C24" i="67" s="1"/>
  <c r="C19" i="81"/>
  <c r="C20" i="81" s="1"/>
  <c r="C15" i="81"/>
  <c r="C18" i="81"/>
  <c r="C19" i="78"/>
  <c r="C20" i="78" s="1"/>
  <c r="C26" i="78" s="1"/>
  <c r="C18" i="67"/>
  <c r="C15" i="67"/>
  <c r="C19" i="15"/>
  <c r="C20" i="15" s="1"/>
  <c r="C19" i="77"/>
  <c r="C20" i="77" s="1"/>
  <c r="C26" i="77" s="1"/>
  <c r="M11" i="78"/>
  <c r="J10" i="78" s="1"/>
  <c r="J5" i="78" s="1"/>
  <c r="J24" i="78" s="1"/>
  <c r="M11" i="77"/>
  <c r="J10" i="77" s="1"/>
  <c r="J5" i="77" s="1"/>
  <c r="J18" i="77" s="1"/>
  <c r="N17" i="43"/>
  <c r="F11" i="78"/>
  <c r="C53" i="78" s="1"/>
  <c r="F11" i="81"/>
  <c r="C53" i="81" s="1"/>
  <c r="C48" i="81" s="1"/>
  <c r="Q61" i="77"/>
  <c r="P17" i="43"/>
  <c r="M11" i="67"/>
  <c r="J10" i="67" s="1"/>
  <c r="J5" i="67" s="1"/>
  <c r="J18" i="67" s="1"/>
  <c r="C53" i="77"/>
  <c r="C48" i="77" s="1"/>
  <c r="J24" i="67"/>
  <c r="C32" i="77"/>
  <c r="F22" i="11"/>
  <c r="C24" i="11" s="1"/>
  <c r="J18" i="15"/>
  <c r="J26" i="15"/>
  <c r="J29" i="15" s="1"/>
  <c r="C26" i="15"/>
  <c r="J24" i="81"/>
  <c r="J26" i="81"/>
  <c r="J29" i="81" s="1"/>
  <c r="J18" i="81"/>
  <c r="C10" i="67"/>
  <c r="C5" i="67" s="1"/>
  <c r="F41" i="67"/>
  <c r="C10" i="81" l="1"/>
  <c r="C5" i="81" s="1"/>
  <c r="J26" i="78"/>
  <c r="J29" i="78" s="1"/>
  <c r="F22" i="68"/>
  <c r="J18" i="78"/>
  <c r="C10" i="15"/>
  <c r="C5" i="15" s="1"/>
  <c r="C32" i="15" s="1"/>
  <c r="C10" i="78"/>
  <c r="C5" i="78" s="1"/>
  <c r="C32" i="78" s="1"/>
  <c r="C19" i="67"/>
  <c r="C20" i="67" s="1"/>
  <c r="C26" i="67" s="1"/>
  <c r="C26" i="81"/>
  <c r="C48" i="78"/>
  <c r="C60" i="78" s="1"/>
  <c r="F22" i="69"/>
  <c r="C26" i="69" s="1"/>
  <c r="D22" i="69" s="1"/>
  <c r="F24" i="81"/>
  <c r="C23" i="81" s="1"/>
  <c r="F24" i="78"/>
  <c r="C23" i="78" s="1"/>
  <c r="F24" i="15"/>
  <c r="C23" i="15" s="1"/>
  <c r="F24" i="77"/>
  <c r="C24" i="77" s="1"/>
  <c r="F25" i="12"/>
  <c r="C27" i="12" s="1"/>
  <c r="C25" i="12" s="1"/>
  <c r="J24" i="77"/>
  <c r="J26" i="77"/>
  <c r="J29" i="77" s="1"/>
  <c r="J26" i="67"/>
  <c r="C60" i="77"/>
  <c r="C66" i="77"/>
  <c r="F69" i="67"/>
  <c r="J29" i="67"/>
  <c r="C23" i="67"/>
  <c r="C29" i="67" s="1"/>
  <c r="C36" i="67" s="1"/>
  <c r="C23" i="11"/>
  <c r="C43" i="11"/>
  <c r="C60" i="67"/>
  <c r="C25" i="11"/>
  <c r="C42" i="11"/>
  <c r="C44" i="11"/>
  <c r="D41" i="11" s="1"/>
  <c r="C26" i="11"/>
  <c r="D22" i="11" s="1"/>
  <c r="C26" i="12"/>
  <c r="D25" i="12" s="1"/>
  <c r="C32" i="12" s="1"/>
  <c r="B2" i="12" s="1"/>
  <c r="B3" i="12" s="1"/>
  <c r="C23" i="77"/>
  <c r="C29" i="77" s="1"/>
  <c r="C38" i="15"/>
  <c r="C42" i="69"/>
  <c r="C23" i="69"/>
  <c r="C24" i="68"/>
  <c r="C26" i="68"/>
  <c r="D22" i="68" s="1"/>
  <c r="C25" i="68"/>
  <c r="C43" i="68"/>
  <c r="C42" i="68"/>
  <c r="C23" i="68"/>
  <c r="C44" i="68"/>
  <c r="D41" i="68" s="1"/>
  <c r="C24" i="81"/>
  <c r="C32" i="81"/>
  <c r="C38" i="81"/>
  <c r="C38" i="67"/>
  <c r="C32" i="67"/>
  <c r="C60" i="15"/>
  <c r="C66" i="15"/>
  <c r="C24" i="78"/>
  <c r="C60" i="81"/>
  <c r="C66" i="81"/>
  <c r="C38" i="78" l="1"/>
  <c r="C43" i="69"/>
  <c r="C66" i="78"/>
  <c r="C25" i="69"/>
  <c r="C44" i="69"/>
  <c r="D41" i="69" s="1"/>
  <c r="C24" i="69"/>
  <c r="C22" i="69" s="1"/>
  <c r="C31" i="69" s="1"/>
  <c r="C24" i="15"/>
  <c r="C29" i="15" s="1"/>
  <c r="J19" i="15" s="1"/>
  <c r="J17" i="15" s="1"/>
  <c r="Q49" i="67"/>
  <c r="C57" i="67"/>
  <c r="C64" i="67" s="1"/>
  <c r="J19" i="67"/>
  <c r="J17" i="67" s="1"/>
  <c r="C13" i="67"/>
  <c r="Q70" i="67" s="1"/>
  <c r="J14" i="67"/>
  <c r="C41" i="11"/>
  <c r="C33" i="67"/>
  <c r="C22" i="11"/>
  <c r="C31" i="11" s="1"/>
  <c r="C31" i="67"/>
  <c r="C49" i="11"/>
  <c r="C51" i="11" s="1"/>
  <c r="C29" i="78"/>
  <c r="J59" i="78" s="1"/>
  <c r="J60" i="78" s="1"/>
  <c r="L46" i="78" s="1"/>
  <c r="C29" i="81"/>
  <c r="Q49" i="81" s="1"/>
  <c r="C41" i="68"/>
  <c r="C49" i="68" s="1"/>
  <c r="C51" i="68" s="1"/>
  <c r="C75" i="67"/>
  <c r="C13" i="77"/>
  <c r="C57" i="77"/>
  <c r="C33" i="77"/>
  <c r="C31" i="77" s="1"/>
  <c r="J14" i="77"/>
  <c r="C36" i="77"/>
  <c r="J59" i="77"/>
  <c r="J60" i="77" s="1"/>
  <c r="Q49" i="77"/>
  <c r="J19" i="77"/>
  <c r="J17" i="77" s="1"/>
  <c r="C22" i="68"/>
  <c r="C31" i="68" s="1"/>
  <c r="C41" i="69"/>
  <c r="C49" i="69" s="1"/>
  <c r="C51" i="69" s="1"/>
  <c r="C61" i="67" l="1"/>
  <c r="C59" i="67" s="1"/>
  <c r="C36" i="81"/>
  <c r="C33" i="78"/>
  <c r="C31" i="78" s="1"/>
  <c r="C56" i="67"/>
  <c r="C65" i="67" s="1"/>
  <c r="C37" i="67"/>
  <c r="J22" i="67"/>
  <c r="J13" i="67"/>
  <c r="J23" i="67" s="1"/>
  <c r="C13" i="81"/>
  <c r="C56" i="81" s="1"/>
  <c r="C65" i="81" s="1"/>
  <c r="J14" i="78"/>
  <c r="J22" i="78" s="1"/>
  <c r="Q48" i="78"/>
  <c r="C30" i="67"/>
  <c r="C39" i="67" s="1"/>
  <c r="C40" i="67" s="1"/>
  <c r="C33" i="81"/>
  <c r="C31" i="81" s="1"/>
  <c r="C52" i="11"/>
  <c r="C52" i="69"/>
  <c r="B2" i="69" s="1"/>
  <c r="B3" i="69" s="1"/>
  <c r="J19" i="81"/>
  <c r="J17" i="81" s="1"/>
  <c r="J14" i="81"/>
  <c r="J13" i="81" s="1"/>
  <c r="J23" i="81" s="1"/>
  <c r="C57" i="81"/>
  <c r="C64" i="81" s="1"/>
  <c r="C57" i="15"/>
  <c r="C64" i="15" s="1"/>
  <c r="C36" i="15"/>
  <c r="Q49" i="15"/>
  <c r="C33" i="15"/>
  <c r="C31" i="15" s="1"/>
  <c r="J59" i="15"/>
  <c r="J60" i="15" s="1"/>
  <c r="C36" i="78"/>
  <c r="C57" i="78"/>
  <c r="C61" i="78" s="1"/>
  <c r="C59" i="78" s="1"/>
  <c r="Q49" i="78"/>
  <c r="J19" i="78"/>
  <c r="J17" i="78" s="1"/>
  <c r="C13" i="78"/>
  <c r="C75" i="78" s="1"/>
  <c r="C13" i="15"/>
  <c r="J14" i="15"/>
  <c r="Q48" i="77"/>
  <c r="L46" i="77"/>
  <c r="J13" i="77"/>
  <c r="J23" i="77" s="1"/>
  <c r="J22" i="77"/>
  <c r="C61" i="77"/>
  <c r="C59" i="77" s="1"/>
  <c r="C64" i="77"/>
  <c r="C75" i="77"/>
  <c r="C56" i="77"/>
  <c r="C65" i="77" s="1"/>
  <c r="C37" i="77"/>
  <c r="C30" i="77" s="1"/>
  <c r="C39" i="77" s="1"/>
  <c r="Q70" i="77"/>
  <c r="C64" i="78"/>
  <c r="C52" i="68"/>
  <c r="L51" i="67"/>
  <c r="L51" i="77"/>
  <c r="C58" i="67" l="1"/>
  <c r="C67" i="67" s="1"/>
  <c r="C68" i="67" s="1"/>
  <c r="C71" i="67" s="1"/>
  <c r="J16" i="67"/>
  <c r="J25" i="67" s="1"/>
  <c r="J13" i="78"/>
  <c r="J23" i="78" s="1"/>
  <c r="J16" i="78" s="1"/>
  <c r="J25" i="78" s="1"/>
  <c r="C37" i="78"/>
  <c r="C30" i="78" s="1"/>
  <c r="C39" i="78" s="1"/>
  <c r="C80" i="78" s="1"/>
  <c r="C79" i="78" s="1"/>
  <c r="C37" i="81"/>
  <c r="C30" i="81" s="1"/>
  <c r="C39" i="81" s="1"/>
  <c r="Q69" i="81" s="1"/>
  <c r="J22" i="81"/>
  <c r="J16" i="81" s="1"/>
  <c r="J25" i="81" s="1"/>
  <c r="C57" i="69"/>
  <c r="C56" i="69" s="1"/>
  <c r="C61" i="81"/>
  <c r="C59" i="81" s="1"/>
  <c r="C58" i="81" s="1"/>
  <c r="C67" i="81" s="1"/>
  <c r="C68" i="81" s="1"/>
  <c r="C80" i="67"/>
  <c r="C79" i="67" s="1"/>
  <c r="Q69" i="67"/>
  <c r="Q68" i="67" s="1"/>
  <c r="C75" i="81"/>
  <c r="Q70" i="81"/>
  <c r="Q67" i="67"/>
  <c r="D2" i="67"/>
  <c r="B3" i="67" s="1"/>
  <c r="Q56" i="67"/>
  <c r="Q62" i="67" s="1"/>
  <c r="C61" i="15"/>
  <c r="C59" i="15" s="1"/>
  <c r="B2" i="11"/>
  <c r="B3" i="11" s="1"/>
  <c r="C56" i="11"/>
  <c r="C57" i="11" s="1"/>
  <c r="Q65" i="67"/>
  <c r="Q75" i="67" s="1"/>
  <c r="C83" i="67"/>
  <c r="C82" i="67" s="1"/>
  <c r="Q47" i="67"/>
  <c r="Q53" i="67" s="1"/>
  <c r="C43" i="67"/>
  <c r="Q48" i="15"/>
  <c r="L46" i="15"/>
  <c r="Q70" i="15"/>
  <c r="C37" i="15"/>
  <c r="C30" i="15" s="1"/>
  <c r="C39" i="15" s="1"/>
  <c r="C56" i="15"/>
  <c r="C65" i="15" s="1"/>
  <c r="C75" i="15"/>
  <c r="J16" i="77"/>
  <c r="J25" i="77" s="1"/>
  <c r="J13" i="15"/>
  <c r="J23" i="15" s="1"/>
  <c r="J22" i="15"/>
  <c r="C56" i="78"/>
  <c r="C65" i="78" s="1"/>
  <c r="C58" i="78" s="1"/>
  <c r="C67" i="78" s="1"/>
  <c r="C68" i="78" s="1"/>
  <c r="Q70" i="78"/>
  <c r="C58" i="77"/>
  <c r="C67" i="77" s="1"/>
  <c r="C68" i="77" s="1"/>
  <c r="C71" i="77" s="1"/>
  <c r="L57" i="77"/>
  <c r="L60" i="77" s="1"/>
  <c r="Q67" i="77"/>
  <c r="C40" i="77"/>
  <c r="Q69" i="77"/>
  <c r="Q68" i="77" s="1"/>
  <c r="C80" i="77"/>
  <c r="C79" i="77" s="1"/>
  <c r="B2" i="68"/>
  <c r="B3" i="68" s="1"/>
  <c r="C57" i="68"/>
  <c r="C56" i="68" s="1"/>
  <c r="D20" i="9"/>
  <c r="L51" i="15"/>
  <c r="D20" i="82"/>
  <c r="L51" i="81"/>
  <c r="C45" i="67" l="1"/>
  <c r="C46" i="67" s="1"/>
  <c r="C40" i="81"/>
  <c r="C45" i="81" s="1"/>
  <c r="C46" i="81" s="1"/>
  <c r="C80" i="81"/>
  <c r="C79" i="81" s="1"/>
  <c r="Q68" i="81"/>
  <c r="B2" i="67"/>
  <c r="C58" i="15"/>
  <c r="C67" i="15" s="1"/>
  <c r="C68" i="15" s="1"/>
  <c r="C71" i="15" s="1"/>
  <c r="C40" i="78"/>
  <c r="Q47" i="78" s="1"/>
  <c r="Q53" i="78" s="1"/>
  <c r="C80" i="15"/>
  <c r="C79" i="15" s="1"/>
  <c r="Q69" i="78"/>
  <c r="Q68" i="78" s="1"/>
  <c r="L57" i="15"/>
  <c r="L60" i="15" s="1"/>
  <c r="Q67" i="15"/>
  <c r="Q69" i="15"/>
  <c r="Q68" i="15" s="1"/>
  <c r="C40" i="15"/>
  <c r="C46" i="77"/>
  <c r="J16" i="15"/>
  <c r="J25" i="15" s="1"/>
  <c r="B2" i="77"/>
  <c r="B3" i="77" s="1"/>
  <c r="Q47" i="77"/>
  <c r="Q53" i="77" s="1"/>
  <c r="C83" i="77"/>
  <c r="C82" i="77" s="1"/>
  <c r="Q56" i="77"/>
  <c r="Q65" i="77"/>
  <c r="C43" i="77"/>
  <c r="Q66" i="77"/>
  <c r="Q57" i="77"/>
  <c r="Q62" i="77" s="1"/>
  <c r="Q67" i="81"/>
  <c r="C71" i="81"/>
  <c r="C71" i="78"/>
  <c r="D103" i="82"/>
  <c r="G20" i="82"/>
  <c r="R24" i="31" s="1"/>
  <c r="D103" i="9"/>
  <c r="G20" i="9"/>
  <c r="R24" i="83" s="1"/>
  <c r="L51" i="78"/>
  <c r="AO6" i="1"/>
  <c r="D19" i="82"/>
  <c r="D19" i="9"/>
  <c r="L57" i="78" l="1"/>
  <c r="L60" i="78" s="1"/>
  <c r="Q57" i="78" s="1"/>
  <c r="Q67" i="78"/>
  <c r="C83" i="81"/>
  <c r="C82" i="81" s="1"/>
  <c r="C43" i="81"/>
  <c r="Q47" i="81"/>
  <c r="Q53" i="81" s="1"/>
  <c r="Q56" i="81"/>
  <c r="Q62" i="81" s="1"/>
  <c r="D2" i="81"/>
  <c r="B2" i="81" s="1"/>
  <c r="Q65" i="81"/>
  <c r="Q75" i="81" s="1"/>
  <c r="Q75" i="77"/>
  <c r="C43" i="78"/>
  <c r="B6" i="70"/>
  <c r="B2" i="70" s="1"/>
  <c r="B3" i="70" s="1"/>
  <c r="D102" i="9"/>
  <c r="D22" i="9"/>
  <c r="D21" i="9"/>
  <c r="G19" i="9"/>
  <c r="C32" i="9" s="1"/>
  <c r="D102" i="82"/>
  <c r="D22" i="82"/>
  <c r="D21" i="82"/>
  <c r="G19" i="82"/>
  <c r="G21" i="82" s="1"/>
  <c r="C83" i="78"/>
  <c r="C82" i="78" s="1"/>
  <c r="Q65" i="78"/>
  <c r="C46" i="78"/>
  <c r="Q56" i="78"/>
  <c r="B2" i="78"/>
  <c r="B3" i="78" s="1"/>
  <c r="Q66" i="78"/>
  <c r="Q47" i="15"/>
  <c r="Q53" i="15" s="1"/>
  <c r="Q56" i="15"/>
  <c r="B2" i="15"/>
  <c r="B3" i="15" s="1"/>
  <c r="C83" i="15"/>
  <c r="C82" i="15" s="1"/>
  <c r="C43" i="15"/>
  <c r="Q65" i="15"/>
  <c r="C46" i="15"/>
  <c r="Q66" i="15"/>
  <c r="Q57" i="15"/>
  <c r="R27" i="83"/>
  <c r="S27" i="83" s="1"/>
  <c r="R25" i="83"/>
  <c r="S25" i="83" s="1"/>
  <c r="R26" i="83"/>
  <c r="S26" i="83" s="1"/>
  <c r="S24" i="83"/>
  <c r="R28" i="83"/>
  <c r="S28" i="83" s="1"/>
  <c r="R26" i="31"/>
  <c r="S26" i="31" s="1"/>
  <c r="R27" i="31"/>
  <c r="S27" i="31" s="1"/>
  <c r="R28" i="31"/>
  <c r="S28" i="31" s="1"/>
  <c r="R29" i="31"/>
  <c r="S29" i="31" s="1"/>
  <c r="R30" i="31"/>
  <c r="S30" i="31" s="1"/>
  <c r="R31" i="31"/>
  <c r="S31" i="31" s="1"/>
  <c r="R32" i="31"/>
  <c r="S32" i="31" s="1"/>
  <c r="R33" i="31"/>
  <c r="S33" i="31" s="1"/>
  <c r="R34" i="31"/>
  <c r="S34" i="31" s="1"/>
  <c r="S24" i="31"/>
  <c r="R25" i="31"/>
  <c r="S25" i="31" s="1"/>
  <c r="Q75" i="78" l="1"/>
  <c r="C32" i="82"/>
  <c r="H118" i="82" s="1"/>
  <c r="B3" i="81"/>
  <c r="G21" i="9"/>
  <c r="Q62" i="78"/>
  <c r="Q62" i="15"/>
  <c r="Q75" i="15"/>
  <c r="C35" i="82"/>
  <c r="F118" i="82" s="1"/>
  <c r="S22" i="83"/>
  <c r="S22" i="31"/>
  <c r="H118" i="9"/>
  <c r="C35" i="9"/>
  <c r="F118" i="9" s="1"/>
  <c r="C34" i="82" l="1"/>
  <c r="D118" i="82" s="1"/>
  <c r="D119" i="82" s="1"/>
  <c r="G118" i="9"/>
  <c r="G4" i="52" s="1"/>
  <c r="B52" i="72" s="1"/>
  <c r="F4" i="52"/>
  <c r="B51" i="72" s="1"/>
  <c r="F119" i="9"/>
  <c r="F5" i="52" s="1"/>
  <c r="B53" i="72" s="1"/>
  <c r="C34" i="9"/>
  <c r="D118" i="9" s="1"/>
  <c r="B20" i="83"/>
  <c r="R22" i="83"/>
  <c r="B21" i="83" s="1"/>
  <c r="H101" i="82"/>
  <c r="H119" i="82"/>
  <c r="I118" i="82"/>
  <c r="C104" i="82"/>
  <c r="H101" i="9"/>
  <c r="D14" i="74"/>
  <c r="I118" i="9"/>
  <c r="C104" i="9"/>
  <c r="H119" i="9"/>
  <c r="H5" i="52" s="1"/>
  <c r="H4" i="52"/>
  <c r="R22" i="31"/>
  <c r="B21" i="31" s="1"/>
  <c r="B20" i="31"/>
  <c r="F119" i="82"/>
  <c r="G118" i="82"/>
  <c r="D119" i="9" l="1"/>
  <c r="D5" i="52" s="1"/>
  <c r="B49" i="72" s="1"/>
  <c r="D4" i="52"/>
  <c r="B47" i="72" s="1"/>
  <c r="E14" i="74"/>
  <c r="F14" i="74"/>
  <c r="B5" i="74"/>
  <c r="C105" i="9"/>
  <c r="I4" i="52"/>
  <c r="E118" i="9"/>
  <c r="E4" i="52" s="1"/>
  <c r="B48" i="72" s="1"/>
  <c r="H102" i="9"/>
  <c r="D7" i="53" s="1"/>
  <c r="B21" i="72" s="1"/>
  <c r="M48" i="9"/>
  <c r="D45" i="9"/>
  <c r="D5" i="53"/>
  <c r="H107" i="9"/>
  <c r="E118" i="82"/>
  <c r="C105" i="82"/>
  <c r="H102" i="82"/>
  <c r="H107" i="82"/>
  <c r="D45" i="82"/>
  <c r="M48" i="82"/>
  <c r="C93" i="82" l="1"/>
  <c r="C86" i="82" s="1"/>
  <c r="D55" i="82"/>
  <c r="M53" i="82" s="1"/>
  <c r="C85" i="82"/>
  <c r="C95" i="82" s="1"/>
  <c r="C72" i="82"/>
  <c r="C78" i="82"/>
  <c r="C73" i="82" s="1"/>
  <c r="D53" i="82"/>
  <c r="D52" i="82"/>
  <c r="C64" i="82"/>
  <c r="C63" i="82" s="1"/>
  <c r="C67" i="82" s="1"/>
  <c r="C68" i="82" s="1"/>
  <c r="D54" i="82" s="1"/>
  <c r="B20" i="72"/>
  <c r="D6" i="53"/>
  <c r="B22" i="72" s="1"/>
  <c r="D122" i="82"/>
  <c r="D123" i="82" s="1"/>
  <c r="H108" i="82"/>
  <c r="H108" i="9"/>
  <c r="D15" i="53" s="1"/>
  <c r="B31" i="72" s="1"/>
  <c r="D122" i="9"/>
  <c r="D13" i="53"/>
  <c r="C78" i="9"/>
  <c r="C73" i="9" s="1"/>
  <c r="C85" i="9"/>
  <c r="D55" i="9"/>
  <c r="M53" i="9" s="1"/>
  <c r="C64" i="9"/>
  <c r="C63" i="9" s="1"/>
  <c r="C67" i="9" s="1"/>
  <c r="C68" i="9" s="1"/>
  <c r="D54" i="9" s="1"/>
  <c r="C93" i="9"/>
  <c r="C86" i="9" s="1"/>
  <c r="D53" i="9"/>
  <c r="D52" i="9"/>
  <c r="C72" i="9"/>
  <c r="D5" i="74"/>
  <c r="C5" i="74"/>
  <c r="C79" i="82" l="1"/>
  <c r="D123" i="9"/>
  <c r="D9" i="52" s="1"/>
  <c r="G14" i="74"/>
  <c r="B6" i="74" s="1"/>
  <c r="D8" i="52"/>
  <c r="C80" i="82"/>
  <c r="E80" i="82" s="1"/>
  <c r="E81" i="82" s="1"/>
  <c r="C79" i="9"/>
  <c r="C95" i="9"/>
  <c r="D14" i="53"/>
  <c r="B32" i="72" s="1"/>
  <c r="B30" i="72"/>
  <c r="C96" i="82"/>
  <c r="E96" i="82" s="1"/>
  <c r="E97" i="82" s="1"/>
  <c r="C97" i="82" l="1"/>
  <c r="D58" i="82" s="1"/>
  <c r="D56" i="82" s="1"/>
  <c r="M54" i="82" s="1"/>
  <c r="N57" i="82" s="1"/>
  <c r="P57" i="82" s="1"/>
  <c r="C80" i="9"/>
  <c r="E80" i="9" s="1"/>
  <c r="E81" i="9" s="1"/>
  <c r="C81" i="82"/>
  <c r="C96" i="9"/>
  <c r="E96" i="9" s="1"/>
  <c r="E97" i="9" s="1"/>
  <c r="C6" i="74"/>
  <c r="D6" i="74"/>
  <c r="C81" i="9" l="1"/>
  <c r="C97" i="9"/>
  <c r="D58" i="9" s="1"/>
  <c r="D56" i="9" s="1"/>
  <c r="M54" i="9" s="1"/>
  <c r="N57" i="9" s="1"/>
  <c r="N58" i="9" s="1"/>
  <c r="N59" i="82"/>
  <c r="N61" i="82" s="1"/>
  <c r="N58" i="82"/>
  <c r="N59" i="9" l="1"/>
  <c r="N61" i="9" s="1"/>
  <c r="P57" i="9"/>
  <c r="N60" i="82"/>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<sst xmlns="http://schemas.openxmlformats.org/spreadsheetml/2006/main" count="9600" uniqueCount="3318">
  <si>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</si>
  <si>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</si>
  <si>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</si>
  <si>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</si>
  <si>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</si>
  <si>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</si>
  <si>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</si>
  <si>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</si>
  <si>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</si>
  <si>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</si>
  <si>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</si>
  <si>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</si>
  <si>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</si>
  <si>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</si>
  <si>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</si>
  <si>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</si>
  <si>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</si>
  <si>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</si>
  <si>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</si>
  <si>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</si>
  <si>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</si>
  <si>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</si>
  <si>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</si>
  <si>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</si>
  <si>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</si>
  <si>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</si>
  <si>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</si>
  <si>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</si>
  <si>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</si>
  <si>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</si>
  <si>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</si>
  <si>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</si>
  <si>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</si>
  <si>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</si>
  <si>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</si>
  <si>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</si>
  <si>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</si>
  <si>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</si>
  <si>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</si>
  <si>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</si>
  <si>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</si>
  <si>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</si>
  <si>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</si>
  <si>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</si>
  <si>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</si>
  <si>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</si>
  <si>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</si>
  <si>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</si>
  <si>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</si>
  <si>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</si>
  <si>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</si>
  <si>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</si>
  <si>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</si>
  <si>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</si>
  <si>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</si>
  <si>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</si>
  <si>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</si>
  <si>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</si>
  <si>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</si>
  <si>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</si>
  <si>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</si>
  <si>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</si>
  <si>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</si>
  <si>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</si>
  <si>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</si>
  <si>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</si>
  <si>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</si>
  <si>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</si>
  <si>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</si>
  <si>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</si>
  <si>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</si>
  <si>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</si>
  <si>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</si>
  <si>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</si>
  <si>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</si>
  <si>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</si>
  <si>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</si>
  <si>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</si>
  <si>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</si>
  <si>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</si>
  <si>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</si>
  <si>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</si>
  <si>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</si>
  <si>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</si>
  <si>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</si>
  <si>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</si>
  <si>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</si>
  <si>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</si>
  <si>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</si>
  <si>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</si>
  <si>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</si>
  <si>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</si>
  <si>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</si>
  <si>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</si>
  <si>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</si>
  <si>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</si>
  <si>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</si>
  <si>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</si>
  <si>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</si>
  <si>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</si>
  <si>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</si>
  <si>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</si>
  <si>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</si>
  <si>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</si>
  <si>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</si>
  <si>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</si>
  <si>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</si>
  <si>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</si>
  <si>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</si>
  <si>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</si>
  <si>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</si>
  <si>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</si>
  <si>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</si>
  <si>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</si>
  <si>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</si>
  <si>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</si>
  <si>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</si>
  <si>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</si>
  <si>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</si>
  <si>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</si>
  <si>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</si>
  <si>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</si>
  <si>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</si>
  <si>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</si>
  <si>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</si>
  <si>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</si>
  <si>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</si>
  <si>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</si>
  <si>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</si>
  <si>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</si>
  <si>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</si>
  <si>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</si>
  <si>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</si>
  <si>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</si>
  <si>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</si>
  <si>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</si>
  <si>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</si>
  <si>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</si>
  <si>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</si>
  <si>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</si>
  <si>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</si>
  <si>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</si>
  <si>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</si>
  <si>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</si>
  <si>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</si>
  <si>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</si>
  <si>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</si>
  <si>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</si>
  <si>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</si>
  <si>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</si>
  <si>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</si>
  <si>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</si>
  <si>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</si>
  <si>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</si>
  <si>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</si>
  <si>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</si>
  <si>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</si>
  <si>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</si>
  <si>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</si>
  <si>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</si>
  <si>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</si>
  <si>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</si>
  <si>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</si>
  <si>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</si>
  <si>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</si>
  <si>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</si>
  <si>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</si>
  <si>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</si>
  <si>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</si>
  <si>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</si>
  <si>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</si>
  <si>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</si>
  <si>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</si>
  <si>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</si>
  <si>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</si>
  <si>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</si>
  <si>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</si>
  <si>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</si>
  <si>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</si>
  <si>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</si>
  <si>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</si>
  <si>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</si>
  <si>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</si>
  <si>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</si>
  <si>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</si>
  <si>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</si>
  <si>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</si>
  <si>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</si>
  <si>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</si>
  <si>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</si>
  <si>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</si>
  <si>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</si>
  <si>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</si>
  <si>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</si>
  <si>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</si>
  <si>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</si>
  <si>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</si>
  <si>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</si>
  <si>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</si>
  <si>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</si>
  <si>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</si>
  <si>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</si>
  <si>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</si>
  <si>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</si>
  <si>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</si>
  <si>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</si>
  <si>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</si>
  <si>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</si>
  <si>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</si>
  <si>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</si>
  <si>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</si>
  <si>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</si>
  <si>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</si>
  <si>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</si>
  <si>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</si>
  <si>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</si>
  <si>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</si>
  <si>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</si>
  <si>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</si>
  <si>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</si>
  <si>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</si>
  <si>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</si>
  <si>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</si>
  <si>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</si>
  <si>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</si>
  <si>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</si>
  <si>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</si>
  <si>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</si>
  <si>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</si>
  <si>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</si>
  <si>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</si>
  <si>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</si>
  <si>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</si>
  <si>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</si>
  <si>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</si>
  <si>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</si>
  <si>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</si>
  <si>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</si>
  <si>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</si>
  <si>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</si>
  <si>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</si>
  <si>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</si>
  <si>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</si>
  <si>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</si>
  <si>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</si>
  <si>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</si>
  <si>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</si>
  <si>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</si>
  <si>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</si>
  <si>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</si>
  <si>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</si>
  <si>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</si>
  <si>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</si>
  <si>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</si>
  <si>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</si>
  <si>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</si>
  <si>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</si>
  <si>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</si>
  <si>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</si>
  <si>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</si>
  <si>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</si>
  <si>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</si>
  <si>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</si>
  <si>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</si>
  <si>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</si>
  <si>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</si>
  <si>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</si>
  <si>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</si>
  <si>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</si>
  <si>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</si>
  <si>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</si>
  <si>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</si>
  <si>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</si>
  <si>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</si>
  <si>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</si>
  <si>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</si>
  <si>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</si>
  <si>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</si>
  <si>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</si>
  <si>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</si>
  <si>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</si>
  <si>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</si>
  <si>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</si>
  <si>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</si>
  <si>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</si>
  <si>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</si>
  <si>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</si>
  <si>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</si>
  <si>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</si>
  <si>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</si>
  <si>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</si>
  <si>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</si>
  <si>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</si>
  <si>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</si>
  <si>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</si>
  <si>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</si>
  <si>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</si>
  <si>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</si>
  <si>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</si>
  <si>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</si>
  <si>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</si>
  <si>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</si>
  <si>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</si>
  <si>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</si>
  <si>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</si>
  <si>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</si>
  <si>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</si>
  <si>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</si>
  <si>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</si>
  <si>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</si>
  <si>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</si>
  <si>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</si>
  <si>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</si>
  <si>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</si>
  <si>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</si>
  <si>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</si>
  <si>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</si>
  <si>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</si>
  <si>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</si>
  <si>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</si>
  <si>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</si>
  <si>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</si>
  <si>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</si>
  <si>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</si>
  <si>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</si>
  <si>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</si>
  <si>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</si>
  <si>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</si>
  <si>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</si>
  <si>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</si>
  <si>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</si>
  <si>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</si>
  <si>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</si>
  <si>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</si>
  <si>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</si>
  <si>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</si>
  <si>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</si>
  <si>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</si>
  <si>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</si>
  <si>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</si>
  <si>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</si>
  <si>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</si>
  <si>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</si>
  <si>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</si>
  <si>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</si>
  <si>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</si>
  <si>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</si>
  <si>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</si>
  <si>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</si>
  <si>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</si>
  <si>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</si>
  <si>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</si>
  <si>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</si>
  <si>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</si>
  <si>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</si>
  <si>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</si>
  <si>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</si>
  <si>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</si>
  <si>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</si>
  <si>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</si>
  <si>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</si>
  <si>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</si>
  <si>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</si>
  <si>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</si>
  <si>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</si>
  <si>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</si>
  <si>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</si>
  <si>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</si>
  <si>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</si>
  <si>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</si>
  <si>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</si>
  <si>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</si>
  <si>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</si>
  <si>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</si>
  <si>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</si>
  <si>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</si>
  <si>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</si>
  <si>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</si>
  <si>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</si>
  <si>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</si>
  <si>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</si>
  <si>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</si>
  <si>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</si>
  <si>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</si>
  <si>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</si>
  <si>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</si>
  <si>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</si>
  <si>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</si>
  <si>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</si>
  <si>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</si>
  <si>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</si>
  <si>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</si>
  <si>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</si>
  <si>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</si>
  <si>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</si>
  <si>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</si>
  <si>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</si>
  <si>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</si>
  <si>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</si>
  <si>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</si>
  <si>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</si>
  <si>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</si>
  <si>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</si>
  <si>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</si>
  <si>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</si>
  <si>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</si>
  <si>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</si>
  <si>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</si>
  <si>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</si>
  <si>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</si>
  <si>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</si>
  <si>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</si>
  <si>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</si>
  <si>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</si>
  <si>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</si>
  <si>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</si>
  <si>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</si>
  <si>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</si>
  <si>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</si>
  <si>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</si>
  <si>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</si>
  <si>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</si>
  <si>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</si>
  <si>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</si>
  <si>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</si>
  <si>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</si>
  <si>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</si>
  <si>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</si>
  <si>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</si>
  <si>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</si>
  <si>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</si>
  <si>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</si>
  <si>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</si>
  <si>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</si>
  <si>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</si>
  <si>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</si>
  <si>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</si>
  <si>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</si>
  <si>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</si>
  <si>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</si>
  <si>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</si>
  <si>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</si>
  <si>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</si>
  <si>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</si>
  <si>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</si>
  <si>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</si>
  <si>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</si>
  <si>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</si>
  <si>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</si>
  <si>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</si>
  <si>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</si>
  <si>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</si>
  <si>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</si>
  <si>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</si>
  <si>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</si>
  <si>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</si>
  <si>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</si>
  <si>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</si>
  <si>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</si>
  <si>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</si>
  <si>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</si>
  <si>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</si>
  <si>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</si>
  <si>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</si>
  <si>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</si>
  <si>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</si>
  <si>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</si>
  <si>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</si>
  <si>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</si>
  <si>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</si>
  <si>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</si>
  <si>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</si>
  <si>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</si>
  <si>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</si>
  <si>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</si>
  <si>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</si>
  <si>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</si>
  <si>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</si>
  <si>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</si>
  <si>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</si>
  <si>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</si>
  <si>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</si>
  <si>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</si>
  <si>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</si>
  <si>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</si>
  <si>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</si>
  <si>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</si>
  <si>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</si>
  <si>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</si>
  <si>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</si>
  <si>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</si>
  <si>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</si>
  <si>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</si>
  <si>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</si>
  <si>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</si>
  <si>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</si>
  <si>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</si>
  <si>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</si>
  <si>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</si>
  <si>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</si>
  <si>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</si>
  <si>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</si>
  <si>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</si>
  <si>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</si>
  <si>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</si>
  <si>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</si>
  <si>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</si>
  <si>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</si>
  <si>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</si>
  <si>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</si>
  <si>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</si>
  <si>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</si>
  <si>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</si>
  <si>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</si>
  <si>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</si>
  <si>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</si>
  <si>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</si>
  <si>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</si>
  <si>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</si>
  <si>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</si>
  <si>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</si>
  <si>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</si>
  <si>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</si>
  <si>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</si>
  <si>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</si>
  <si>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</si>
  <si>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</si>
  <si>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</si>
  <si>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</si>
  <si>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</si>
  <si>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</si>
  <si>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</si>
  <si>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</si>
  <si>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</si>
  <si>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</si>
  <si>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</si>
  <si>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</si>
  <si>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</si>
  <si>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</si>
  <si>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</si>
  <si>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</si>
  <si>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</si>
  <si>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</si>
  <si>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</si>
  <si>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</si>
  <si>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</si>
  <si>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</si>
  <si>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</si>
  <si>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</si>
  <si>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</si>
  <si>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</si>
  <si>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</si>
  <si>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</si>
  <si>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</si>
  <si>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</si>
  <si>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</si>
  <si>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</si>
  <si>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</si>
  <si>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</si>
  <si>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</si>
  <si>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</si>
  <si>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</si>
  <si>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</si>
  <si>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</si>
  <si>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</si>
  <si>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</si>
  <si>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</si>
  <si>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</si>
  <si>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</si>
  <si>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</si>
  <si>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</si>
  <si>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</si>
  <si>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</si>
  <si>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</si>
  <si>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</si>
  <si>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</si>
  <si>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</si>
  <si>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</si>
  <si>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</si>
  <si>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</si>
  <si>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</si>
  <si>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</si>
  <si>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</si>
  <si>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</si>
  <si>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</si>
  <si>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</si>
  <si>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</si>
  <si>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</si>
  <si>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</si>
  <si>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</si>
  <si>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</si>
  <si>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</si>
  <si>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</si>
  <si>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</si>
  <si>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</si>
  <si>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</si>
  <si>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</si>
  <si>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</si>
  <si>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</si>
  <si>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</si>
  <si>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</si>
  <si>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</si>
  <si>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</si>
  <si>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</si>
  <si>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</si>
  <si>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</si>
  <si>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</si>
  <si>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</si>
  <si>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</si>
  <si>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</si>
  <si>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</si>
  <si>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</si>
  <si>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</si>
  <si>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</si>
  <si>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</si>
  <si>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</si>
  <si>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</si>
  <si>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</si>
  <si>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</si>
  <si>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</si>
  <si>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</si>
  <si>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</si>
  <si>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</si>
  <si>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</si>
  <si>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</si>
  <si>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</si>
  <si>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</si>
  <si>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</si>
  <si>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</si>
  <si>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</si>
  <si>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</si>
  <si>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</si>
  <si>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</si>
  <si>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</si>
  <si>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</si>
  <si>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</si>
  <si>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</si>
  <si>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</si>
  <si>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</si>
  <si>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</si>
  <si>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</si>
  <si>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</si>
  <si>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</si>
  <si>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</si>
  <si>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</si>
  <si>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</si>
  <si>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</si>
  <si>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</si>
  <si>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</si>
  <si>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</si>
  <si>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</si>
  <si>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</si>
  <si>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</si>
  <si>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</si>
  <si>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</si>
  <si>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</si>
  <si>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</si>
  <si>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</si>
  <si>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</si>
  <si>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</si>
  <si>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</si>
  <si>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</si>
  <si>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</si>
  <si>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</si>
  <si>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</si>
  <si>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</si>
  <si>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</si>
  <si>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</si>
  <si>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</si>
  <si>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</si>
  <si>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</si>
  <si>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</si>
  <si>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</si>
  <si>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</si>
  <si>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</si>
  <si>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</si>
  <si>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</si>
  <si>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</si>
  <si>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</si>
  <si>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</si>
  <si>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</si>
  <si>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</si>
  <si>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</si>
  <si>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</si>
  <si>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</si>
  <si>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</si>
  <si>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</si>
  <si>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</si>
  <si>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</si>
  <si>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</si>
  <si>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</si>
  <si>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</si>
  <si>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</si>
  <si>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</si>
  <si>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</si>
  <si>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</si>
  <si>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</si>
  <si>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</si>
  <si>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</si>
  <si>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</si>
  <si>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</si>
  <si>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</si>
  <si>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</si>
  <si>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</si>
  <si>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</si>
  <si>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</si>
  <si>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</si>
  <si>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</si>
  <si>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</si>
  <si>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</si>
  <si>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</si>
  <si>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</si>
  <si>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</si>
  <si>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</si>
  <si>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</si>
  <si>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</si>
  <si>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</si>
  <si>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</si>
  <si>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</si>
  <si>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</si>
  <si>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</si>
  <si>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</si>
  <si>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</si>
  <si>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</si>
  <si>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</si>
  <si>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</si>
  <si>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</si>
  <si>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</si>
  <si>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</si>
  <si>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</si>
  <si>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</si>
  <si>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</si>
  <si>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</si>
  <si>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</si>
  <si>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</si>
  <si>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</si>
  <si>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</si>
  <si>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</si>
  <si>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</si>
  <si>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</si>
  <si>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</si>
  <si>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</si>
  <si>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</si>
  <si>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</si>
  <si>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</si>
  <si>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</si>
  <si>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</si>
  <si>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</si>
  <si>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</si>
  <si>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</si>
  <si>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</si>
  <si>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</si>
  <si>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</si>
  <si>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</si>
  <si>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</si>
  <si>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</si>
  <si>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</si>
  <si>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</si>
  <si>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</si>
  <si>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</si>
  <si>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</si>
  <si>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</si>
  <si>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</si>
  <si>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</si>
  <si>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</si>
  <si>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</si>
  <si>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</si>
  <si>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</si>
  <si>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</si>
  <si>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</si>
  <si>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</si>
  <si>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</si>
  <si>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</si>
  <si>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</si>
  <si>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</si>
  <si>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</si>
  <si>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</si>
  <si>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</si>
  <si>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</si>
  <si>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</si>
  <si>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</si>
  <si>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</si>
  <si>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</si>
  <si>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</si>
  <si>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</si>
  <si>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</si>
  <si>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</si>
  <si>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</si>
  <si>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</si>
  <si>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</si>
  <si>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</si>
  <si>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</si>
  <si>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</si>
  <si>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</si>
  <si>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</si>
  <si>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</si>
  <si>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</si>
  <si>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</si>
  <si>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</si>
  <si>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</si>
  <si>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</si>
  <si>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</si>
  <si>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</si>
  <si>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</si>
  <si>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</si>
  <si>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</si>
  <si>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</si>
  <si>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</si>
  <si>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</si>
  <si>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</si>
  <si>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</si>
  <si>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</si>
  <si>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</si>
  <si>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</si>
  <si>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</si>
  <si>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</si>
  <si>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</si>
  <si>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</si>
  <si>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</si>
  <si>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</si>
  <si>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</si>
  <si>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</si>
  <si>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</si>
  <si>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</si>
  <si>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</si>
  <si>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</si>
  <si>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</si>
  <si>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</si>
  <si>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</si>
  <si>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</si>
  <si>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</si>
  <si>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</si>
  <si>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</si>
  <si>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</si>
  <si>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</si>
  <si>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</si>
  <si>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</si>
  <si>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</si>
  <si>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</si>
  <si>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</si>
  <si>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</si>
  <si>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</si>
  <si>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</si>
  <si>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</si>
  <si>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</si>
  <si>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</si>
  <si>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</si>
  <si>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</si>
  <si>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</si>
  <si>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</si>
  <si>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</si>
  <si>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</si>
  <si>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</si>
  <si>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</si>
  <si>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</si>
  <si>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</si>
  <si>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</si>
  <si>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</si>
  <si>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</si>
  <si>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</si>
  <si>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</si>
  <si>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</si>
  <si>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</si>
  <si>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</si>
  <si>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</si>
  <si>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</si>
  <si>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</si>
  <si>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</si>
  <si>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</si>
  <si>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</si>
  <si>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</si>
  <si>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</si>
  <si>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</si>
  <si>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</si>
  <si>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</si>
  <si>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</si>
  <si>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</si>
  <si>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</si>
  <si>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</si>
  <si>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</si>
  <si>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</si>
  <si>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</si>
  <si>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</si>
  <si>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</si>
  <si>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</si>
  <si>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</si>
  <si>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</si>
  <si>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</si>
  <si>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</si>
  <si>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</si>
  <si>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</si>
  <si>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</si>
  <si>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</si>
  <si>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</si>
  <si>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</si>
  <si>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</si>
  <si>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</si>
  <si>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</si>
  <si>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</si>
  <si>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</si>
  <si>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</si>
  <si>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</si>
  <si>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</si>
  <si>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</si>
  <si>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</si>
  <si>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</si>
  <si>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</si>
  <si>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</si>
  <si>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</si>
  <si>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</si>
  <si>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</si>
  <si>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</si>
  <si>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</si>
  <si>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</si>
  <si>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</si>
  <si>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</si>
  <si>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</si>
  <si>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</si>
  <si>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</si>
  <si>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</si>
  <si>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</si>
  <si>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</si>
  <si>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</si>
  <si>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</si>
  <si>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</si>
  <si>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</si>
  <si>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</si>
  <si>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</si>
  <si>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</si>
  <si>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</si>
  <si>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</si>
  <si>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</si>
  <si>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</si>
  <si>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</si>
  <si>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</si>
  <si>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</si>
  <si>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</si>
  <si>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</si>
  <si>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</si>
  <si>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</si>
  <si>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</si>
  <si>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</si>
  <si>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</si>
  <si>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</si>
  <si>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</si>
  <si>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</si>
  <si>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</si>
  <si>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</si>
  <si>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</si>
  <si>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</si>
  <si>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</si>
  <si>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</si>
  <si>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</si>
  <si>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</si>
  <si>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</si>
  <si>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</si>
  <si>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</si>
  <si>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</si>
  <si>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</si>
  <si>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</si>
  <si>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</si>
  <si>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</si>
  <si>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</si>
  <si>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</si>
  <si>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</si>
  <si>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</si>
  <si>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</si>
  <si>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</si>
  <si>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</si>
  <si>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</si>
  <si>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</si>
  <si>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</si>
  <si>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</si>
  <si>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</si>
  <si>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</si>
  <si>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</si>
  <si>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</si>
  <si>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</si>
  <si>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</si>
  <si>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</si>
  <si>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</si>
  <si>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</si>
  <si>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</si>
  <si>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</si>
  <si>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</si>
  <si>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</si>
  <si>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</si>
  <si>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</si>
  <si>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</si>
  <si>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</si>
  <si>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</si>
  <si>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</si>
  <si>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</si>
  <si>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</si>
  <si>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</si>
  <si>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</si>
  <si>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</si>
  <si>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</si>
  <si>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</si>
  <si>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</si>
  <si>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</si>
  <si>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</si>
  <si>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</si>
  <si>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</si>
  <si>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</si>
  <si>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</si>
  <si>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</si>
  <si>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</si>
  <si>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</si>
  <si>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</si>
  <si>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</si>
  <si>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</si>
  <si>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</si>
  <si>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</si>
  <si>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</si>
  <si>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</si>
  <si>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</si>
  <si>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</si>
  <si>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</si>
  <si>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</si>
  <si>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</si>
  <si>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</si>
  <si>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</si>
  <si>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</si>
  <si>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</si>
  <si>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</si>
  <si>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</si>
  <si>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</si>
  <si>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</si>
  <si>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</si>
  <si>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</si>
  <si>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</si>
  <si>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</si>
  <si>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</si>
  <si>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</si>
  <si>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</si>
  <si>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</si>
  <si>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</si>
  <si>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</si>
  <si>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</si>
  <si>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</si>
  <si>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</si>
  <si>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</si>
  <si>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</si>
  <si>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</si>
  <si>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</si>
  <si>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</si>
  <si>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</si>
  <si>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</si>
  <si>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</si>
  <si>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</si>
  <si>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</si>
  <si>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</si>
  <si>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</si>
  <si>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</si>
  <si>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</si>
  <si>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</si>
  <si>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</si>
  <si>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</si>
  <si>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</si>
  <si>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</si>
  <si>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</si>
  <si>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</si>
  <si>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</si>
  <si>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</si>
  <si>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</si>
  <si>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</si>
  <si>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</si>
  <si>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</si>
  <si>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</si>
  <si>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</si>
  <si>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</si>
  <si>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</si>
  <si>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</si>
  <si>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</si>
  <si>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</si>
  <si>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</si>
  <si>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</si>
  <si>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</si>
  <si>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</si>
  <si>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</si>
  <si>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</si>
  <si>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</si>
  <si>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</si>
  <si>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</si>
  <si>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</si>
  <si>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</si>
  <si>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</si>
  <si>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</si>
  <si>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</si>
  <si>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</si>
  <si>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</si>
  <si>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</si>
  <si>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</si>
  <si>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</si>
  <si>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</si>
  <si>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</si>
  <si>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</si>
  <si>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</si>
  <si>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</si>
  <si>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</si>
  <si>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</si>
  <si>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</si>
  <si>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</si>
  <si>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</si>
  <si>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</si>
  <si>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</si>
  <si>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</si>
  <si>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</si>
  <si>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</si>
  <si>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</si>
  <si>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</si>
  <si>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</si>
  <si>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</si>
  <si>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</si>
  <si>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</si>
  <si>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</si>
  <si>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</si>
  <si>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</si>
  <si>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</si>
  <si>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</si>
  <si>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</si>
  <si>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</si>
  <si>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</si>
  <si>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</si>
  <si>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</si>
  <si>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</si>
  <si>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</si>
  <si>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</si>
  <si>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</si>
  <si>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</si>
  <si>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</si>
  <si>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</si>
  <si>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</si>
  <si>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</si>
  <si>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</si>
  <si>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</si>
  <si>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</si>
  <si>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</si>
  <si>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</si>
  <si>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</si>
  <si>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</si>
  <si>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</si>
  <si>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</si>
  <si>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</si>
  <si>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</si>
  <si>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</si>
  <si>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</si>
  <si>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</si>
  <si>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</si>
  <si>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</si>
  <si>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</si>
  <si>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</si>
  <si>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</si>
  <si>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</si>
  <si>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</si>
  <si>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</si>
  <si>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</si>
  <si>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</si>
  <si>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</si>
  <si>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</si>
  <si>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</si>
  <si>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</si>
  <si>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</si>
  <si>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</si>
  <si>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</si>
  <si>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</si>
  <si>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</si>
  <si>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</si>
  <si>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</si>
  <si>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</si>
  <si>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</si>
  <si>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</si>
  <si>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</si>
  <si>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</si>
  <si>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</si>
  <si>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</si>
  <si>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</si>
  <si>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</si>
  <si>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</si>
  <si>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</si>
  <si>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</si>
  <si>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</si>
  <si>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</si>
  <si>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</si>
  <si>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</si>
  <si>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</si>
  <si>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</si>
  <si>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</si>
  <si>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</si>
  <si>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</si>
  <si>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</si>
  <si>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</si>
  <si>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</si>
  <si>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</si>
  <si>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</si>
  <si>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</si>
  <si>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</si>
  <si>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</si>
  <si>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</si>
  <si>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</si>
  <si>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</si>
  <si>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</si>
  <si>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</si>
  <si>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</si>
  <si>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</si>
  <si>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</si>
  <si>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</si>
  <si>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</si>
  <si>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</si>
  <si>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</si>
  <si>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</si>
  <si>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</si>
  <si>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</si>
  <si>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</si>
  <si>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</si>
  <si>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</si>
  <si>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</si>
  <si>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</si>
  <si>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</si>
  <si>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</si>
  <si>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</si>
  <si>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</si>
  <si>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</si>
  <si>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</si>
  <si>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</si>
  <si>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</si>
  <si>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</si>
  <si>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</si>
  <si>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</si>
  <si>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</si>
  <si>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</si>
  <si>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</si>
  <si>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</si>
  <si>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</si>
  <si>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</si>
  <si>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</si>
  <si>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</si>
  <si>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</si>
  <si>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</si>
  <si>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</si>
  <si>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</si>
  <si>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</si>
  <si>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</si>
  <si>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</si>
  <si>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</si>
  <si>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</si>
  <si>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</si>
  <si>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</si>
  <si>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</si>
  <si>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</si>
  <si>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</si>
  <si>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</si>
  <si>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</si>
  <si>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</si>
  <si>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</si>
  <si>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</si>
  <si>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</si>
  <si>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</si>
  <si>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</si>
  <si>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</si>
  <si>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</si>
  <si>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</si>
  <si>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</si>
  <si>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</si>
  <si>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</si>
  <si>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</si>
  <si>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</si>
  <si>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</si>
  <si>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</si>
  <si>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</si>
  <si>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</si>
  <si>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</si>
  <si>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</si>
  <si>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</si>
  <si>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</si>
  <si>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</si>
  <si>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</si>
  <si>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</si>
  <si>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</si>
  <si>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</si>
  <si>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</si>
  <si>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</si>
  <si>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</si>
  <si>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</si>
  <si>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</si>
  <si>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</si>
  <si>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</si>
  <si>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</si>
  <si>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</si>
  <si>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</si>
  <si>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</si>
  <si>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</si>
  <si>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</si>
  <si>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</si>
  <si>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</si>
  <si>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</si>
  <si>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</si>
  <si>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</si>
  <si>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</si>
  <si>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</si>
  <si>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</si>
  <si>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</si>
  <si>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</si>
  <si>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</si>
  <si>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</si>
  <si>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</si>
  <si>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</si>
  <si>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</si>
  <si>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</si>
  <si>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</si>
  <si>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</si>
  <si>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</si>
  <si>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</si>
  <si>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</si>
  <si>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</si>
  <si>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</si>
  <si>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</si>
  <si>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</si>
  <si>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</si>
  <si>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</si>
  <si>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</si>
  <si>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</si>
  <si>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</si>
  <si>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</si>
  <si>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</si>
  <si>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</si>
  <si>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</si>
  <si>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</si>
  <si>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</si>
  <si>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</si>
  <si>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</si>
  <si>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</si>
  <si>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</si>
  <si>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</si>
  <si>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</si>
  <si>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</si>
  <si>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</si>
  <si>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</si>
  <si>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</si>
  <si>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</si>
  <si>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</si>
  <si>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</si>
  <si>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</si>
  <si>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</si>
  <si>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</si>
  <si>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</si>
  <si>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</si>
  <si>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</si>
  <si>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</si>
  <si>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</si>
  <si>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</si>
  <si>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</si>
  <si>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</si>
  <si>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</si>
  <si>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</si>
  <si>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</si>
  <si>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</si>
  <si>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</si>
  <si>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</si>
  <si>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</si>
  <si>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</si>
  <si>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</si>
  <si>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</si>
  <si>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</si>
  <si>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</si>
  <si>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</si>
  <si>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</si>
  <si>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</si>
  <si>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</si>
  <si>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</si>
  <si>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</si>
  <si>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</si>
  <si>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</si>
  <si>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</si>
  <si>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</si>
  <si>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</si>
  <si>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</si>
  <si>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</si>
  <si>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</si>
  <si>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</si>
  <si>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</si>
  <si>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</si>
  <si>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</si>
  <si>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</si>
  <si>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</si>
  <si>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</si>
  <si>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</si>
  <si>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</si>
  <si>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</si>
  <si>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</si>
  <si>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</si>
  <si>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</si>
  <si>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</si>
  <si>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</si>
  <si>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</si>
  <si>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</si>
  <si>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</si>
  <si>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</si>
  <si>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</si>
  <si>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</si>
  <si>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</si>
  <si>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</si>
  <si>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</si>
  <si>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</si>
  <si>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</si>
  <si>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</si>
  <si>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</si>
  <si>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</si>
  <si>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</si>
  <si>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</si>
  <si>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</si>
  <si>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</si>
  <si>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</si>
  <si>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</si>
  <si>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</si>
  <si>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</si>
  <si>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</si>
  <si>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</si>
  <si>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</si>
  <si>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</si>
  <si>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</si>
  <si>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</si>
  <si>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</si>
  <si>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</si>
  <si>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</si>
  <si>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</si>
  <si>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</si>
  <si>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</si>
  <si>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</si>
  <si>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</si>
  <si>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</si>
  <si>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</si>
  <si>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</si>
  <si>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</si>
  <si>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</si>
  <si>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</si>
  <si>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</si>
  <si>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</si>
  <si>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</si>
  <si>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</si>
  <si>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</si>
  <si>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</si>
  <si>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</si>
  <si>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</si>
  <si>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</si>
  <si>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</si>
  <si>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</si>
  <si>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</si>
  <si>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</si>
  <si>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</si>
  <si>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</si>
  <si>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</si>
  <si>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</si>
  <si>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</si>
  <si>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</si>
  <si>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</si>
  <si>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</si>
  <si>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</si>
  <si>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</si>
  <si>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</si>
  <si>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</si>
  <si>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</si>
  <si>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</si>
  <si>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</si>
  <si>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</si>
  <si>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</si>
  <si>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</si>
  <si>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</si>
  <si>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</si>
  <si>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</si>
  <si>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</si>
  <si>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</si>
  <si>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</si>
  <si>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</si>
  <si>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</si>
  <si>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</si>
  <si>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</si>
  <si>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</si>
  <si>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</si>
  <si>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</si>
  <si>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</si>
  <si>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</si>
  <si>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</si>
  <si>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</si>
  <si>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</si>
  <si>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</si>
  <si>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</si>
  <si>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</si>
  <si>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</si>
  <si>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</si>
  <si>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</si>
  <si>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</si>
  <si>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</si>
  <si>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</si>
  <si>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</si>
  <si>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</si>
  <si>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</si>
  <si>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</si>
  <si>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</si>
  <si>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</si>
  <si>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</si>
  <si>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</si>
  <si>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</si>
  <si>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</si>
  <si>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</si>
  <si>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</si>
  <si>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</si>
  <si>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</si>
  <si>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</si>
  <si>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</si>
  <si>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</si>
  <si>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</si>
  <si>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</si>
  <si>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</si>
  <si>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</si>
  <si>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</si>
  <si>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</si>
  <si>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</si>
  <si>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</si>
  <si>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</si>
  <si>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</si>
  <si>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</si>
  <si>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</si>
  <si>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</si>
  <si>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</si>
  <si>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</si>
  <si>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</si>
  <si>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</si>
  <si>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</si>
  <si>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</si>
  <si>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</si>
  <si>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</si>
  <si>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</si>
  <si>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</si>
  <si>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</si>
  <si>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</si>
  <si>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</si>
  <si>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</si>
  <si>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</si>
  <si>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</si>
  <si>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</si>
  <si>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</si>
  <si>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</si>
  <si>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</si>
  <si>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</si>
  <si>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</si>
  <si>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</si>
  <si>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</si>
  <si>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</si>
  <si>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</si>
  <si>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</si>
  <si>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</si>
  <si>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</si>
  <si>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</si>
  <si>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</si>
  <si>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</si>
  <si>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</si>
  <si>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</si>
  <si>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</si>
  <si>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</si>
  <si>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</si>
  <si>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</si>
  <si>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</si>
  <si>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</si>
  <si>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</si>
  <si>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</si>
  <si>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</si>
  <si>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</si>
  <si>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</si>
  <si>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</si>
  <si>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</si>
  <si>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</si>
  <si>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</si>
  <si>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</si>
  <si>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</si>
  <si>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</si>
  <si>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</si>
  <si>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</si>
  <si>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</si>
  <si>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</si>
  <si>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</si>
  <si>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</si>
  <si>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</si>
  <si>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</si>
  <si>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</si>
  <si>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</si>
  <si>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</si>
  <si>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</si>
  <si>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</si>
  <si>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</si>
  <si>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</si>
  <si>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</si>
  <si>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</si>
  <si>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</si>
  <si>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</si>
  <si>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</si>
  <si>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</si>
  <si>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</si>
  <si>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</si>
  <si>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</si>
  <si>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</si>
  <si>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</si>
  <si>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</si>
  <si>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</si>
  <si>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</si>
  <si>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</si>
  <si>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</si>
  <si>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</si>
  <si>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</si>
  <si>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</si>
  <si>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</si>
  <si>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</si>
  <si>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</si>
  <si>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</si>
  <si>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</si>
  <si>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</si>
  <si>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</si>
  <si>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</si>
  <si>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</si>
  <si>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</si>
  <si>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</si>
  <si>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</si>
  <si>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</si>
  <si>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</si>
  <si>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</si>
  <si>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</si>
  <si>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</si>
  <si>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</si>
  <si>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</si>
  <si>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</si>
  <si>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</si>
  <si>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</si>
  <si>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</si>
  <si>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</si>
  <si>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</si>
  <si>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</si>
  <si>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</si>
  <si>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</si>
  <si>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</si>
  <si>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</si>
  <si>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</si>
  <si>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</si>
  <si>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</si>
  <si>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</si>
  <si>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</si>
  <si>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</si>
  <si>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</si>
  <si>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</si>
  <si>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</si>
  <si>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</si>
  <si>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</si>
  <si>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</si>
  <si>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</si>
  <si>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</si>
  <si>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</si>
  <si>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</si>
  <si>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</si>
  <si>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</si>
  <si>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</si>
  <si>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</si>
  <si>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</si>
  <si>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</si>
  <si>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</si>
  <si>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</si>
  <si>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</si>
  <si>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</si>
  <si>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</si>
  <si>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</si>
  <si>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</si>
  <si>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</si>
  <si>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</si>
  <si>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</si>
  <si>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</si>
  <si>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</si>
  <si>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</si>
  <si>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</si>
  <si>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</si>
  <si>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</si>
  <si>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</si>
  <si>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</si>
  <si>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</si>
  <si>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</si>
  <si>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</si>
  <si>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</si>
  <si>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</si>
  <si>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</si>
  <si>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</si>
  <si>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</si>
  <si>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</si>
  <si>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</si>
  <si>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</si>
  <si>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</si>
  <si>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</si>
  <si>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</si>
  <si>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</si>
  <si>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</si>
  <si>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</si>
  <si>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</si>
  <si>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</si>
  <si>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</si>
  <si>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</si>
  <si>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</si>
  <si>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</si>
  <si>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</si>
  <si>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</si>
  <si>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</si>
  <si>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</si>
  <si>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</si>
  <si>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</si>
  <si>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</si>
  <si>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</si>
  <si>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</si>
  <si>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</si>
  <si>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</si>
  <si>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</si>
  <si>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</si>
  <si>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</si>
  <si>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</si>
  <si>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</si>
  <si>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</si>
  <si>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</si>
  <si>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</si>
  <si>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</si>
  <si>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</si>
  <si>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</si>
  <si>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</si>
  <si>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</si>
  <si>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</si>
  <si>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</si>
  <si>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</si>
  <si>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</si>
  <si>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</si>
  <si>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</si>
  <si>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</si>
  <si>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</si>
  <si>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</si>
  <si>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</si>
  <si>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</si>
  <si>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</si>
  <si>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</si>
  <si>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</si>
  <si>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</si>
  <si>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</si>
  <si>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</si>
  <si>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</si>
  <si>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</si>
  <si>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</si>
  <si>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</si>
  <si>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</si>
  <si>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</si>
  <si>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</si>
  <si>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</si>
  <si>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</si>
  <si>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</si>
  <si>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</si>
  <si>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</si>
  <si>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</si>
  <si>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</si>
  <si>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</si>
  <si>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</si>
  <si>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</si>
  <si>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</si>
  <si>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</si>
  <si>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</si>
  <si>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</si>
  <si>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</si>
  <si>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</si>
  <si>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</si>
  <si>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</si>
  <si>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</si>
  <si>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</si>
  <si>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</si>
  <si>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</si>
  <si>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</si>
  <si>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</si>
  <si>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</si>
  <si>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</si>
  <si>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</si>
  <si>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</si>
  <si>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</si>
  <si>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</si>
  <si>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</si>
  <si>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</si>
  <si>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</si>
  <si>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</si>
  <si>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</si>
  <si>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</si>
  <si>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</si>
  <si>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</si>
  <si>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</si>
  <si>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</si>
  <si>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</si>
  <si>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</si>
  <si>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</si>
  <si>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</si>
  <si>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</si>
  <si>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</si>
  <si>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</si>
  <si>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</si>
  <si>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</si>
  <si>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</si>
  <si>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</si>
  <si>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</si>
  <si>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</si>
  <si>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</si>
  <si>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</si>
  <si>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</si>
  <si>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</si>
  <si>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</si>
  <si>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</si>
  <si>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</si>
  <si>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</si>
  <si>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</si>
  <si>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</si>
  <si>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</si>
  <si>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</si>
  <si>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</si>
  <si>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</si>
  <si>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</si>
  <si>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</si>
  <si>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</si>
  <si>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</si>
  <si>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</si>
  <si>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</si>
  <si>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</si>
  <si>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</si>
  <si>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</si>
  <si>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</si>
  <si>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</si>
  <si>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</si>
  <si>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</si>
  <si>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</si>
  <si>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</si>
  <si>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</si>
  <si>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</si>
  <si>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</si>
  <si>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</si>
  <si>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</si>
  <si>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</si>
  <si>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</si>
  <si>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</si>
  <si>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</si>
  <si>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</si>
  <si>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</si>
  <si>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</si>
  <si>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</si>
  <si>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</si>
  <si>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</si>
  <si>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</si>
  <si>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</si>
  <si>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</si>
  <si>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</si>
  <si>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</si>
  <si>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</si>
  <si>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</si>
  <si>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</si>
  <si>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</si>
  <si>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</si>
  <si>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</si>
  <si>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</si>
  <si>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</si>
  <si>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</si>
  <si>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</si>
  <si>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</si>
  <si>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</si>
  <si>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</si>
  <si>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</si>
  <si>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</si>
  <si>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</si>
  <si>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</si>
  <si>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</si>
  <si>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</si>
  <si>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</si>
  <si>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</si>
  <si>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</si>
  <si>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</si>
  <si>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</si>
  <si>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</si>
  <si>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</si>
  <si>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</si>
  <si>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</si>
  <si>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</si>
  <si>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</si>
  <si>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</si>
  <si>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</si>
  <si>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</si>
  <si>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</si>
  <si>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</si>
  <si>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</si>
  <si>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</si>
  <si>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</si>
  <si>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</si>
  <si>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</si>
  <si>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</si>
  <si>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</si>
  <si>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</si>
  <si>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</si>
  <si>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</si>
  <si>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</si>
  <si>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</si>
  <si>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</si>
  <si>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</si>
  <si>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</si>
  <si>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</si>
  <si>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</si>
  <si>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</si>
  <si>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</si>
  <si>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</si>
  <si>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</si>
  <si>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</si>
  <si>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</si>
  <si>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</si>
  <si>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</si>
  <si>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</si>
  <si>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</si>
  <si>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</si>
  <si>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</si>
  <si>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</si>
  <si>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</si>
  <si>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</si>
  <si>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</si>
  <si>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</si>
  <si>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</si>
  <si>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</si>
  <si>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</si>
  <si>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</si>
  <si>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</si>
  <si>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</si>
  <si>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</si>
  <si>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</si>
  <si>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</si>
  <si>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</si>
  <si>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</si>
  <si>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</si>
  <si>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</si>
  <si>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</si>
  <si>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</si>
  <si>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</si>
  <si>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</si>
  <si>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</si>
  <si>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</si>
  <si>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</si>
  <si>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</si>
  <si>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</si>
  <si>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</si>
  <si>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</si>
  <si>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</si>
  <si>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</si>
  <si>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</si>
  <si>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</si>
  <si>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</si>
  <si>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</si>
  <si>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</si>
  <si>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</si>
  <si>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</si>
  <si>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</si>
  <si>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</si>
  <si>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</si>
  <si>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</si>
  <si>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</si>
  <si>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</si>
  <si>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</si>
  <si>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</si>
  <si>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</si>
  <si>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</si>
  <si>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</si>
  <si>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</si>
  <si>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</si>
  <si>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</si>
  <si>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</si>
  <si>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</si>
  <si>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</si>
  <si>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</si>
  <si>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</si>
  <si>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</si>
  <si>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</si>
  <si>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</si>
  <si>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</si>
  <si>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</si>
  <si>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</si>
  <si>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</si>
  <si>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</si>
  <si>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</si>
  <si>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</si>
  <si>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</si>
  <si>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</si>
  <si>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</si>
  <si>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</si>
  <si>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</si>
  <si>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</si>
  <si>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</si>
  <si>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</si>
  <si>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</si>
  <si>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</si>
  <si>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</si>
  <si>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</si>
  <si>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</si>
  <si>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</si>
  <si>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</si>
  <si>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</si>
  <si>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</si>
  <si>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</si>
  <si>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</si>
  <si>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</si>
  <si>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</si>
  <si>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</si>
  <si>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</si>
  <si>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</si>
  <si>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</si>
  <si>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</si>
  <si>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</si>
  <si>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</si>
  <si>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</si>
  <si>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</si>
  <si>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</si>
  <si>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</si>
  <si>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</si>
  <si>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</si>
  <si>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</si>
  <si>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</si>
  <si>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</si>
  <si>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</si>
  <si>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</si>
  <si>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</si>
  <si>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</si>
  <si>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</si>
  <si>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</si>
  <si>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</si>
  <si>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</si>
  <si>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</si>
  <si>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</si>
  <si>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</si>
  <si>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</si>
  <si>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</si>
  <si>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</si>
  <si>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</si>
  <si>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</si>
  <si>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</si>
  <si>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</si>
  <si>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</si>
  <si>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</si>
  <si>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</si>
  <si>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</si>
  <si>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</si>
  <si>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</si>
  <si>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</si>
  <si>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</si>
  <si>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</si>
  <si>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</si>
  <si>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</si>
  <si>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</si>
  <si>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</si>
  <si>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</si>
  <si>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</si>
  <si>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</si>
  <si>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</si>
  <si>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</si>
  <si>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</si>
  <si>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</si>
  <si>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</si>
  <si>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</si>
  <si>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</si>
  <si>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</si>
  <si>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</si>
  <si>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</si>
  <si>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</si>
  <si>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</si>
  <si>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</si>
  <si>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</si>
  <si>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</si>
  <si>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</si>
  <si>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</si>
  <si>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</si>
  <si>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</si>
  <si>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</si>
  <si>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</si>
  <si>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</si>
  <si>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</si>
  <si>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</si>
  <si>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</si>
  <si>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</si>
  <si>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</si>
  <si>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</si>
  <si>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</si>
  <si>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</si>
  <si>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</si>
  <si>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</si>
  <si>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</si>
  <si>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</si>
  <si>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</si>
  <si>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</si>
  <si>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</si>
  <si>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</si>
  <si>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</si>
  <si>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</si>
  <si>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</si>
  <si>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</si>
  <si>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</si>
  <si>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</si>
  <si>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</si>
  <si>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</si>
  <si>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</si>
  <si>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</si>
  <si>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</si>
  <si>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</si>
  <si>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</si>
  <si>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</si>
  <si>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</si>
  <si>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</si>
  <si>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</si>
  <si>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</si>
  <si>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</si>
  <si>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</si>
  <si>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</si>
  <si>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</si>
  <si>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</si>
  <si>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</si>
  <si>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</si>
  <si>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</si>
  <si>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</si>
  <si>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</si>
  <si>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</si>
  <si>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</si>
  <si>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</si>
  <si>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</si>
  <si>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</si>
  <si>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</si>
  <si>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</si>
  <si>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</si>
  <si>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</si>
  <si>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</si>
  <si>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</si>
  <si>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</si>
  <si>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</si>
  <si>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</si>
  <si>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</si>
  <si>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</si>
  <si>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</si>
  <si>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</si>
  <si>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</si>
  <si>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</si>
  <si>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</si>
  <si>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</si>
  <si>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</si>
  <si>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</si>
  <si>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</si>
  <si>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</si>
  <si>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</si>
  <si>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</si>
  <si>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</si>
  <si>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</si>
  <si>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</si>
  <si>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</si>
  <si>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</si>
  <si>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</si>
  <si>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</si>
  <si>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</si>
  <si>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</si>
  <si>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</si>
  <si>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</si>
  <si>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</si>
  <si>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</si>
  <si>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</si>
  <si>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</si>
  <si>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</si>
  <si>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</si>
  <si>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</si>
  <si>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</si>
  <si>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</si>
  <si>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</si>
  <si>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</si>
  <si>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</si>
  <si>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</si>
  <si>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</si>
  <si>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</si>
  <si>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</si>
  <si>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</si>
  <si>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</si>
  <si>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</si>
  <si>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</si>
  <si>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</si>
  <si>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</si>
  <si>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</si>
  <si>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</si>
  <si>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</si>
  <si>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</si>
  <si>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</si>
  <si>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</si>
  <si>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</si>
  <si>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</si>
  <si>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</si>
  <si>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</si>
  <si>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</si>
  <si>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</si>
  <si>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</si>
  <si>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</si>
  <si>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</si>
  <si>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</si>
  <si>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</si>
  <si>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</si>
  <si>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</si>
  <si>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</si>
  <si>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</si>
  <si>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</si>
  <si>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</si>
  <si>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</si>
  <si>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</si>
  <si>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</si>
  <si>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</si>
  <si>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</si>
  <si>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</si>
  <si>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</si>
  <si>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</si>
  <si>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</si>
  <si>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</si>
  <si>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</si>
  <si>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</si>
  <si>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</si>
  <si>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</si>
  <si>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</si>
  <si>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</si>
  <si>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</si>
  <si>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</si>
  <si>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</si>
  <si>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</si>
  <si>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</si>
  <si>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</si>
  <si>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</si>
  <si>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</si>
  <si>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</si>
  <si>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</si>
  <si>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</si>
  <si>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</si>
  <si>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</si>
  <si>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</si>
  <si>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</si>
  <si>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</si>
  <si>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</si>
  <si>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</si>
  <si>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</si>
  <si>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</si>
  <si>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</si>
  <si>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</si>
  <si>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</si>
  <si>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</si>
  <si>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</si>
  <si>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</si>
  <si>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</si>
  <si>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</si>
  <si>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</si>
  <si>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</si>
  <si>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</si>
  <si>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</si>
  <si>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</si>
  <si>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</si>
  <si>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</si>
  <si>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</si>
  <si>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</si>
  <si>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</si>
  <si>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</si>
  <si>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</si>
  <si>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</si>
  <si>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</si>
  <si>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</si>
  <si>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</si>
  <si>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</si>
  <si>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</si>
  <si>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</si>
  <si>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</si>
  <si>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</si>
  <si>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</si>
  <si>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</si>
  <si>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</si>
  <si>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</si>
  <si>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</si>
  <si>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</si>
  <si>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</si>
  <si>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</si>
  <si>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</si>
  <si>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</si>
  <si>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</si>
  <si>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</si>
  <si>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</si>
  <si>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</si>
  <si>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</si>
  <si>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</si>
  <si>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</si>
  <si>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</si>
  <si>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</si>
  <si>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</si>
  <si>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</si>
  <si>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</si>
  <si>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</si>
  <si>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</si>
  <si>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</si>
  <si>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</si>
  <si>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</si>
  <si>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</si>
  <si>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</si>
  <si>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</si>
  <si>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</si>
  <si>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</si>
  <si>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</si>
  <si>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</si>
  <si>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</si>
  <si>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</si>
  <si>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</si>
  <si>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</si>
  <si>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</si>
  <si>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</si>
  <si>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</si>
  <si>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</si>
  <si>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</si>
  <si>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</si>
  <si>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</si>
  <si>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</si>
  <si>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</si>
  <si>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</si>
  <si>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</si>
  <si>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</si>
  <si>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</si>
  <si>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</si>
  <si>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</si>
  <si>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</si>
  <si>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</si>
  <si>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</si>
  <si>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</si>
  <si>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</si>
  <si>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</si>
  <si>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</si>
  <si>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</si>
  <si>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</si>
  <si>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</si>
  <si>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</si>
  <si>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</si>
  <si>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</si>
  <si>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</si>
  <si>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</si>
  <si>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</si>
  <si>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</si>
  <si>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</si>
  <si>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</si>
  <si>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</si>
  <si>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</si>
  <si>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</si>
  <si>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</si>
  <si>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</si>
  <si>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</si>
  <si>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</si>
  <si>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</si>
  <si>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</si>
  <si>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</si>
  <si>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</si>
  <si>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</si>
  <si>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</si>
  <si>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</si>
  <si>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</si>
  <si>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</si>
  <si>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</si>
  <si>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</si>
  <si>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</si>
  <si>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</si>
  <si>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</si>
  <si>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</si>
  <si>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</si>
  <si>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</si>
  <si>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</si>
  <si>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</si>
  <si>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</si>
  <si>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</si>
  <si>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</si>
  <si>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</si>
  <si>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</si>
  <si>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</si>
  <si>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</si>
  <si>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</si>
  <si>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</si>
  <si>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</si>
  <si>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</si>
  <si>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</si>
  <si>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</si>
  <si>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</si>
  <si>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</si>
  <si>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</si>
  <si>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</si>
  <si>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</si>
  <si>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</si>
  <si>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</si>
  <si>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</si>
  <si>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</si>
  <si>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</si>
  <si>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</si>
  <si>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</si>
  <si>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</si>
  <si>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</si>
  <si>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</si>
  <si>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</si>
  <si>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</si>
  <si>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</si>
  <si>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</si>
  <si>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</si>
  <si>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</si>
  <si>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</si>
  <si>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</si>
  <si>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</si>
  <si>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</si>
  <si>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</si>
  <si>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</si>
  <si>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</si>
  <si>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</si>
  <si>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</si>
  <si>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</si>
  <si>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</si>
  <si>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</si>
  <si>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</si>
  <si>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</si>
  <si>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</si>
  <si>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</si>
  <si>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</si>
  <si>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</si>
  <si>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</si>
  <si>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</si>
  <si>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</si>
  <si>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</si>
  <si>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</si>
  <si>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</si>
  <si>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</si>
  <si>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</si>
  <si>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</si>
  <si>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</si>
  <si>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</si>
  <si>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</si>
  <si>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</si>
  <si>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</si>
  <si>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</si>
  <si>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</si>
  <si>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</si>
  <si>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</si>
  <si>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</si>
  <si>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</si>
  <si>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</si>
  <si>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</si>
  <si>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</si>
  <si>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</si>
  <si>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</si>
  <si>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</si>
  <si>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</si>
  <si>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</si>
  <si>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</si>
  <si>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</si>
  <si>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</si>
  <si>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</si>
  <si>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</si>
  <si>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</si>
  <si>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</si>
  <si>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</si>
  <si>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</si>
  <si>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</si>
  <si>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</si>
  <si>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</si>
  <si>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</si>
  <si>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</si>
  <si>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</si>
  <si>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</si>
  <si>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</si>
  <si>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</si>
  <si>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</si>
  <si>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</si>
  <si>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</si>
  <si>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</si>
  <si>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</si>
  <si>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</si>
  <si>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</si>
  <si>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</si>
  <si>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</si>
  <si>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</si>
  <si>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</si>
  <si>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</si>
  <si>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</si>
  <si>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</si>
  <si>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</si>
  <si>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</si>
  <si>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</si>
  <si>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</si>
  <si>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</si>
  <si>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</si>
  <si>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</si>
  <si>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</si>
  <si>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</si>
  <si>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</si>
  <si>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</si>
  <si>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</si>
  <si>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</si>
  <si>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</si>
  <si>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</si>
  <si>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</si>
  <si>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</si>
  <si>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</si>
  <si>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</si>
  <si>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</si>
  <si>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</si>
  <si>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</si>
  <si>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</si>
  <si>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</si>
  <si>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</si>
  <si>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</si>
  <si>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</si>
  <si>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</si>
  <si>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</si>
  <si>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</si>
  <si>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</si>
  <si>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</si>
  <si>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</si>
  <si>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</si>
  <si>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</si>
  <si>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</si>
  <si>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</si>
  <si>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</si>
  <si>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</si>
  <si>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</si>
  <si>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</si>
  <si>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</si>
  <si>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</si>
  <si>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</si>
  <si>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</si>
  <si>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</si>
  <si>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</si>
  <si>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</si>
  <si>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</si>
  <si>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</si>
  <si>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</si>
  <si>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</si>
  <si>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</si>
  <si>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</si>
  <si>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</si>
  <si>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</si>
  <si>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</si>
  <si>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</si>
  <si>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</si>
  <si>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</si>
  <si>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</si>
  <si>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</si>
  <si>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</si>
  <si>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</si>
  <si>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</si>
  <si>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</si>
  <si>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</si>
  <si>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</si>
  <si>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</si>
  <si>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</si>
  <si>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</si>
  <si>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</si>
  <si>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</si>
  <si>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</si>
  <si>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</si>
  <si>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</si>
  <si>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</si>
  <si>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</si>
  <si>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</si>
  <si>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</si>
  <si>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</si>
  <si>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</si>
  <si>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</si>
  <si>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</si>
  <si>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</si>
  <si>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</si>
  <si>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</si>
  <si>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</si>
  <si>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</si>
  <si>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</si>
  <si>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</si>
  <si>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</si>
  <si>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</si>
  <si>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</si>
  <si>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</si>
  <si>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</si>
  <si>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</si>
  <si>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</si>
  <si>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</si>
  <si>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</si>
  <si>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</si>
  <si>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</si>
  <si>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</si>
  <si>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</si>
  <si>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</si>
  <si>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</si>
  <si>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</si>
  <si>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</si>
  <si>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</si>
  <si>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</si>
  <si>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</si>
  <si>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</si>
  <si>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</si>
  <si>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</si>
  <si>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</si>
  <si>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</si>
  <si>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</si>
  <si>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</si>
  <si>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</si>
  <si>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</si>
  <si>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</si>
  <si>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</si>
  <si>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</si>
  <si>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</si>
  <si>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</si>
  <si>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</si>
  <si>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</si>
  <si>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</si>
  <si>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</si>
  <si>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</si>
  <si>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</si>
  <si>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</si>
  <si>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</si>
  <si>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</si>
  <si>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</si>
  <si>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</si>
  <si>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</si>
  <si>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</si>
  <si>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</si>
  <si>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</si>
  <si>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</si>
  <si>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</si>
  <si>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</si>
  <si>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</si>
  <si>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</si>
  <si>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</si>
  <si>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</si>
  <si>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</si>
  <si>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</si>
  <si>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</si>
  <si>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</si>
  <si>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</si>
  <si>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</si>
  <si>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</si>
  <si>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</si>
  <si>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</si>
  <si>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</si>
  <si>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</si>
  <si>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</si>
  <si>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</si>
  <si>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</si>
  <si>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</si>
  <si>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</si>
  <si>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</si>
  <si>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</si>
  <si>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</si>
  <si>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</si>
  <si>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</si>
  <si>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</si>
  <si>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</si>
  <si>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</si>
  <si>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</si>
  <si>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</si>
  <si>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</si>
  <si>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</si>
  <si>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</si>
  <si>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</si>
  <si>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</si>
  <si>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</si>
  <si>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</si>
  <si>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</si>
  <si>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</si>
  <si>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</si>
  <si>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</si>
  <si>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</si>
  <si>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</si>
  <si>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</si>
  <si>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</si>
  <si>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</si>
  <si>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</si>
  <si>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</si>
  <si>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</si>
  <si>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</si>
  <si>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</si>
  <si>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</si>
  <si>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</si>
  <si>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</si>
  <si>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</si>
  <si>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</si>
  <si>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</si>
  <si>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</si>
  <si>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</si>
  <si>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</si>
  <si>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</si>
  <si>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</si>
  <si>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</si>
  <si>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</si>
  <si>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</si>
  <si>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</si>
  <si>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</si>
  <si>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</si>
  <si>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</si>
  <si>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</si>
  <si>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</si>
  <si>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</si>
  <si>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</si>
  <si>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</si>
  <si>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</si>
  <si>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</si>
  <si>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</si>
  <si>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</si>
  <si>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</si>
  <si>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</si>
  <si>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</si>
  <si>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</si>
  <si>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</si>
  <si>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</si>
  <si>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</si>
  <si>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</si>
  <si>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</si>
  <si>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</si>
  <si>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</si>
  <si>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</si>
  <si>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</si>
  <si>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</si>
  <si>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</si>
  <si>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</si>
  <si>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</si>
  <si>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</si>
  <si>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</si>
  <si>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</si>
  <si>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</si>
  <si>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</si>
  <si>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</si>
  <si>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</si>
  <si>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</si>
  <si>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</si>
  <si>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</si>
  <si>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</si>
  <si>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</si>
  <si>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</si>
  <si>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</si>
  <si>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</si>
  <si>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</si>
  <si>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</si>
  <si>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</si>
  <si>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</si>
  <si>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</si>
  <si>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</si>
  <si>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</si>
  <si>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</si>
  <si>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</si>
  <si>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</si>
  <si>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</si>
  <si>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</si>
  <si>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</si>
  <si>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</si>
  <si>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</si>
  <si>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</si>
  <si>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</si>
  <si>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</si>
  <si>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</si>
  <si>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</si>
  <si>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</si>
  <si>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</si>
  <si>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</si>
  <si>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</si>
  <si>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</si>
  <si>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</si>
  <si>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</si>
  <si>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</si>
  <si>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</si>
  <si>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</si>
  <si>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</si>
  <si>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</si>
  <si>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</si>
  <si>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</si>
  <si>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</si>
  <si>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</si>
  <si>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</si>
  <si>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</si>
  <si>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</si>
  <si>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</si>
  <si>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</si>
  <si>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</si>
  <si>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</si>
  <si>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</si>
  <si>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</si>
  <si>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</si>
  <si>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</si>
  <si>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</si>
  <si>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</si>
  <si>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</si>
  <si>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</si>
  <si>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</si>
  <si>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</si>
  <si>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</si>
  <si>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</si>
  <si>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</si>
  <si>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</si>
  <si>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</si>
  <si>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</si>
  <si>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</si>
  <si>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</si>
  <si>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</si>
  <si>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</si>
  <si>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</si>
  <si>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</si>
  <si>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</si>
  <si>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</si>
  <si>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</si>
  <si>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</si>
  <si>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</si>
  <si>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</si>
  <si>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</si>
  <si>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</si>
  <si>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</si>
  <si>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</si>
  <si>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</si>
  <si>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</si>
  <si>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</si>
  <si>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</si>
  <si>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</si>
  <si>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</si>
  <si>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</si>
  <si>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</si>
  <si>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</si>
  <si>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</si>
  <si>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</si>
  <si>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</si>
  <si>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</si>
  <si>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</si>
  <si>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</si>
  <si>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</si>
  <si>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</si>
  <si>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</si>
  <si>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</si>
  <si>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</si>
  <si>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</si>
  <si>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</si>
  <si>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</si>
  <si>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</si>
  <si>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</si>
  <si>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</si>
  <si>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</si>
  <si>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</si>
  <si>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</si>
  <si>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</si>
  <si>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</si>
  <si>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</si>
  <si>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</si>
  <si>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</si>
  <si>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</si>
  <si>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</si>
  <si>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</si>
  <si>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</si>
  <si>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</si>
  <si>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</si>
  <si>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</si>
  <si>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</si>
  <si>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</si>
  <si>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</si>
  <si>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</si>
  <si>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</si>
  <si>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</si>
  <si>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</si>
  <si>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</si>
  <si>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</si>
  <si>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</si>
  <si>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</si>
  <si>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</si>
  <si>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</si>
  <si>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</si>
  <si>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</si>
  <si>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</si>
  <si>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</si>
  <si>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</si>
  <si>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</si>
  <si>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</si>
  <si>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</si>
  <si>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</si>
  <si>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</si>
  <si>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</si>
  <si>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</si>
  <si>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</si>
  <si>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</si>
  <si>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</si>
  <si>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</si>
  <si>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</si>
  <si>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</si>
  <si>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</si>
  <si>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</si>
  <si>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</si>
  <si>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</si>
  <si>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</si>
  <si>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</si>
  <si>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</si>
  <si>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</si>
  <si>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</si>
  <si>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</si>
  <si>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</si>
  <si>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</si>
  <si>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</si>
  <si>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</si>
  <si>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</si>
  <si>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</si>
  <si>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</si>
  <si>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</si>
  <si>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</si>
  <si>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</si>
  <si>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</si>
  <si>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</si>
  <si>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</si>
  <si>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</si>
  <si>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</si>
  <si>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</si>
  <si>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</si>
  <si>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</si>
  <si>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</si>
  <si>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</si>
  <si>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</si>
  <si>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</si>
  <si>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</si>
  <si>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</si>
  <si>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</si>
  <si>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</si>
  <si>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</si>
  <si>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</si>
  <si>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</si>
  <si>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</si>
  <si>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</si>
  <si>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</si>
  <si>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</si>
  <si>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</si>
  <si>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</si>
  <si>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</si>
  <si>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</si>
  <si>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</si>
  <si>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</si>
  <si>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</si>
  <si>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</si>
  <si>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</si>
  <si>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</si>
  <si>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</si>
  <si>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</si>
  <si>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</si>
  <si>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</si>
  <si>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</si>
  <si>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</si>
  <si>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</si>
  <si>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</si>
  <si>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</si>
  <si>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</si>
  <si>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</si>
  <si>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</si>
  <si>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</si>
  <si>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</si>
  <si>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</si>
  <si>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</si>
  <si>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</si>
  <si>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</si>
  <si>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</si>
  <si>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</si>
  <si>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</si>
  <si>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</si>
  <si>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</si>
  <si>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</si>
  <si>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</si>
  <si>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</si>
  <si>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</si>
  <si>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</si>
  <si>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</si>
  <si>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</si>
  <si>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</si>
  <si>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</si>
  <si>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</si>
  <si>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</si>
  <si>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</si>
  <si>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</si>
  <si>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</si>
  <si>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</si>
  <si>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</si>
  <si>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</si>
  <si>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</si>
  <si>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</si>
  <si>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</si>
  <si>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</si>
  <si>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</si>
  <si>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</si>
  <si>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</si>
  <si>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</si>
  <si>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</si>
  <si>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</si>
  <si>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</si>
  <si>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</si>
  <si>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</si>
  <si>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</si>
  <si>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</si>
  <si>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</si>
  <si>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</si>
  <si>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</si>
  <si>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</si>
  <si>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</si>
  <si>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</si>
  <si>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</si>
  <si>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</si>
  <si>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</si>
  <si>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</si>
  <si>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</si>
  <si>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</si>
  <si>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</si>
  <si>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</si>
  <si>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</si>
  <si>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</si>
  <si>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</si>
  <si>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</si>
  <si>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</si>
  <si>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</si>
  <si>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</si>
  <si>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</si>
  <si>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</si>
  <si>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</si>
  <si>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</si>
  <si>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</si>
  <si>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</si>
  <si>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</si>
  <si>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</si>
  <si>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</si>
  <si>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</si>
  <si>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</si>
  <si>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</si>
  <si>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</si>
  <si>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</si>
  <si>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</si>
  <si>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</si>
  <si>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</si>
  <si>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</si>
  <si>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</si>
  <si>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</si>
  <si>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</si>
  <si>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</si>
  <si>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</si>
  <si>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</si>
  <si>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</si>
  <si>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</si>
  <si>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</si>
  <si>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</si>
  <si>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</si>
  <si>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</si>
  <si>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</si>
  <si>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</si>
  <si>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</si>
  <si>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</si>
  <si>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</si>
  <si>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</si>
  <si>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</si>
  <si>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</si>
  <si>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</si>
  <si>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</si>
  <si>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</si>
  <si>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</si>
  <si>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</si>
  <si>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</si>
  <si>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</si>
  <si>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</si>
  <si>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</si>
  <si>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</si>
  <si>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</si>
  <si>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</si>
  <si>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</si>
  <si>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</si>
  <si>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</si>
  <si>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</si>
  <si>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</si>
  <si>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</si>
  <si>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</si>
  <si>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</si>
  <si>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</si>
  <si>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</si>
  <si>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</si>
  <si>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</si>
  <si>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</si>
  <si>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</si>
  <si>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</si>
  <si>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</si>
  <si>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</si>
  <si>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</si>
  <si>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</si>
  <si>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</si>
  <si>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</si>
  <si>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</si>
  <si>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</si>
  <si>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</si>
  <si>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</si>
  <si>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</si>
  <si>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</si>
  <si>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</si>
  <si>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</si>
  <si>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</si>
  <si>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</si>
  <si>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</si>
  <si>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</si>
  <si>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</si>
  <si>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</si>
  <si>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</si>
  <si>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</si>
  <si>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</si>
  <si>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</si>
  <si>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</si>
  <si>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</si>
  <si>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</si>
  <si>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</si>
  <si>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</si>
  <si>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</si>
  <si>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</si>
  <si>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</si>
  <si>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</si>
  <si>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</si>
  <si>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</si>
  <si>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</si>
  <si>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</si>
  <si>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</si>
  <si>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</si>
  <si>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</si>
  <si>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</si>
  <si>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</si>
  <si>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</si>
  <si>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</si>
  <si>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</si>
  <si>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</si>
  <si>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</si>
  <si>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</si>
  <si>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</si>
  <si>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</si>
  <si>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</si>
  <si>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项目局部</t>
  </si>
  <si>
    <t>售价</t>
  </si>
  <si>
    <t>办公</t>
    <phoneticPr fontId="32" type="noConversion"/>
  </si>
  <si>
    <t>10-20（含）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</si>
  <si>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</si>
  <si>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</si>
  <si>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</si>
  <si>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</si>
  <si>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</si>
  <si>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</si>
  <si>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</si>
  <si>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</si>
  <si>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</si>
  <si>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</si>
  <si>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</si>
  <si>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</si>
  <si>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</si>
  <si>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</si>
  <si>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</si>
  <si>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</si>
  <si>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</si>
  <si>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</si>
  <si>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</si>
  <si>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</si>
  <si>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</si>
  <si>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</si>
  <si>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</si>
  <si>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</si>
  <si>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</si>
  <si>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</si>
  <si>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</si>
  <si>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</si>
  <si>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</si>
  <si>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</si>
  <si>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</si>
  <si>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</si>
  <si>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</si>
  <si>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</si>
  <si>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</si>
  <si>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</si>
  <si>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</si>
  <si>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</si>
  <si>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</si>
  <si>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</si>
  <si>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</si>
  <si>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</si>
  <si>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</si>
  <si>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</si>
  <si>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</si>
  <si>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</si>
  <si>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</si>
  <si>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</si>
  <si>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</si>
  <si>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</si>
  <si>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</si>
  <si>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</si>
  <si>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</si>
  <si>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</si>
  <si>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</si>
  <si>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</si>
  <si>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</si>
  <si>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</si>
  <si>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</si>
  <si>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</si>
  <si>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</si>
  <si>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</si>
  <si>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</si>
  <si>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</si>
  <si>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</si>
  <si>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</si>
  <si>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</si>
  <si>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</si>
  <si>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</si>
  <si>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</si>
  <si>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</si>
  <si>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</si>
  <si>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</si>
  <si>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</si>
  <si>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</si>
  <si>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</si>
  <si>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</si>
  <si>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</si>
  <si>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</si>
  <si>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</si>
  <si>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</si>
  <si>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</si>
  <si>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</si>
  <si>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</si>
  <si>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</si>
  <si>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</si>
  <si>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</si>
  <si>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</si>
  <si>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</si>
  <si>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</si>
  <si>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</si>
  <si>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</si>
  <si>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</si>
  <si>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</si>
  <si>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</si>
  <si>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</si>
  <si>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</si>
  <si>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</si>
  <si>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</si>
  <si>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</si>
  <si>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</si>
  <si>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</si>
  <si>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</si>
  <si>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</si>
  <si>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</si>
  <si>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</si>
  <si>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</si>
  <si>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</si>
  <si>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</si>
  <si>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</si>
  <si>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</si>
  <si>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</si>
  <si>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</si>
  <si>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</si>
  <si>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</si>
  <si>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</si>
  <si>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</si>
  <si>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</si>
  <si>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</si>
  <si>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</si>
  <si>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</si>
  <si>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</si>
  <si>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</si>
  <si>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</si>
  <si>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</si>
  <si>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</si>
  <si>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</si>
  <si>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</si>
  <si>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</si>
  <si>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</si>
  <si>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</si>
  <si>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</si>
  <si>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</si>
  <si>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</si>
  <si>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</si>
  <si>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</si>
  <si>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</si>
  <si>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</si>
  <si>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</si>
  <si>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</si>
  <si>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</si>
  <si>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</si>
  <si>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</si>
  <si>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</si>
  <si>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</si>
  <si>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</si>
  <si>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</si>
  <si>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</si>
  <si>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</si>
  <si>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</si>
  <si>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</si>
  <si>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</si>
  <si>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</si>
  <si>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</si>
  <si>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</si>
  <si>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</si>
  <si>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</si>
  <si>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</si>
  <si>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</si>
  <si>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</si>
  <si>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</si>
  <si>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</si>
  <si>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</si>
  <si>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</si>
  <si>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</si>
  <si>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</si>
  <si>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</si>
  <si>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</si>
  <si>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</si>
  <si>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</si>
  <si>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</si>
  <si>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</si>
  <si>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</si>
  <si>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</si>
  <si>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</si>
  <si>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</si>
  <si>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</si>
  <si>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</si>
  <si>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</si>
  <si>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</si>
  <si>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</si>
  <si>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</si>
  <si>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</si>
  <si>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</si>
  <si>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</si>
  <si>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</si>
  <si>
    <t>二手房</t>
    <phoneticPr fontId="32" type="noConversion"/>
  </si>
  <si>
    <t>砖混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</si>
</sst>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324483</xdr:colOff>
      <xdr:row>34</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0150"/>
          <a:ext cx="7182483"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f ca="1">'预评函-2'!D5</f>
        <v>1395</v>
      </c>
    </row>
    <row r="21" spans="1:2" s="1595" customFormat="1">
      <c r="A21" s="1593" t="s">
        <v>1232</v>
      </c>
      <c r="B21" s="1594">
        <f ca="1">'预评函-2'!D7</f>
        <v>6111</v>
      </c>
    </row>
    <row r="22" spans="1:2" s="1595" customFormat="1">
      <c r="A22" s="1593" t="s">
        <v>1233</v>
      </c>
      <c r="B22" s="1594" t="str">
        <f ca="1">'预评函-2'!D6</f>
        <v>壹仟叁佰玖拾伍万元整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1395</v>
      </c>
    </row>
    <row r="31" spans="1:2" s="1595" customFormat="1">
      <c r="A31" s="1593" t="s">
        <v>1271</v>
      </c>
      <c r="B31" s="1594">
        <f ca="1">'预评函-2'!D15</f>
        <v>6111</v>
      </c>
    </row>
    <row r="32" spans="1:2" s="1595" customFormat="1">
      <c r="A32" s="1593" t="s">
        <v>1238</v>
      </c>
      <c r="B32" s="1594" t="str">
        <f ca="1">'预评函-2'!D14</f>
        <v>壹仟叁佰玖拾伍万元整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3270</v>
      </c>
      <c r="C11" s="2017" t="s">
        <v>766</v>
      </c>
    </row>
    <row r="12" spans="1:23">
      <c r="A12" s="2016" t="s">
        <v>1750</v>
      </c>
      <c r="B12" s="2016" t="s">
        <v>3271</v>
      </c>
      <c r="C12" s="2017" t="s">
        <v>767</v>
      </c>
    </row>
    <row r="13" spans="1:23">
      <c r="A13" s="2016" t="s">
        <v>1751</v>
      </c>
      <c r="B13" s="2016" t="s">
        <v>3120</v>
      </c>
      <c r="C13" s="2017" t="s">
        <v>768</v>
      </c>
    </row>
    <row r="14" spans="1:23">
      <c r="A14" s="2016" t="s">
        <v>1752</v>
      </c>
      <c r="B14" s="2016" t="s">
        <v>3121</v>
      </c>
      <c r="C14" s="2018" t="s">
        <v>16</v>
      </c>
    </row>
    <row r="15" spans="1:23">
      <c r="A15" s="2016" t="s">
        <v>1753</v>
      </c>
      <c r="B15" s="2016" t="s">
        <v>3124</v>
      </c>
      <c r="C15" s="2017"/>
    </row>
    <row r="16" spans="1:23">
      <c r="A16" s="2016" t="s">
        <v>1754</v>
      </c>
      <c r="B16" s="2016" t="s">
        <v>3125</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0" t="str">
        <f>IF(B10="北京市","北京市",C10)&amp;F10&amp;IF(结果表!G1="在建","出让国有建设用地使用权及在建建筑物",IF(结果表!G1="土地","出让国有建设用地使用权",))&amp;B9&amp;"预评估"</f>
        <v>新疆维吾尔自治区塔城市新城区伊宁路1-5层部分办公用房房地产市场价值预评估</v>
      </c>
      <c r="C1" s="3061"/>
      <c r="D1" s="3061"/>
      <c r="E1" s="3061"/>
      <c r="F1" s="3061"/>
      <c r="G1" s="3061"/>
      <c r="H1" s="3061"/>
      <c r="I1" s="306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新疆维吾尔自治区塔城市新城区伊宁路1-5层部分办公用房房地产市场价值</v>
      </c>
    </row>
    <row r="2" spans="1:19" ht="18" customHeight="1">
      <c r="A2" s="2028" t="s">
        <v>1766</v>
      </c>
      <c r="B2" s="1040" t="s">
        <v>3272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63"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64"/>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3273</v>
      </c>
      <c r="G10" s="2067"/>
      <c r="H10" s="2068"/>
      <c r="I10" s="2048"/>
      <c r="J10" s="2044"/>
      <c r="K10" s="2055"/>
      <c r="L10" s="2030"/>
      <c r="M10" s="2030"/>
      <c r="N10" s="2031"/>
      <c r="O10" s="2032"/>
      <c r="P10" s="2031"/>
      <c r="Q10" s="2031"/>
      <c r="R10" s="2031"/>
    </row>
    <row r="11" spans="1:19" ht="18" customHeight="1">
      <c r="A11" s="2069" t="s">
        <v>1778</v>
      </c>
      <c r="B11" s="2070" t="s">
        <v>3027</v>
      </c>
      <c r="C11" s="2976" t="s">
        <v>3274</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0" t="s">
        <v>3105</v>
      </c>
      <c r="C16" s="3071"/>
      <c r="D16" s="3072"/>
      <c r="E16" s="2978" t="s">
        <v>3106</v>
      </c>
      <c r="F16" s="3073" t="s">
        <v>3275</v>
      </c>
      <c r="G16" s="3074"/>
      <c r="H16" s="3074"/>
      <c r="I16" s="3075"/>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76" t="s">
        <v>3277</v>
      </c>
      <c r="F17" s="3077"/>
      <c r="G17" s="3077"/>
      <c r="H17" s="3077"/>
      <c r="I17" s="3078"/>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79" t="s">
        <v>3276</v>
      </c>
      <c r="F18" s="3080"/>
      <c r="G18" s="3080"/>
      <c r="H18" s="3080"/>
      <c r="I18" s="3081"/>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66" t="s">
        <v>1800</v>
      </c>
      <c r="C20" s="3067"/>
      <c r="D20" s="3068" t="s">
        <v>1801</v>
      </c>
      <c r="E20" s="3069"/>
      <c r="F20" s="2095" t="s">
        <v>1802</v>
      </c>
      <c r="G20" s="2044"/>
      <c r="H20" s="2044"/>
      <c r="I20" s="2044"/>
      <c r="J20" s="2044"/>
      <c r="K20" s="3065"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83" t="s">
        <v>1814</v>
      </c>
      <c r="B27" s="2064" t="s">
        <v>1815</v>
      </c>
      <c r="C27" s="2117" t="s">
        <v>3278</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83"/>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83"/>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84"/>
      <c r="B30" s="2037" t="s">
        <v>1818</v>
      </c>
      <c r="C30" s="3085"/>
      <c r="D30" s="3086"/>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87"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88"/>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88"/>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3279</v>
      </c>
      <c r="H34" s="2131" t="s">
        <v>3280</v>
      </c>
      <c r="I34" s="2044"/>
      <c r="J34" s="2044"/>
      <c r="K34" s="1797">
        <f>COUNTIF(B34:H34,"——")</f>
        <v>0</v>
      </c>
      <c r="L34" s="2073" t="s">
        <v>1821</v>
      </c>
      <c r="M34" s="2073" t="s">
        <v>1822</v>
      </c>
      <c r="N34" s="2073" t="s">
        <v>1823</v>
      </c>
      <c r="O34" s="2073" t="s">
        <v>1824</v>
      </c>
      <c r="P34" s="2073" t="s">
        <v>1825</v>
      </c>
      <c r="Q34" s="2073" t="s">
        <v>1826</v>
      </c>
      <c r="R34" s="2073" t="s">
        <v>1827</v>
      </c>
      <c r="S34" s="3082" t="s">
        <v>1828</v>
      </c>
      <c r="T34" s="2132" t="str">
        <f>NUMBERSTRING(7-K34,1)&amp;"通"</f>
        <v>七通</v>
      </c>
      <c r="U34" s="2031"/>
      <c r="V34" s="2031"/>
    </row>
    <row r="35" spans="1:22" ht="18" customHeight="1">
      <c r="A35" s="2133"/>
      <c r="B35" s="3089" t="s">
        <v>1829</v>
      </c>
      <c r="C35" s="3089"/>
      <c r="D35" s="3089"/>
      <c r="E35" s="3089"/>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2"/>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3285</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3286</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3281</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3282</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3283</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3284</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3287</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2000</v>
      </c>
      <c r="M6" s="75">
        <f t="shared" ref="M6:M14" si="0">ROUND(K6*L6/10000,0)</f>
        <v>457</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3269</v>
      </c>
      <c r="AO6" s="55">
        <f ca="1">SUMIF(INDIRECT("'"&amp;AN6&amp;"'"&amp;"!A:A"),"总价",INDIRECT("'"&amp;AN6&amp;"'"&amp;"!B:B"))</f>
        <v>766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2002</v>
      </c>
      <c r="M16" s="102">
        <f>SUM(M6:M14)</f>
        <v>457</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3288</v>
      </c>
      <c r="D5" s="2367"/>
      <c r="E5" s="2370"/>
      <c r="F5" s="1797" t="s">
        <v>2079</v>
      </c>
      <c r="G5" s="2371"/>
      <c r="H5" s="2364"/>
      <c r="I5" s="2364"/>
      <c r="J5" s="2364"/>
      <c r="K5" s="2364"/>
      <c r="L5" s="2364"/>
      <c r="M5" s="2364"/>
      <c r="N5" s="2364"/>
      <c r="O5" s="2364"/>
      <c r="P5" s="2364"/>
      <c r="Q5" s="2364"/>
      <c r="R5" s="2364"/>
    </row>
    <row r="6" spans="1:29" ht="15">
      <c r="A6" s="431"/>
      <c r="B6" s="1797" t="s">
        <v>2080</v>
      </c>
      <c r="C6" s="2981" t="s">
        <v>3289</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3290</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3123</v>
      </c>
      <c r="D8" s="2372"/>
      <c r="E8" s="2372"/>
      <c r="F8" s="1134"/>
      <c r="G8" s="1134"/>
      <c r="H8" s="2364"/>
      <c r="I8" s="2364"/>
      <c r="J8" s="2364"/>
      <c r="K8" s="2364"/>
      <c r="L8" s="2364"/>
      <c r="M8" s="2364"/>
      <c r="N8" s="2364"/>
      <c r="O8" s="2364"/>
      <c r="P8" s="2364"/>
      <c r="Q8" s="2364"/>
      <c r="R8" s="2364"/>
    </row>
    <row r="9" spans="1:29" ht="15">
      <c r="A9" s="431"/>
      <c r="B9" s="1797" t="s">
        <v>2083</v>
      </c>
      <c r="C9" s="2980" t="s">
        <v>3291</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3292</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RowHeight="13.5"/>
  <cols>
    <col min="1" max="1" width="23.375" style="1740" customWidth="1"/>
    <col min="2" max="9" width="15.75" style="1740" customWidth="1"/>
    <col min="10" max="16384" width="9" style="1740"/>
  </cols>
  <sheetData>
    <row r="1" spans="1:10" ht="16.5">
      <c r="A1" s="1745" t="s">
        <v>1362</v>
      </c>
      <c r="B1" s="1745">
        <f>SUM(B14:B23)</f>
        <v>2282.61</v>
      </c>
      <c r="C1" s="1744"/>
      <c r="D1" s="1744"/>
      <c r="E1" s="1744"/>
      <c r="F1" s="1744"/>
      <c r="G1" s="1742"/>
    </row>
    <row r="2" spans="1:10" ht="16.5">
      <c r="A2" s="1745" t="s">
        <v>1350</v>
      </c>
      <c r="B2" s="1745">
        <f>SUM(C14:C23)</f>
        <v>602</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1395</v>
      </c>
      <c r="C5" s="1745">
        <f ca="1">ROUND(B5*10000/$B$1,0)</f>
        <v>6111</v>
      </c>
      <c r="D5" s="1745">
        <f ca="1">ROUND(B5*10000/$B$2,0)</f>
        <v>23173</v>
      </c>
      <c r="E5" s="1744"/>
      <c r="F5" s="1742"/>
      <c r="G5" s="1742"/>
    </row>
    <row r="6" spans="1:10" ht="16.5">
      <c r="A6" s="1745" t="s">
        <v>1353</v>
      </c>
      <c r="B6" s="1745">
        <f ca="1">SUM(G14:G23)</f>
        <v>1395</v>
      </c>
      <c r="C6" s="1745">
        <f ca="1">ROUND(B6*10000/$B$1,0)</f>
        <v>6111</v>
      </c>
      <c r="D6" s="1745">
        <f ca="1">ROUND(B6*10000/$B$2,0)</f>
        <v>23173</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结果表!B118</f>
        <v>2282.61</v>
      </c>
      <c r="C14" s="1743">
        <f>结果表!C118</f>
        <v>602</v>
      </c>
      <c r="D14" s="1743">
        <f ca="1">结果表!H118</f>
        <v>1395</v>
      </c>
      <c r="E14" s="1743">
        <f ca="1">ROUND(D14*10000/B14,0)</f>
        <v>6111</v>
      </c>
      <c r="F14" s="1743">
        <f ca="1">ROUND(D14*10000/C14,0)</f>
        <v>23173</v>
      </c>
      <c r="G14" s="1743">
        <f ca="1">结果表!D122</f>
        <v>1395</v>
      </c>
      <c r="H14" s="1743" t="str">
        <f>结果表!D124</f>
        <v>——</v>
      </c>
      <c r="I14" s="1743" t="str">
        <f>结果表!D126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3126</v>
      </c>
    </row>
    <row r="2" spans="1:12" ht="21.75" customHeight="1" thickBot="1">
      <c r="A2" s="3200" t="str">
        <f>项目基本情况!S2</f>
        <v>新疆维吾尔自治区塔城市新城区伊宁路1-5层部分办公用房房地产</v>
      </c>
      <c r="B2" s="3201"/>
      <c r="C2" s="3201"/>
      <c r="D2" s="3201"/>
      <c r="E2" s="3201"/>
      <c r="F2" s="3201"/>
      <c r="G2" s="3201"/>
      <c r="H2" s="3201"/>
      <c r="I2" s="3202"/>
    </row>
    <row r="3" spans="1:12" ht="12.75">
      <c r="A3" s="3203" t="s">
        <v>2100</v>
      </c>
      <c r="B3" s="3204"/>
      <c r="C3" s="3204"/>
      <c r="D3" s="3204"/>
      <c r="E3" s="3204"/>
      <c r="F3" s="3204"/>
      <c r="G3" s="3204"/>
      <c r="H3" s="3204"/>
      <c r="I3" s="3204"/>
    </row>
    <row r="4" spans="1:12" ht="14.25">
      <c r="A4" s="2420" t="s">
        <v>2101</v>
      </c>
      <c r="B4" s="2421" t="s">
        <v>2102</v>
      </c>
      <c r="C4" s="2422" t="s">
        <v>3177</v>
      </c>
      <c r="D4" s="2422" t="s">
        <v>3269</v>
      </c>
      <c r="E4" s="3161" t="s">
        <v>2103</v>
      </c>
      <c r="F4" s="3163"/>
      <c r="G4" s="3163"/>
      <c r="H4" s="3163"/>
      <c r="I4" s="3162"/>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2" t="s">
        <v>2104</v>
      </c>
      <c r="B5" s="3082">
        <v>25</v>
      </c>
      <c r="C5" s="3193"/>
      <c r="D5" s="3195"/>
      <c r="E5" s="140" t="s">
        <v>2105</v>
      </c>
      <c r="F5" s="2424"/>
      <c r="G5" s="2424"/>
      <c r="H5" s="2424"/>
      <c r="I5" s="1833"/>
    </row>
    <row r="6" spans="1:12" ht="12.75">
      <c r="A6" s="3192"/>
      <c r="B6" s="3082"/>
      <c r="C6" s="3205"/>
      <c r="D6" s="3195"/>
      <c r="E6" s="140" t="s">
        <v>2106</v>
      </c>
      <c r="F6" s="2424"/>
      <c r="G6" s="2424"/>
      <c r="H6" s="2424"/>
      <c r="I6" s="1833"/>
    </row>
    <row r="7" spans="1:12" ht="12.75">
      <c r="A7" s="3192"/>
      <c r="B7" s="3082"/>
      <c r="C7" s="3194"/>
      <c r="D7" s="3195"/>
      <c r="E7" s="140" t="s">
        <v>2107</v>
      </c>
      <c r="F7" s="2424"/>
      <c r="G7" s="2424"/>
      <c r="H7" s="2424"/>
      <c r="I7" s="1833"/>
    </row>
    <row r="8" spans="1:12" ht="12.75">
      <c r="A8" s="3192" t="s">
        <v>2108</v>
      </c>
      <c r="B8" s="3082">
        <v>15</v>
      </c>
      <c r="C8" s="3193"/>
      <c r="D8" s="3195"/>
      <c r="E8" s="140" t="s">
        <v>2109</v>
      </c>
      <c r="F8" s="2424"/>
      <c r="G8" s="2424"/>
      <c r="H8" s="2424"/>
      <c r="I8" s="1833"/>
    </row>
    <row r="9" spans="1:12" ht="12.75">
      <c r="A9" s="3192"/>
      <c r="B9" s="3082"/>
      <c r="C9" s="3194"/>
      <c r="D9" s="3195"/>
      <c r="E9" s="140" t="s">
        <v>2110</v>
      </c>
      <c r="F9" s="2424"/>
      <c r="G9" s="2424"/>
      <c r="H9" s="2424"/>
      <c r="I9" s="1833"/>
    </row>
    <row r="10" spans="1:12" ht="12.75">
      <c r="A10" s="3192" t="s">
        <v>2111</v>
      </c>
      <c r="B10" s="3082">
        <v>15</v>
      </c>
      <c r="C10" s="3193"/>
      <c r="D10" s="3195"/>
      <c r="E10" s="140" t="s">
        <v>2112</v>
      </c>
      <c r="F10" s="2424"/>
      <c r="G10" s="2424"/>
      <c r="H10" s="2424"/>
      <c r="I10" s="1833"/>
    </row>
    <row r="11" spans="1:12" ht="12.75">
      <c r="A11" s="3192"/>
      <c r="B11" s="3082"/>
      <c r="C11" s="3194"/>
      <c r="D11" s="3195"/>
      <c r="E11" s="140" t="s">
        <v>2113</v>
      </c>
      <c r="F11" s="2424"/>
      <c r="G11" s="2424"/>
      <c r="H11" s="2424"/>
      <c r="I11" s="1833"/>
    </row>
    <row r="12" spans="1:12" ht="12.75">
      <c r="A12" s="3192" t="s">
        <v>2114</v>
      </c>
      <c r="B12" s="3082">
        <v>15</v>
      </c>
      <c r="C12" s="3193"/>
      <c r="D12" s="3195"/>
      <c r="E12" s="140" t="s">
        <v>2115</v>
      </c>
      <c r="F12" s="2424"/>
      <c r="G12" s="2424"/>
      <c r="H12" s="2424"/>
      <c r="I12" s="1833"/>
    </row>
    <row r="13" spans="1:12" ht="12.75">
      <c r="A13" s="3192"/>
      <c r="B13" s="3082"/>
      <c r="C13" s="3194"/>
      <c r="D13" s="3195"/>
      <c r="E13" s="140" t="s">
        <v>2116</v>
      </c>
      <c r="F13" s="2424"/>
      <c r="G13" s="2424"/>
      <c r="H13" s="2424"/>
      <c r="I13" s="1833"/>
    </row>
    <row r="14" spans="1:12" ht="12.75">
      <c r="A14" s="3192" t="s">
        <v>2117</v>
      </c>
      <c r="B14" s="3082">
        <v>30</v>
      </c>
      <c r="C14" s="3196">
        <v>7</v>
      </c>
      <c r="D14" s="3199">
        <v>3</v>
      </c>
      <c r="E14" s="140" t="s">
        <v>2118</v>
      </c>
      <c r="F14" s="2424"/>
      <c r="G14" s="2424"/>
      <c r="H14" s="2424"/>
      <c r="I14" s="1833"/>
    </row>
    <row r="15" spans="1:12" ht="12.75">
      <c r="A15" s="3192"/>
      <c r="B15" s="3082"/>
      <c r="C15" s="3197"/>
      <c r="D15" s="3199"/>
      <c r="E15" s="140" t="s">
        <v>2119</v>
      </c>
      <c r="F15" s="2424"/>
      <c r="G15" s="2424"/>
      <c r="H15" s="2424"/>
      <c r="I15" s="1833"/>
    </row>
    <row r="16" spans="1:12" ht="12.75">
      <c r="A16" s="3192"/>
      <c r="B16" s="3082"/>
      <c r="C16" s="3198"/>
      <c r="D16" s="3199"/>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SUMIF(INDIRECT("'"&amp;C4&amp;"'"&amp;"!A:A"),'结果表（商业'!B19,INDIRECT("'"&amp;C4&amp;"'"&amp;"!B:B"))</f>
        <v>1665</v>
      </c>
      <c r="D19" s="144">
        <f ca="1">SUMIF(INDIRECT("'"&amp;D4&amp;"'"&amp;"!A:A"),'结果表（商业'!B19,INDIRECT("'"&amp;D4&amp;"'"&amp;"!B:B"))</f>
        <v>766</v>
      </c>
      <c r="E19" s="2429" t="s">
        <v>2128</v>
      </c>
      <c r="F19" s="2430" t="s">
        <v>2127</v>
      </c>
      <c r="G19" s="145">
        <f ca="1">ROUND(C19*$C$18+D19*$D$18,0)</f>
        <v>1395</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SUMIF(INDIRECT("'"&amp;C4&amp;"'"&amp;"!A:A"),'结果表（商业'!B20,INDIRECT("'"&amp;C4&amp;"'"&amp;"!B:B"))</f>
        <v>7293</v>
      </c>
      <c r="D20" s="147">
        <f ca="1">SUMIF(INDIRECT("'"&amp;D4&amp;"'"&amp;"!A:A"),'结果表（商业'!B20,INDIRECT("'"&amp;D4&amp;"'"&amp;"!B:B"))</f>
        <v>3355</v>
      </c>
      <c r="E20" s="2432"/>
      <c r="F20" s="1248" t="s">
        <v>2131</v>
      </c>
      <c r="G20" s="148">
        <f ca="1">ROUND(C20*$C$18+D20*$D$18,0)</f>
        <v>6112</v>
      </c>
      <c r="H20" s="981" t="s">
        <v>2132</v>
      </c>
      <c r="I20" s="138"/>
    </row>
    <row r="21" spans="1:35" ht="15" customHeight="1" thickBot="1">
      <c r="A21" s="1001"/>
      <c r="B21" s="2433" t="s">
        <v>2133</v>
      </c>
      <c r="C21" s="788">
        <f ca="1">ROUND(C19*10000/L19,0)</f>
        <v>27658</v>
      </c>
      <c r="D21" s="789">
        <f ca="1">ROUND(D19*10000/L19,0)</f>
        <v>12724</v>
      </c>
      <c r="E21" s="1001"/>
      <c r="F21" s="2433" t="s">
        <v>2133</v>
      </c>
      <c r="G21" s="149">
        <f ca="1">ROUND(G19*10000/L19,0)</f>
        <v>23173</v>
      </c>
      <c r="H21" s="2434" t="s">
        <v>2132</v>
      </c>
      <c r="I21" s="138"/>
    </row>
    <row r="22" spans="1:35" ht="15" thickBot="1">
      <c r="A22" s="2277" t="s">
        <v>2134</v>
      </c>
      <c r="B22" s="2435"/>
      <c r="C22" s="2436"/>
      <c r="D22" s="790">
        <f ca="1">IF(C19&lt;D19,D19/C19-1,C19/D19-1)</f>
        <v>1.1736292428198434</v>
      </c>
      <c r="E22" s="138"/>
      <c r="F22" s="138"/>
      <c r="G22" s="138"/>
      <c r="H22" s="138"/>
      <c r="I22" s="138"/>
    </row>
    <row r="23" spans="1:35" ht="13.5" thickBot="1">
      <c r="A23" s="2413"/>
      <c r="B23" s="2413"/>
      <c r="C23" s="2413"/>
      <c r="D23" s="2413"/>
      <c r="E23" s="138"/>
      <c r="F23" s="138"/>
      <c r="G23" s="138"/>
      <c r="H23" s="138"/>
      <c r="I23" s="138"/>
    </row>
    <row r="24" spans="1:35" ht="14.25">
      <c r="A24" s="3180" t="s">
        <v>2135</v>
      </c>
      <c r="B24" s="2430" t="s">
        <v>2127</v>
      </c>
      <c r="C24" s="145">
        <f>IF(B30=0,0,D30)</f>
        <v>0</v>
      </c>
      <c r="D24" s="2437"/>
      <c r="E24" s="138"/>
      <c r="F24" s="138"/>
      <c r="G24" s="138"/>
      <c r="H24" s="138"/>
      <c r="I24" s="138"/>
    </row>
    <row r="25" spans="1:35" ht="14.25">
      <c r="A25" s="3181"/>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1395</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82" t="s">
        <v>2149</v>
      </c>
      <c r="B36" s="2456" t="s">
        <v>2150</v>
      </c>
      <c r="C36" s="154"/>
      <c r="D36" s="2457"/>
      <c r="E36" s="2458"/>
      <c r="F36" s="2459"/>
      <c r="G36" s="138"/>
      <c r="H36" s="138"/>
      <c r="I36" s="138"/>
    </row>
    <row r="37" spans="1:15" ht="15.75" thickBot="1">
      <c r="A37" s="3183"/>
      <c r="B37" s="2263" t="s">
        <v>2151</v>
      </c>
      <c r="C37" s="156"/>
      <c r="D37" s="1393"/>
      <c r="E37" s="1393"/>
      <c r="F37" s="2459"/>
      <c r="G37" s="138"/>
      <c r="H37" s="138"/>
      <c r="I37" s="138"/>
    </row>
    <row r="38" spans="1:15" ht="15.75" thickBot="1">
      <c r="A38" s="3184"/>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85" t="s">
        <v>2163</v>
      </c>
      <c r="B45" s="3186"/>
      <c r="C45" s="3187"/>
      <c r="D45" s="164">
        <f ca="1">ROUND(H101*F45,0)</f>
        <v>1395</v>
      </c>
      <c r="E45" s="165" t="s">
        <v>2164</v>
      </c>
      <c r="F45" s="166">
        <v>1</v>
      </c>
      <c r="G45" s="167" t="s">
        <v>2165</v>
      </c>
      <c r="H45" s="138"/>
      <c r="I45" s="138"/>
      <c r="J45" s="3173" t="s">
        <v>2166</v>
      </c>
      <c r="K45" s="3173"/>
      <c r="L45" s="3173"/>
      <c r="M45" s="3173"/>
      <c r="N45" s="3173"/>
      <c r="O45" s="3173"/>
    </row>
    <row r="46" spans="1:15" ht="14.25" customHeight="1">
      <c r="A46" s="3188" t="s">
        <v>2167</v>
      </c>
      <c r="B46" s="3189"/>
      <c r="C46" s="3189"/>
      <c r="D46" s="3189"/>
      <c r="E46" s="3189"/>
      <c r="F46" s="3189"/>
      <c r="G46" s="3190"/>
      <c r="H46" s="2475"/>
      <c r="I46" s="168"/>
      <c r="J46" s="2954">
        <v>1</v>
      </c>
      <c r="K46" s="3173" t="s">
        <v>2168</v>
      </c>
      <c r="L46" s="3173"/>
      <c r="M46" s="3191"/>
      <c r="N46" s="3191"/>
      <c r="O46" s="3191"/>
    </row>
    <row r="47" spans="1:15" ht="12" customHeight="1">
      <c r="A47" s="169" t="s">
        <v>2169</v>
      </c>
      <c r="B47" s="170"/>
      <c r="C47" s="171"/>
      <c r="D47" s="172" t="s">
        <v>2170</v>
      </c>
      <c r="E47" s="24" t="s">
        <v>2171</v>
      </c>
      <c r="F47" s="173" t="s">
        <v>2172</v>
      </c>
      <c r="G47" s="174" t="s">
        <v>2173</v>
      </c>
      <c r="H47" s="2475"/>
      <c r="I47" s="168"/>
      <c r="J47" s="2954">
        <v>2</v>
      </c>
      <c r="K47" s="3173" t="s">
        <v>2174</v>
      </c>
      <c r="L47" s="3173"/>
      <c r="M47" s="3174">
        <f>'数据-取费表'!B2</f>
        <v>43069</v>
      </c>
      <c r="N47" s="3174"/>
      <c r="O47" s="3174"/>
    </row>
    <row r="48" spans="1:15" ht="25.5">
      <c r="A48" s="3175" t="s">
        <v>2175</v>
      </c>
      <c r="B48" s="3170"/>
      <c r="C48" s="3170"/>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73" t="s">
        <v>2178</v>
      </c>
      <c r="L48" s="3173"/>
      <c r="M48" s="3176">
        <f ca="1">H101</f>
        <v>1395</v>
      </c>
      <c r="N48" s="3176"/>
      <c r="O48" s="3176"/>
    </row>
    <row r="49" spans="1:35" ht="25.5" customHeight="1">
      <c r="A49" s="176" t="s">
        <v>2179</v>
      </c>
      <c r="B49" s="3150" t="s">
        <v>2180</v>
      </c>
      <c r="C49" s="3150"/>
      <c r="D49" s="177">
        <v>0</v>
      </c>
      <c r="E49" s="23" t="s">
        <v>2181</v>
      </c>
      <c r="F49" s="28" t="s">
        <v>34</v>
      </c>
      <c r="G49" s="3177"/>
      <c r="H49" s="138"/>
      <c r="I49" s="2478"/>
      <c r="J49" s="2954">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178"/>
      <c r="B50" s="3150" t="s">
        <v>2182</v>
      </c>
      <c r="C50" s="3150"/>
      <c r="D50" s="179"/>
      <c r="E50" s="31"/>
      <c r="F50" s="180"/>
      <c r="G50" s="3178"/>
      <c r="H50" s="138"/>
      <c r="I50" s="2478"/>
      <c r="J50" s="3173" t="s">
        <v>2183</v>
      </c>
      <c r="K50" s="3173"/>
      <c r="L50" s="3173"/>
      <c r="M50" s="3173"/>
      <c r="N50" s="3173"/>
      <c r="O50" s="3173"/>
    </row>
    <row r="51" spans="1:35" ht="12" customHeight="1">
      <c r="A51" s="181"/>
      <c r="B51" s="3150" t="s">
        <v>2184</v>
      </c>
      <c r="C51" s="3150"/>
      <c r="D51" s="182"/>
      <c r="E51" s="30"/>
      <c r="F51" s="180"/>
      <c r="G51" s="3179"/>
      <c r="H51" s="138"/>
      <c r="I51" s="2478"/>
      <c r="J51" s="2947" t="s">
        <v>2185</v>
      </c>
      <c r="K51" s="3173" t="s">
        <v>2186</v>
      </c>
      <c r="L51" s="3173"/>
      <c r="M51" s="2947" t="s">
        <v>2187</v>
      </c>
      <c r="N51" s="2947" t="s">
        <v>2188</v>
      </c>
      <c r="O51" s="2947" t="s">
        <v>2189</v>
      </c>
    </row>
    <row r="52" spans="1:35" ht="24" customHeight="1">
      <c r="A52" s="183" t="s">
        <v>2190</v>
      </c>
      <c r="B52" s="3150" t="s">
        <v>2191</v>
      </c>
      <c r="C52" s="3150"/>
      <c r="D52" s="182">
        <f ca="1">ROUND(D45*'数据-取费表'!B41/(1+'数据-取费表'!C42),0)</f>
        <v>74</v>
      </c>
      <c r="E52" s="11" t="s">
        <v>2192</v>
      </c>
      <c r="F52" s="184">
        <f>'数据-取费表'!B41</f>
        <v>5.6000000000000001E-2</v>
      </c>
      <c r="G52" s="2480"/>
      <c r="H52" s="138"/>
      <c r="I52" s="2478"/>
      <c r="J52" s="2954">
        <v>1</v>
      </c>
      <c r="K52" s="3157" t="s">
        <v>2193</v>
      </c>
      <c r="L52" s="3157"/>
      <c r="M52" s="1753">
        <f>D48</f>
        <v>0</v>
      </c>
      <c r="N52" s="2954" t="str">
        <f>E48</f>
        <v>销售额×税（费）率</v>
      </c>
      <c r="O52" s="1754" t="str">
        <f>F48</f>
        <v>免征</v>
      </c>
    </row>
    <row r="53" spans="1:35" ht="12" customHeight="1">
      <c r="A53" s="183" t="s">
        <v>2194</v>
      </c>
      <c r="B53" s="3149" t="s">
        <v>2195</v>
      </c>
      <c r="C53" s="3168"/>
      <c r="D53" s="182">
        <f ca="1">ROUND(D45*'数据-取费表'!B41/(1+'数据-取费表'!C42),0)</f>
        <v>74</v>
      </c>
      <c r="E53" s="11" t="s">
        <v>2192</v>
      </c>
      <c r="F53" s="184">
        <f>'数据-取费表'!B41</f>
        <v>5.6000000000000001E-2</v>
      </c>
      <c r="G53" s="2480"/>
      <c r="H53" s="138"/>
      <c r="I53" s="2478"/>
      <c r="J53" s="2954">
        <v>2</v>
      </c>
      <c r="K53" s="3157" t="s">
        <v>2196</v>
      </c>
      <c r="L53" s="3157"/>
      <c r="M53" s="1753">
        <f t="shared" ref="M53:O54" ca="1" si="0">D55</f>
        <v>1</v>
      </c>
      <c r="N53" s="2954" t="str">
        <f t="shared" si="0"/>
        <v>销售额×税（费）率</v>
      </c>
      <c r="O53" s="1754">
        <f t="shared" si="0"/>
        <v>5.0000000000000001E-4</v>
      </c>
    </row>
    <row r="54" spans="1:35" ht="12" customHeight="1">
      <c r="A54" s="183" t="s">
        <v>2197</v>
      </c>
      <c r="B54" s="3149" t="s">
        <v>2198</v>
      </c>
      <c r="C54" s="3168"/>
      <c r="D54" s="182">
        <f ca="1">C68</f>
        <v>74</v>
      </c>
      <c r="E54" s="30" t="s">
        <v>2199</v>
      </c>
      <c r="F54" s="184">
        <f>'数据-取费表'!B41</f>
        <v>5.6000000000000001E-2</v>
      </c>
      <c r="G54" s="2480"/>
      <c r="H54" s="2481"/>
      <c r="I54" s="2478"/>
      <c r="J54" s="2954">
        <v>3</v>
      </c>
      <c r="K54" s="3157" t="s">
        <v>2200</v>
      </c>
      <c r="L54" s="3157"/>
      <c r="M54" s="1753">
        <f t="shared" ca="1" si="0"/>
        <v>790</v>
      </c>
      <c r="N54" s="2954" t="str">
        <f t="shared" si="0"/>
        <v>增值额×税（费）率</v>
      </c>
      <c r="O54" s="1755" t="str">
        <f t="shared" si="0"/>
        <v>——</v>
      </c>
    </row>
    <row r="55" spans="1:35" ht="24" customHeight="1">
      <c r="A55" s="3169" t="s">
        <v>2201</v>
      </c>
      <c r="B55" s="3170"/>
      <c r="C55" s="3170"/>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57" t="str">
        <f>IF(H59="非个人房产","——","个人所得税")</f>
        <v>——</v>
      </c>
      <c r="L55" s="3157"/>
      <c r="M55" s="1756" t="str">
        <f>D59</f>
        <v>——</v>
      </c>
      <c r="N55" s="2955" t="str">
        <f>E59</f>
        <v>——</v>
      </c>
      <c r="O55" s="1757" t="str">
        <f>F59</f>
        <v>——</v>
      </c>
    </row>
    <row r="56" spans="1:35" ht="24.75">
      <c r="A56" s="3169" t="s">
        <v>2204</v>
      </c>
      <c r="B56" s="3170"/>
      <c r="C56" s="3170"/>
      <c r="D56" s="185">
        <f ca="1">IF(H56="个人住宅",D57,D58)</f>
        <v>790</v>
      </c>
      <c r="E56" s="11" t="s">
        <v>2205</v>
      </c>
      <c r="F56" s="184" t="str">
        <f>IF(H56="正常",F58,"免征")</f>
        <v>——</v>
      </c>
      <c r="G56" s="2482" t="s">
        <v>2206</v>
      </c>
      <c r="H56" s="2483" t="s">
        <v>2203</v>
      </c>
      <c r="I56" s="2484"/>
      <c r="J56" s="2954" t="str">
        <f>IF(项目基本情况!K6="上海银行",IF(J55="",4,J55+1),"")</f>
        <v/>
      </c>
      <c r="K56" s="3171" t="str">
        <f>IF(项目基本情况!K6="上海银行","其他处置费用","")</f>
        <v/>
      </c>
      <c r="L56" s="3172"/>
      <c r="M56" s="1753" t="str">
        <f>IF(项目基本情况!K6="上海银行",M69,"")</f>
        <v/>
      </c>
      <c r="N56" s="3159" t="str">
        <f>IF(项目基本情况!K6="上海银行","包含处置中涉及的律师、诉讼、拍卖、评估等费用","")</f>
        <v/>
      </c>
      <c r="O56" s="3160"/>
    </row>
    <row r="57" spans="1:35" ht="12.75">
      <c r="A57" s="183" t="s">
        <v>2179</v>
      </c>
      <c r="B57" s="3161" t="s">
        <v>2207</v>
      </c>
      <c r="C57" s="3162"/>
      <c r="D57" s="187">
        <v>0</v>
      </c>
      <c r="E57" s="23" t="s">
        <v>2181</v>
      </c>
      <c r="F57" s="155"/>
      <c r="G57" s="2480"/>
      <c r="H57" s="2484"/>
      <c r="I57" s="2484"/>
      <c r="J57" s="3157">
        <f>IF(AND(J55="",J56=""),4,IF(项目基本情况!K6="上海银行",'结果表（商业'!J56+1,'结果表（商业'!J55+1))</f>
        <v>4</v>
      </c>
      <c r="K57" s="3157" t="s">
        <v>2208</v>
      </c>
      <c r="L57" s="2485" t="s">
        <v>2209</v>
      </c>
      <c r="M57" s="1758"/>
      <c r="N57" s="1759">
        <f ca="1">SUMIF(M52:M56,"&lt;9e307")</f>
        <v>791</v>
      </c>
      <c r="O57" s="2486"/>
      <c r="P57" s="1752" t="e">
        <f ca="1">N57/M49</f>
        <v>#VALUE!</v>
      </c>
    </row>
    <row r="58" spans="1:35" ht="24.75">
      <c r="A58" s="183" t="s">
        <v>2190</v>
      </c>
      <c r="B58" s="3161" t="s">
        <v>2210</v>
      </c>
      <c r="C58" s="3163"/>
      <c r="D58" s="185">
        <f ca="1">IF(H58="转让取得",C81,C97)</f>
        <v>790</v>
      </c>
      <c r="E58" s="11" t="s">
        <v>2205</v>
      </c>
      <c r="F58" s="24" t="s">
        <v>34</v>
      </c>
      <c r="G58" s="2480"/>
      <c r="H58" s="2483" t="s">
        <v>2211</v>
      </c>
      <c r="I58" s="2484"/>
      <c r="J58" s="3157"/>
      <c r="K58" s="3157"/>
      <c r="L58" s="2485" t="s">
        <v>2212</v>
      </c>
      <c r="M58" s="1760"/>
      <c r="N58" s="2487" t="str">
        <f ca="1">NUMBERSTRING(INT(N57*10000),2)&amp;"元整"</f>
        <v>柒佰玖拾壹万元整</v>
      </c>
      <c r="O58" s="2488"/>
    </row>
    <row r="59" spans="1:35" ht="24.75" thickBot="1">
      <c r="A59" s="3164" t="s">
        <v>2213</v>
      </c>
      <c r="B59" s="3165"/>
      <c r="C59" s="3165"/>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6">
        <f>J57+1</f>
        <v>5</v>
      </c>
      <c r="K59" s="3157" t="s">
        <v>2215</v>
      </c>
      <c r="L59" s="2954" t="s">
        <v>2209</v>
      </c>
      <c r="M59" s="1761"/>
      <c r="N59" s="1762" t="e">
        <f ca="1">M49-N57</f>
        <v>#VALUE!</v>
      </c>
      <c r="O59" s="2490"/>
    </row>
    <row r="60" spans="1:35" ht="12" customHeight="1">
      <c r="A60" s="2491"/>
      <c r="B60" s="2413"/>
      <c r="C60" s="2413"/>
      <c r="D60" s="2413"/>
      <c r="E60" s="2164"/>
      <c r="F60" s="2484"/>
      <c r="G60" s="2484"/>
      <c r="H60" s="2492"/>
      <c r="I60" s="138"/>
      <c r="J60" s="3167"/>
      <c r="K60" s="3157"/>
      <c r="L60" s="2485" t="s">
        <v>2212</v>
      </c>
      <c r="M60" s="1760"/>
      <c r="N60" s="2487" t="e">
        <f ca="1">NUMBERSTRING(INT(N59*10000),2)&amp;"元整"</f>
        <v>#VALUE!</v>
      </c>
      <c r="O60" s="2488"/>
    </row>
    <row r="61" spans="1:35" ht="13.5" thickBot="1">
      <c r="A61" s="3156" t="s">
        <v>2216</v>
      </c>
      <c r="B61" s="3156"/>
      <c r="C61" s="3156"/>
      <c r="D61" s="3156"/>
      <c r="E61" s="3156"/>
      <c r="F61" s="2484"/>
      <c r="G61" s="2484"/>
      <c r="H61" s="2492"/>
      <c r="I61" s="138"/>
      <c r="J61" s="2954">
        <f>J59+1</f>
        <v>6</v>
      </c>
      <c r="K61" s="3157" t="s">
        <v>2217</v>
      </c>
      <c r="L61" s="3157"/>
      <c r="M61" s="1763"/>
      <c r="N61" s="1764" t="e">
        <f ca="1">ROUND(N59*10000/'数据-汇总表'!E3,0)</f>
        <v>#VALUE!</v>
      </c>
      <c r="O61" s="2493"/>
    </row>
    <row r="62" spans="1:35" ht="12.75">
      <c r="A62" s="3154" t="s">
        <v>2218</v>
      </c>
      <c r="B62" s="3155"/>
      <c r="C62" s="2959"/>
      <c r="D62" s="2959" t="s">
        <v>2219</v>
      </c>
      <c r="E62" s="192" t="s">
        <v>2220</v>
      </c>
      <c r="F62" s="2484"/>
      <c r="G62" s="2484"/>
      <c r="H62" s="2492"/>
      <c r="I62" s="138"/>
    </row>
    <row r="63" spans="1:35" ht="12.75">
      <c r="A63" s="203" t="s">
        <v>774</v>
      </c>
      <c r="B63" s="193" t="s">
        <v>2221</v>
      </c>
      <c r="C63" s="194">
        <f ca="1">ROUND((C64+C65)/(1+'数据-取费表'!C42),0)</f>
        <v>1329</v>
      </c>
      <c r="D63" s="195"/>
      <c r="E63" s="196"/>
      <c r="F63" s="2484"/>
      <c r="G63" s="2484"/>
      <c r="H63" s="2492"/>
      <c r="I63" s="138"/>
      <c r="J63" s="3158"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1395</v>
      </c>
      <c r="D64" s="200" t="s">
        <v>32</v>
      </c>
      <c r="E64" s="201"/>
      <c r="F64" s="2484"/>
      <c r="G64" s="2484"/>
      <c r="H64" s="2492"/>
      <c r="I64" s="138"/>
      <c r="J64" s="3158"/>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8"/>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8"/>
      <c r="K66" s="2950" t="s">
        <v>2230</v>
      </c>
      <c r="L66" s="1751" t="e">
        <f>M49*0.5%</f>
        <v>#VALUE!</v>
      </c>
      <c r="M66" s="24" t="e">
        <f>IF(L66&gt;0.5,0.5,ROUND(L66,0))</f>
        <v>#VALUE!</v>
      </c>
      <c r="N66" s="138" t="s">
        <v>2231</v>
      </c>
      <c r="Z66" s="2418"/>
      <c r="AI66" s="2419"/>
    </row>
    <row r="67" spans="1:35" ht="14.25" customHeight="1">
      <c r="A67" s="203" t="s">
        <v>772</v>
      </c>
      <c r="B67" s="204" t="s">
        <v>2232</v>
      </c>
      <c r="C67" s="207">
        <f ca="1">C63-C66</f>
        <v>1329</v>
      </c>
      <c r="D67" s="200" t="s">
        <v>32</v>
      </c>
      <c r="E67" s="201"/>
      <c r="F67" s="2484"/>
      <c r="G67" s="2484"/>
      <c r="H67" s="2492"/>
      <c r="I67" s="138"/>
      <c r="J67" s="3158"/>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8"/>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8"/>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2" t="s">
        <v>2237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1329</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9" t="s">
        <v>2246</v>
      </c>
      <c r="F76" s="3150"/>
      <c r="G76" s="3150"/>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37" t="s">
        <v>2251</v>
      </c>
      <c r="F78" s="3138"/>
      <c r="G78" s="3138"/>
      <c r="H78" s="31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1321</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165.125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2255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1329</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37" t="s">
        <v>2264</v>
      </c>
      <c r="F91" s="3138"/>
      <c r="G91" s="3138"/>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37" t="s">
        <v>2268</v>
      </c>
      <c r="F92" s="3138"/>
      <c r="G92" s="3138"/>
      <c r="H92" s="31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37" t="s">
        <v>2251</v>
      </c>
      <c r="F93" s="3138"/>
      <c r="G93" s="3138"/>
      <c r="H93" s="31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40" t="s">
        <v>2272</v>
      </c>
      <c r="F94" s="3141"/>
      <c r="G94" s="3141"/>
      <c r="H94" s="314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1321</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165.125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43"/>
      <c r="E100" s="3104" t="s">
        <v>2275</v>
      </c>
      <c r="F100" s="3104"/>
      <c r="G100" s="3104"/>
      <c r="H100" s="3143"/>
      <c r="I100" s="138"/>
    </row>
    <row r="101" spans="1:35" ht="18.75" customHeight="1">
      <c r="A101" s="3144" t="s">
        <v>2276</v>
      </c>
      <c r="B101" s="3145"/>
      <c r="C101" s="735" t="str">
        <f>C4</f>
        <v>比较法-办公</v>
      </c>
      <c r="D101" s="736" t="str">
        <f>D4</f>
        <v>收益法（办公）</v>
      </c>
      <c r="E101" s="3146" t="s">
        <v>2277</v>
      </c>
      <c r="F101" s="3128"/>
      <c r="G101" s="2515" t="s">
        <v>2278</v>
      </c>
      <c r="H101" s="1046">
        <f ca="1">H118</f>
        <v>1395</v>
      </c>
      <c r="I101" s="138"/>
    </row>
    <row r="102" spans="1:35" ht="18.75" customHeight="1">
      <c r="A102" s="3125" t="s">
        <v>2279</v>
      </c>
      <c r="B102" s="2515" t="s">
        <v>2278</v>
      </c>
      <c r="C102" s="735">
        <f ca="1">C19</f>
        <v>1665</v>
      </c>
      <c r="D102" s="736">
        <f ca="1">D19</f>
        <v>766</v>
      </c>
      <c r="E102" s="3146"/>
      <c r="F102" s="3128"/>
      <c r="G102" s="2515" t="s">
        <v>2280</v>
      </c>
      <c r="H102" s="371">
        <f ca="1">I118</f>
        <v>6111</v>
      </c>
      <c r="I102" s="138"/>
    </row>
    <row r="103" spans="1:35" ht="42.75" customHeight="1">
      <c r="A103" s="3125"/>
      <c r="B103" s="2515" t="s">
        <v>2280</v>
      </c>
      <c r="C103" s="737">
        <f ca="1">C20</f>
        <v>7293</v>
      </c>
      <c r="D103" s="738">
        <f ca="1">D20</f>
        <v>3355</v>
      </c>
      <c r="E103" s="3147" t="s">
        <v>2281</v>
      </c>
      <c r="F103" s="3148"/>
      <c r="G103" s="2516" t="s">
        <v>2282</v>
      </c>
      <c r="H103" s="1046">
        <f>IF(D36="正常操作",H104+H105+H106,H105+H106)</f>
        <v>0</v>
      </c>
      <c r="I103" s="138"/>
    </row>
    <row r="104" spans="1:35" ht="18.75" customHeight="1">
      <c r="A104" s="3125" t="s">
        <v>2283</v>
      </c>
      <c r="B104" s="2517" t="s">
        <v>2278</v>
      </c>
      <c r="C104" s="739">
        <f ca="1">H118</f>
        <v>1395</v>
      </c>
      <c r="D104" s="740"/>
      <c r="E104" s="2263" t="s">
        <v>2284</v>
      </c>
      <c r="F104" s="2255"/>
      <c r="G104" s="2516" t="s">
        <v>2282</v>
      </c>
      <c r="H104" s="1047">
        <f>IF(D36="同一抵押权人同一抵押物续贷",C36&amp;"（未扣减，详见特别提示）",C36)</f>
        <v>0</v>
      </c>
      <c r="I104" s="138"/>
    </row>
    <row r="105" spans="1:35" ht="18.75" customHeight="1" thickBot="1">
      <c r="A105" s="3126"/>
      <c r="B105" s="2518" t="s">
        <v>2280</v>
      </c>
      <c r="C105" s="741">
        <f ca="1">I118</f>
        <v>6111</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27" t="str">
        <f>IF(项目基本情况!E8="已注销","——","3.房地产抵押价值")</f>
        <v>3.房地产抵押价值</v>
      </c>
      <c r="F107" s="3128"/>
      <c r="G107" s="2515" t="s">
        <v>2278</v>
      </c>
      <c r="H107" s="1046">
        <f ca="1">IF(E107="——","——",H101-H103)</f>
        <v>1395</v>
      </c>
      <c r="I107" s="138"/>
    </row>
    <row r="108" spans="1:35" ht="18.75" customHeight="1">
      <c r="A108" s="138"/>
      <c r="B108" s="138"/>
      <c r="C108" s="138"/>
      <c r="D108" s="138"/>
      <c r="E108" s="3127"/>
      <c r="F108" s="3128"/>
      <c r="G108" s="2515" t="s">
        <v>2280</v>
      </c>
      <c r="H108" s="371">
        <f ca="1">ROUND(H107*10000/'数据-汇总表'!E3,0)</f>
        <v>6111</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5" t="s">
        <v>2278</v>
      </c>
      <c r="H109" s="348" t="str">
        <f>IF(E109="——","——",H101-H105-H106)</f>
        <v>——</v>
      </c>
      <c r="I109" s="138"/>
    </row>
    <row r="110" spans="1:35" ht="18.75" customHeight="1">
      <c r="A110" s="138"/>
      <c r="B110" s="138"/>
      <c r="C110" s="138"/>
      <c r="D110" s="138"/>
      <c r="E110" s="3127"/>
      <c r="F110" s="3128"/>
      <c r="G110" s="2515" t="s">
        <v>2280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2278</v>
      </c>
      <c r="H111" s="1046" t="str">
        <f>IF(E111="——","——",N59)</f>
        <v>——</v>
      </c>
      <c r="I111" s="138"/>
    </row>
    <row r="112" spans="1:35" ht="18.75" customHeight="1" thickBot="1">
      <c r="A112" s="138"/>
      <c r="B112" s="138"/>
      <c r="C112" s="138"/>
      <c r="D112" s="138"/>
      <c r="E112" s="3131"/>
      <c r="F112" s="3132"/>
      <c r="G112" s="2520" t="s">
        <v>2280</v>
      </c>
      <c r="H112" s="789" t="str">
        <f>IF(E111="——","——",N61)</f>
        <v>——</v>
      </c>
      <c r="I112" s="138"/>
    </row>
    <row r="113" spans="1:11" ht="18.75" customHeight="1">
      <c r="A113" s="138"/>
      <c r="B113" s="138"/>
      <c r="C113" s="138"/>
      <c r="D113" s="138"/>
      <c r="E113" s="3133" t="s">
        <v>2286</v>
      </c>
      <c r="F113" s="3133"/>
      <c r="G113" s="3133"/>
      <c r="H113" s="3133"/>
      <c r="I113" s="138"/>
    </row>
    <row r="114" spans="1:11" ht="3.75" customHeight="1">
      <c r="A114" s="2413"/>
      <c r="B114" s="2413"/>
      <c r="C114" s="2413"/>
      <c r="D114" s="2413"/>
      <c r="E114" s="2491"/>
      <c r="F114" s="2491"/>
      <c r="G114" s="2491"/>
      <c r="H114" s="2491"/>
      <c r="I114" s="2413"/>
    </row>
    <row r="115" spans="1:11" ht="18.75" customHeight="1">
      <c r="A115" s="3134" t="s">
        <v>2288</v>
      </c>
      <c r="B115" s="3135"/>
      <c r="C115" s="3135"/>
      <c r="D115" s="3135"/>
      <c r="E115" s="3135"/>
      <c r="F115" s="3135"/>
      <c r="G115" s="3135"/>
      <c r="H115" s="3135"/>
      <c r="I115" s="3136"/>
    </row>
    <row r="116" spans="1:11" ht="27" customHeight="1">
      <c r="A116" s="3082" t="s">
        <v>2289</v>
      </c>
      <c r="B116" s="3120" t="s">
        <v>2290</v>
      </c>
      <c r="C116" s="3120" t="s">
        <v>2291</v>
      </c>
      <c r="D116" s="3122" t="s">
        <v>2292</v>
      </c>
      <c r="E116" s="3123"/>
      <c r="F116" s="3124" t="s">
        <v>2293</v>
      </c>
      <c r="G116" s="3124"/>
      <c r="H116" s="3082" t="s">
        <v>2294</v>
      </c>
      <c r="I116" s="3082"/>
    </row>
    <row r="117" spans="1:11" ht="18.75" customHeight="1">
      <c r="A117" s="3082"/>
      <c r="B117" s="3121"/>
      <c r="C117" s="3121"/>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1395</v>
      </c>
      <c r="I118" s="2946">
        <f ca="1">ROUND(IF(D32="楼面单价",C32,H118*10000/B118),0)</f>
        <v>6111</v>
      </c>
    </row>
    <row r="119" spans="1:11" ht="18.75" customHeight="1">
      <c r="A119" s="3082" t="s">
        <v>2298</v>
      </c>
      <c r="B119" s="3082"/>
      <c r="C119" s="3082"/>
      <c r="D119" s="3109" t="e">
        <f ca="1">NUMBERSTRING(INT(D118*10000),2)&amp;"元整"</f>
        <v>#REF!</v>
      </c>
      <c r="E119" s="3111"/>
      <c r="F119" s="3109" t="e">
        <f ca="1">NUMBERSTRING(INT(F118*10000),2)&amp;"元整"</f>
        <v>#REF!</v>
      </c>
      <c r="G119" s="3111"/>
      <c r="H119" s="3109" t="str">
        <f ca="1">NUMBERSTRING(INT(H118*10000),2)&amp;"元整"</f>
        <v>壹仟叁佰玖拾伍万元整</v>
      </c>
      <c r="I119" s="3111"/>
    </row>
    <row r="120" spans="1:11" ht="18.75" customHeight="1">
      <c r="A120" s="3114" t="str">
        <f>IF(项目基本情况!B9="房地产市场价值","",MID(E103,3,LEN(E103)-2))</f>
        <v/>
      </c>
      <c r="B120" s="3115"/>
      <c r="C120" s="3116"/>
      <c r="D120" s="3114">
        <f>H103</f>
        <v>0</v>
      </c>
      <c r="E120" s="3115"/>
      <c r="F120" s="3115"/>
      <c r="G120" s="3115"/>
      <c r="H120" s="3115"/>
      <c r="I120" s="3116"/>
      <c r="K120" s="2418" t="str">
        <f>IF(D120=0,"故，本次评估不存在"&amp;A120,"故，本次评估"&amp;A120&amp;"为人民币"&amp;D120&amp;"万元整。")</f>
        <v>故，本次评估不存在</v>
      </c>
    </row>
    <row r="121" spans="1:11" ht="18.75" customHeight="1">
      <c r="A121" s="3117" t="s">
        <v>2298</v>
      </c>
      <c r="B121" s="3118"/>
      <c r="C121" s="3119"/>
      <c r="D121" s="3109" t="str">
        <f>IF(D120=0,"零元整",NUMBERSTRING(INT(D120*10000),2)&amp;"元整")</f>
        <v>零元整</v>
      </c>
      <c r="E121" s="3110"/>
      <c r="F121" s="3110"/>
      <c r="G121" s="3110"/>
      <c r="H121" s="3110"/>
      <c r="I121" s="3111"/>
    </row>
    <row r="122" spans="1:11" ht="18.75" customHeight="1">
      <c r="A122" s="3113" t="str">
        <f>IF(项目基本情况!B9="房地产市场价值","",MID(E107,3,LEN(E107)-2))</f>
        <v/>
      </c>
      <c r="B122" s="3113"/>
      <c r="C122" s="3113"/>
      <c r="D122" s="3114">
        <f ca="1">H107</f>
        <v>1395</v>
      </c>
      <c r="E122" s="3115"/>
      <c r="F122" s="3115"/>
      <c r="G122" s="3115"/>
      <c r="H122" s="3115"/>
      <c r="I122" s="3116"/>
    </row>
    <row r="123" spans="1:11" ht="18.75" customHeight="1">
      <c r="A123" s="3082" t="s">
        <v>2298</v>
      </c>
      <c r="B123" s="3082"/>
      <c r="C123" s="3082"/>
      <c r="D123" s="3109" t="str">
        <f ca="1">NUMBERSTRING(INT(D122*10000),2)&amp;"元整"</f>
        <v>壹仟叁佰玖拾伍万元整</v>
      </c>
      <c r="E123" s="3110"/>
      <c r="F123" s="3110"/>
      <c r="G123" s="3110"/>
      <c r="H123" s="3110"/>
      <c r="I123" s="3111"/>
    </row>
    <row r="124" spans="1:11" ht="18.75" customHeight="1">
      <c r="A124" s="3113" t="str">
        <f>IF(项目基本情况!B9="房地产市场价值","",MID(E109,3,LEN(E109)-2))</f>
        <v/>
      </c>
      <c r="B124" s="3113"/>
      <c r="C124" s="3113"/>
      <c r="D124" s="3114" t="str">
        <f>H109</f>
        <v>——</v>
      </c>
      <c r="E124" s="3115"/>
      <c r="F124" s="3115"/>
      <c r="G124" s="3115"/>
      <c r="H124" s="3115"/>
      <c r="I124" s="3116"/>
    </row>
    <row r="125" spans="1:11" ht="18.75" customHeight="1">
      <c r="A125" s="3082" t="s">
        <v>2298</v>
      </c>
      <c r="B125" s="3082"/>
      <c r="C125" s="3082"/>
      <c r="D125" s="3109" t="e">
        <f>NUMBERSTRING(INT(D124*10000),2)&amp;"元整"</f>
        <v>#VALUE!</v>
      </c>
      <c r="E125" s="3110"/>
      <c r="F125" s="3110"/>
      <c r="G125" s="3110"/>
      <c r="H125" s="3110"/>
      <c r="I125" s="3111"/>
    </row>
    <row r="126" spans="1:11" ht="18.75" customHeight="1">
      <c r="A126" s="3113" t="str">
        <f>IF(项目基本情况!B9="房地产市场价值","",MID(E111,3,LEN(E111)-2))</f>
        <v/>
      </c>
      <c r="B126" s="3113"/>
      <c r="C126" s="3113"/>
      <c r="D126" s="3114" t="str">
        <f>H111</f>
        <v>——</v>
      </c>
      <c r="E126" s="3115"/>
      <c r="F126" s="3115"/>
      <c r="G126" s="3115"/>
      <c r="H126" s="3115"/>
      <c r="I126" s="3116"/>
    </row>
    <row r="127" spans="1:11" ht="18.75" customHeight="1">
      <c r="A127" s="3082" t="s">
        <v>2298</v>
      </c>
      <c r="B127" s="3082"/>
      <c r="C127" s="3082"/>
      <c r="D127" s="3109" t="e">
        <f>NUMBERSTRING(INT(D126*10000),2)&amp;"元整"</f>
        <v>#VALUE!</v>
      </c>
      <c r="E127" s="3110"/>
      <c r="F127" s="3110"/>
      <c r="G127" s="3110"/>
      <c r="H127" s="3110"/>
      <c r="I127" s="3111"/>
    </row>
    <row r="128" spans="1:11" ht="21.75" customHeight="1">
      <c r="A128" s="3112" t="s">
        <v>2299</v>
      </c>
      <c r="B128" s="3112"/>
      <c r="C128" s="3112"/>
      <c r="D128" s="3112"/>
      <c r="E128" s="3112"/>
      <c r="F128" s="3112"/>
      <c r="G128" s="3112"/>
      <c r="H128" s="3112"/>
      <c r="I128" s="3112"/>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2" sqref="F2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3126</v>
      </c>
    </row>
    <row r="2" spans="1:12" ht="21.75" customHeight="1" thickBot="1">
      <c r="A2" s="3200" t="str">
        <f>项目基本情况!S2</f>
        <v>新疆维吾尔自治区塔城市新城区伊宁路1-5层部分办公用房房地产</v>
      </c>
      <c r="B2" s="3201"/>
      <c r="C2" s="3201"/>
      <c r="D2" s="3201"/>
      <c r="E2" s="3201"/>
      <c r="F2" s="3201"/>
      <c r="G2" s="3201"/>
      <c r="H2" s="3201"/>
      <c r="I2" s="3202"/>
    </row>
    <row r="3" spans="1:12" ht="12.75">
      <c r="A3" s="3203" t="s">
        <v>2100</v>
      </c>
      <c r="B3" s="3204"/>
      <c r="C3" s="3204"/>
      <c r="D3" s="3204"/>
      <c r="E3" s="3204"/>
      <c r="F3" s="3204"/>
      <c r="G3" s="3204"/>
      <c r="H3" s="3204"/>
      <c r="I3" s="3204"/>
    </row>
    <row r="4" spans="1:12" ht="14.25">
      <c r="A4" s="2420" t="s">
        <v>2101</v>
      </c>
      <c r="B4" s="2421" t="s">
        <v>2102</v>
      </c>
      <c r="C4" s="2422" t="s">
        <v>3177</v>
      </c>
      <c r="D4" s="2422" t="s">
        <v>3269</v>
      </c>
      <c r="E4" s="3161" t="s">
        <v>2103</v>
      </c>
      <c r="F4" s="3163"/>
      <c r="G4" s="3163"/>
      <c r="H4" s="3163"/>
      <c r="I4" s="3162"/>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92" t="s">
        <v>2104</v>
      </c>
      <c r="B5" s="3082">
        <v>25</v>
      </c>
      <c r="C5" s="3193"/>
      <c r="D5" s="3195"/>
      <c r="E5" s="140" t="s">
        <v>2105</v>
      </c>
      <c r="F5" s="2424"/>
      <c r="G5" s="2424"/>
      <c r="H5" s="2424"/>
      <c r="I5" s="1833"/>
    </row>
    <row r="6" spans="1:12" ht="12.75">
      <c r="A6" s="3192"/>
      <c r="B6" s="3082"/>
      <c r="C6" s="3205"/>
      <c r="D6" s="3195"/>
      <c r="E6" s="140" t="s">
        <v>2106</v>
      </c>
      <c r="F6" s="2424"/>
      <c r="G6" s="2424"/>
      <c r="H6" s="2424"/>
      <c r="I6" s="1833"/>
    </row>
    <row r="7" spans="1:12" ht="12.75">
      <c r="A7" s="3192"/>
      <c r="B7" s="3082"/>
      <c r="C7" s="3194"/>
      <c r="D7" s="3195"/>
      <c r="E7" s="140" t="s">
        <v>2107</v>
      </c>
      <c r="F7" s="2424"/>
      <c r="G7" s="2424"/>
      <c r="H7" s="2424"/>
      <c r="I7" s="1833"/>
    </row>
    <row r="8" spans="1:12" ht="12.75">
      <c r="A8" s="3192" t="s">
        <v>2108</v>
      </c>
      <c r="B8" s="3082">
        <v>15</v>
      </c>
      <c r="C8" s="3193"/>
      <c r="D8" s="3195"/>
      <c r="E8" s="140" t="s">
        <v>2109</v>
      </c>
      <c r="F8" s="2424"/>
      <c r="G8" s="2424"/>
      <c r="H8" s="2424"/>
      <c r="I8" s="1833"/>
    </row>
    <row r="9" spans="1:12" ht="12.75">
      <c r="A9" s="3192"/>
      <c r="B9" s="3082"/>
      <c r="C9" s="3194"/>
      <c r="D9" s="3195"/>
      <c r="E9" s="140" t="s">
        <v>2110</v>
      </c>
      <c r="F9" s="2424"/>
      <c r="G9" s="2424"/>
      <c r="H9" s="2424"/>
      <c r="I9" s="1833"/>
    </row>
    <row r="10" spans="1:12" ht="12.75">
      <c r="A10" s="3192" t="s">
        <v>2111</v>
      </c>
      <c r="B10" s="3082">
        <v>15</v>
      </c>
      <c r="C10" s="3193"/>
      <c r="D10" s="3195"/>
      <c r="E10" s="140" t="s">
        <v>2112</v>
      </c>
      <c r="F10" s="2424"/>
      <c r="G10" s="2424"/>
      <c r="H10" s="2424"/>
      <c r="I10" s="1833"/>
    </row>
    <row r="11" spans="1:12" ht="12.75">
      <c r="A11" s="3192"/>
      <c r="B11" s="3082"/>
      <c r="C11" s="3194"/>
      <c r="D11" s="3195"/>
      <c r="E11" s="140" t="s">
        <v>2113</v>
      </c>
      <c r="F11" s="2424"/>
      <c r="G11" s="2424"/>
      <c r="H11" s="2424"/>
      <c r="I11" s="1833"/>
    </row>
    <row r="12" spans="1:12" ht="12.75">
      <c r="A12" s="3192" t="s">
        <v>2114</v>
      </c>
      <c r="B12" s="3082">
        <v>15</v>
      </c>
      <c r="C12" s="3193"/>
      <c r="D12" s="3195"/>
      <c r="E12" s="140" t="s">
        <v>2115</v>
      </c>
      <c r="F12" s="2424"/>
      <c r="G12" s="2424"/>
      <c r="H12" s="2424"/>
      <c r="I12" s="1833"/>
    </row>
    <row r="13" spans="1:12" ht="12.75">
      <c r="A13" s="3192"/>
      <c r="B13" s="3082"/>
      <c r="C13" s="3194"/>
      <c r="D13" s="3195"/>
      <c r="E13" s="140" t="s">
        <v>2116</v>
      </c>
      <c r="F13" s="2424"/>
      <c r="G13" s="2424"/>
      <c r="H13" s="2424"/>
      <c r="I13" s="1833"/>
    </row>
    <row r="14" spans="1:12" ht="12.75">
      <c r="A14" s="3192" t="s">
        <v>2117</v>
      </c>
      <c r="B14" s="3082">
        <v>30</v>
      </c>
      <c r="C14" s="3193">
        <v>7</v>
      </c>
      <c r="D14" s="3195">
        <v>3</v>
      </c>
      <c r="E14" s="140" t="s">
        <v>2118</v>
      </c>
      <c r="F14" s="2424"/>
      <c r="G14" s="2424"/>
      <c r="H14" s="2424"/>
      <c r="I14" s="1833"/>
    </row>
    <row r="15" spans="1:12" ht="12.75">
      <c r="A15" s="3192"/>
      <c r="B15" s="3082"/>
      <c r="C15" s="3205"/>
      <c r="D15" s="3195"/>
      <c r="E15" s="140" t="s">
        <v>2119</v>
      </c>
      <c r="F15" s="2424"/>
      <c r="G15" s="2424"/>
      <c r="H15" s="2424"/>
      <c r="I15" s="1833"/>
    </row>
    <row r="16" spans="1:12" ht="12.75">
      <c r="A16" s="3192"/>
      <c r="B16" s="3082"/>
      <c r="C16" s="3194"/>
      <c r="D16" s="3195"/>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SUMIF(INDIRECT("'"&amp;C4&amp;"'"&amp;"!A:A"),结果表!B19,INDIRECT("'"&amp;C4&amp;"'"&amp;"!B:B"))</f>
        <v>1665</v>
      </c>
      <c r="D19" s="144">
        <f ca="1">SUMIF(INDIRECT("'"&amp;D4&amp;"'"&amp;"!A:A"),结果表!B19,INDIRECT("'"&amp;D4&amp;"'"&amp;"!B:B"))</f>
        <v>766</v>
      </c>
      <c r="E19" s="2429" t="s">
        <v>2128</v>
      </c>
      <c r="F19" s="2430" t="s">
        <v>2127</v>
      </c>
      <c r="G19" s="145">
        <f ca="1">ROUND(C19*$C$18+D19*$D$18,0)</f>
        <v>1395</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SUMIF(INDIRECT("'"&amp;C4&amp;"'"&amp;"!A:A"),结果表!B20,INDIRECT("'"&amp;C4&amp;"'"&amp;"!B:B"))</f>
        <v>7293</v>
      </c>
      <c r="D20" s="147">
        <f ca="1">SUMIF(INDIRECT("'"&amp;D4&amp;"'"&amp;"!A:A"),结果表!B20,INDIRECT("'"&amp;D4&amp;"'"&amp;"!B:B"))</f>
        <v>3355</v>
      </c>
      <c r="E20" s="2432"/>
      <c r="F20" s="1248" t="s">
        <v>2131</v>
      </c>
      <c r="G20" s="148">
        <f ca="1">ROUND(C20*$C$18+D20*$D$18,0)</f>
        <v>6112</v>
      </c>
      <c r="H20" s="981" t="s">
        <v>2132</v>
      </c>
      <c r="I20" s="138"/>
    </row>
    <row r="21" spans="1:35" ht="15" customHeight="1" thickBot="1">
      <c r="A21" s="1001"/>
      <c r="B21" s="2433" t="s">
        <v>2133</v>
      </c>
      <c r="C21" s="788">
        <f ca="1">ROUND(C19*10000/L19,0)</f>
        <v>27658</v>
      </c>
      <c r="D21" s="789">
        <f ca="1">ROUND(D19*10000/L19,0)</f>
        <v>12724</v>
      </c>
      <c r="E21" s="1001"/>
      <c r="F21" s="2433" t="s">
        <v>2133</v>
      </c>
      <c r="G21" s="149">
        <f ca="1">ROUND(G19*10000/L19,0)</f>
        <v>23173</v>
      </c>
      <c r="H21" s="2434" t="s">
        <v>2132</v>
      </c>
      <c r="I21" s="138"/>
    </row>
    <row r="22" spans="1:35" ht="15" thickBot="1">
      <c r="A22" s="2277" t="s">
        <v>2134</v>
      </c>
      <c r="B22" s="2435"/>
      <c r="C22" s="2436"/>
      <c r="D22" s="790">
        <f ca="1">IF(C19&lt;D19,D19/C19-1,C19/D19-1)</f>
        <v>1.1736292428198434</v>
      </c>
      <c r="E22" s="138"/>
      <c r="F22" s="138"/>
      <c r="G22" s="138"/>
      <c r="H22" s="138"/>
      <c r="I22" s="138"/>
    </row>
    <row r="23" spans="1:35" ht="13.5" thickBot="1">
      <c r="A23" s="2413"/>
      <c r="B23" s="2413"/>
      <c r="C23" s="2413"/>
      <c r="D23" s="2413"/>
      <c r="E23" s="138"/>
      <c r="F23" s="138"/>
      <c r="G23" s="138"/>
      <c r="H23" s="138"/>
      <c r="I23" s="138"/>
    </row>
    <row r="24" spans="1:35" ht="14.25">
      <c r="A24" s="3180" t="s">
        <v>2135</v>
      </c>
      <c r="B24" s="2430" t="s">
        <v>2127</v>
      </c>
      <c r="C24" s="145">
        <f>IF(B30=0,0,D30)</f>
        <v>0</v>
      </c>
      <c r="D24" s="2437"/>
      <c r="E24" s="138"/>
      <c r="F24" s="138"/>
      <c r="G24" s="138"/>
      <c r="H24" s="138"/>
      <c r="I24" s="138"/>
    </row>
    <row r="25" spans="1:35" ht="14.25">
      <c r="A25" s="3181"/>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1395</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82" t="s">
        <v>2149</v>
      </c>
      <c r="B36" s="2456" t="s">
        <v>2150</v>
      </c>
      <c r="C36" s="154"/>
      <c r="D36" s="2457"/>
      <c r="E36" s="2458"/>
      <c r="F36" s="2459"/>
      <c r="G36" s="138"/>
      <c r="H36" s="138"/>
      <c r="I36" s="138"/>
    </row>
    <row r="37" spans="1:15" ht="15.75" thickBot="1">
      <c r="A37" s="3183"/>
      <c r="B37" s="2263" t="s">
        <v>2151</v>
      </c>
      <c r="C37" s="156"/>
      <c r="D37" s="1393"/>
      <c r="E37" s="1393"/>
      <c r="F37" s="2459"/>
      <c r="G37" s="138"/>
      <c r="H37" s="138"/>
      <c r="I37" s="138"/>
    </row>
    <row r="38" spans="1:15" ht="15.75" thickBot="1">
      <c r="A38" s="3184"/>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85" t="s">
        <v>2163</v>
      </c>
      <c r="B45" s="3186"/>
      <c r="C45" s="3187"/>
      <c r="D45" s="164">
        <f ca="1">ROUND(H101*F45,0)</f>
        <v>1395</v>
      </c>
      <c r="E45" s="165" t="s">
        <v>2164</v>
      </c>
      <c r="F45" s="166">
        <v>1</v>
      </c>
      <c r="G45" s="167" t="s">
        <v>2165</v>
      </c>
      <c r="H45" s="138"/>
      <c r="I45" s="138"/>
      <c r="J45" s="3173" t="s">
        <v>2166</v>
      </c>
      <c r="K45" s="3173"/>
      <c r="L45" s="3173"/>
      <c r="M45" s="3173"/>
      <c r="N45" s="3173"/>
      <c r="O45" s="3173"/>
    </row>
    <row r="46" spans="1:15" ht="14.25" customHeight="1">
      <c r="A46" s="3188" t="s">
        <v>2167</v>
      </c>
      <c r="B46" s="3189"/>
      <c r="C46" s="3189"/>
      <c r="D46" s="3189"/>
      <c r="E46" s="3189"/>
      <c r="F46" s="3189"/>
      <c r="G46" s="3190"/>
      <c r="H46" s="2475"/>
      <c r="I46" s="168"/>
      <c r="J46" s="1811">
        <v>1</v>
      </c>
      <c r="K46" s="3173" t="s">
        <v>2168</v>
      </c>
      <c r="L46" s="3173"/>
      <c r="M46" s="3191"/>
      <c r="N46" s="3191"/>
      <c r="O46" s="3191"/>
    </row>
    <row r="47" spans="1:15" ht="12" customHeight="1">
      <c r="A47" s="169" t="s">
        <v>2169</v>
      </c>
      <c r="B47" s="170"/>
      <c r="C47" s="171"/>
      <c r="D47" s="172" t="s">
        <v>2170</v>
      </c>
      <c r="E47" s="24" t="s">
        <v>2171</v>
      </c>
      <c r="F47" s="173" t="s">
        <v>2172</v>
      </c>
      <c r="G47" s="174" t="s">
        <v>2173</v>
      </c>
      <c r="H47" s="2475"/>
      <c r="I47" s="168"/>
      <c r="J47" s="1811">
        <v>2</v>
      </c>
      <c r="K47" s="3173" t="s">
        <v>2174</v>
      </c>
      <c r="L47" s="3173"/>
      <c r="M47" s="3174">
        <f>'数据-取费表'!B2</f>
        <v>43069</v>
      </c>
      <c r="N47" s="3174"/>
      <c r="O47" s="3174"/>
    </row>
    <row r="48" spans="1:15" ht="25.5">
      <c r="A48" s="3175" t="s">
        <v>2175</v>
      </c>
      <c r="B48" s="3170"/>
      <c r="C48" s="3170"/>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73" t="s">
        <v>2178</v>
      </c>
      <c r="L48" s="3173"/>
      <c r="M48" s="3176">
        <f ca="1">H101</f>
        <v>1395</v>
      </c>
      <c r="N48" s="3176"/>
      <c r="O48" s="3176"/>
    </row>
    <row r="49" spans="1:35" ht="25.5" customHeight="1">
      <c r="A49" s="176" t="s">
        <v>2179</v>
      </c>
      <c r="B49" s="3150" t="s">
        <v>2180</v>
      </c>
      <c r="C49" s="3150"/>
      <c r="D49" s="177">
        <v>0</v>
      </c>
      <c r="E49" s="23" t="s">
        <v>2181</v>
      </c>
      <c r="F49" s="28" t="s">
        <v>34</v>
      </c>
      <c r="G49" s="3177"/>
      <c r="H49" s="138"/>
      <c r="I49" s="2478"/>
      <c r="J49" s="1811">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178"/>
      <c r="B50" s="3150" t="s">
        <v>2182</v>
      </c>
      <c r="C50" s="3150"/>
      <c r="D50" s="179"/>
      <c r="E50" s="31"/>
      <c r="F50" s="180"/>
      <c r="G50" s="3178"/>
      <c r="H50" s="138"/>
      <c r="I50" s="2478"/>
      <c r="J50" s="3173" t="s">
        <v>2183</v>
      </c>
      <c r="K50" s="3173"/>
      <c r="L50" s="3173"/>
      <c r="M50" s="3173"/>
      <c r="N50" s="3173"/>
      <c r="O50" s="3173"/>
    </row>
    <row r="51" spans="1:35" ht="12" customHeight="1">
      <c r="A51" s="181"/>
      <c r="B51" s="3150" t="s">
        <v>2184</v>
      </c>
      <c r="C51" s="3150"/>
      <c r="D51" s="182"/>
      <c r="E51" s="30"/>
      <c r="F51" s="180"/>
      <c r="G51" s="3179"/>
      <c r="H51" s="138"/>
      <c r="I51" s="2478"/>
      <c r="J51" s="2479" t="s">
        <v>2185</v>
      </c>
      <c r="K51" s="3173" t="s">
        <v>2186</v>
      </c>
      <c r="L51" s="3173"/>
      <c r="M51" s="2479" t="s">
        <v>2187</v>
      </c>
      <c r="N51" s="2479" t="s">
        <v>2188</v>
      </c>
      <c r="O51" s="2479" t="s">
        <v>2189</v>
      </c>
    </row>
    <row r="52" spans="1:35" ht="24" customHeight="1">
      <c r="A52" s="183" t="s">
        <v>2190</v>
      </c>
      <c r="B52" s="3150" t="s">
        <v>2191</v>
      </c>
      <c r="C52" s="3150"/>
      <c r="D52" s="182">
        <f ca="1">ROUND(D45*'数据-取费表'!B41/(1+'数据-取费表'!C42),0)</f>
        <v>74</v>
      </c>
      <c r="E52" s="11" t="s">
        <v>2192</v>
      </c>
      <c r="F52" s="184">
        <f>'数据-取费表'!B41</f>
        <v>5.6000000000000001E-2</v>
      </c>
      <c r="G52" s="2480"/>
      <c r="H52" s="138"/>
      <c r="I52" s="2478"/>
      <c r="J52" s="1811">
        <v>1</v>
      </c>
      <c r="K52" s="3157" t="s">
        <v>2193</v>
      </c>
      <c r="L52" s="3157"/>
      <c r="M52" s="1753">
        <f>D48</f>
        <v>0</v>
      </c>
      <c r="N52" s="1811" t="str">
        <f>E48</f>
        <v>销售额×税（费）率</v>
      </c>
      <c r="O52" s="1754" t="str">
        <f>F48</f>
        <v>免征</v>
      </c>
    </row>
    <row r="53" spans="1:35" ht="12" customHeight="1">
      <c r="A53" s="183" t="s">
        <v>2194</v>
      </c>
      <c r="B53" s="3149" t="s">
        <v>2195</v>
      </c>
      <c r="C53" s="3168"/>
      <c r="D53" s="182">
        <f ca="1">ROUND(D45*'数据-取费表'!B41/(1+'数据-取费表'!C42),0)</f>
        <v>74</v>
      </c>
      <c r="E53" s="11" t="s">
        <v>2192</v>
      </c>
      <c r="F53" s="184">
        <f>'数据-取费表'!B41</f>
        <v>5.6000000000000001E-2</v>
      </c>
      <c r="G53" s="2480"/>
      <c r="H53" s="138"/>
      <c r="I53" s="2478"/>
      <c r="J53" s="1811">
        <v>2</v>
      </c>
      <c r="K53" s="3157" t="s">
        <v>2196</v>
      </c>
      <c r="L53" s="3157"/>
      <c r="M53" s="1753">
        <f t="shared" ref="M53:O54" ca="1" si="0">D55</f>
        <v>1</v>
      </c>
      <c r="N53" s="1811" t="str">
        <f t="shared" si="0"/>
        <v>销售额×税（费）率</v>
      </c>
      <c r="O53" s="1754">
        <f t="shared" si="0"/>
        <v>5.0000000000000001E-4</v>
      </c>
    </row>
    <row r="54" spans="1:35" ht="12" customHeight="1">
      <c r="A54" s="183" t="s">
        <v>2197</v>
      </c>
      <c r="B54" s="3149" t="s">
        <v>2198</v>
      </c>
      <c r="C54" s="3168"/>
      <c r="D54" s="182">
        <f ca="1">C68</f>
        <v>74</v>
      </c>
      <c r="E54" s="30" t="s">
        <v>2199</v>
      </c>
      <c r="F54" s="184">
        <f>'数据-取费表'!B41</f>
        <v>5.6000000000000001E-2</v>
      </c>
      <c r="G54" s="2480"/>
      <c r="H54" s="2481"/>
      <c r="I54" s="2478"/>
      <c r="J54" s="1811">
        <v>3</v>
      </c>
      <c r="K54" s="3157" t="s">
        <v>2200</v>
      </c>
      <c r="L54" s="3157"/>
      <c r="M54" s="1753">
        <f t="shared" ca="1" si="0"/>
        <v>790</v>
      </c>
      <c r="N54" s="1811" t="str">
        <f t="shared" si="0"/>
        <v>增值额×税（费）率</v>
      </c>
      <c r="O54" s="1755" t="str">
        <f t="shared" si="0"/>
        <v>——</v>
      </c>
    </row>
    <row r="55" spans="1:35" ht="24" customHeight="1">
      <c r="A55" s="3169" t="s">
        <v>2201</v>
      </c>
      <c r="B55" s="3170"/>
      <c r="C55" s="3170"/>
      <c r="D55" s="185">
        <f ca="1">IF(H55="个人住宅",0,ROUND(D45*I55,0))</f>
        <v>1</v>
      </c>
      <c r="E55" s="11" t="s">
        <v>2202</v>
      </c>
      <c r="F55" s="184">
        <f>IF(H55="正常",I55,"免征")</f>
        <v>5.0000000000000001E-4</v>
      </c>
      <c r="G55" s="2480"/>
      <c r="H55" s="2477" t="s">
        <v>2203</v>
      </c>
      <c r="I55" s="186">
        <f>'数据-取费表'!B49</f>
        <v>5.0000000000000001E-4</v>
      </c>
      <c r="J55" s="1811" t="str">
        <f>IF(H59="非个人房产","",4)</f>
        <v/>
      </c>
      <c r="K55" s="3157" t="str">
        <f>IF(H59="非个人房产","——","个人所得税")</f>
        <v>——</v>
      </c>
      <c r="L55" s="3157"/>
      <c r="M55" s="1756" t="str">
        <f>D59</f>
        <v>——</v>
      </c>
      <c r="N55" s="1809" t="str">
        <f>E59</f>
        <v>——</v>
      </c>
      <c r="O55" s="1757" t="str">
        <f>F59</f>
        <v>——</v>
      </c>
    </row>
    <row r="56" spans="1:35" ht="24.75">
      <c r="A56" s="3169" t="s">
        <v>2204</v>
      </c>
      <c r="B56" s="3170"/>
      <c r="C56" s="3170"/>
      <c r="D56" s="185">
        <f ca="1">IF(H56="个人住宅",D57,D58)</f>
        <v>790</v>
      </c>
      <c r="E56" s="11" t="s">
        <v>2205</v>
      </c>
      <c r="F56" s="184" t="str">
        <f>IF(H56="正常",F58,"免征")</f>
        <v>——</v>
      </c>
      <c r="G56" s="2482" t="s">
        <v>2206</v>
      </c>
      <c r="H56" s="2483" t="s">
        <v>2203</v>
      </c>
      <c r="I56" s="2484"/>
      <c r="J56" s="1811" t="str">
        <f>IF(项目基本情况!K6="上海银行",IF(J55="",4,J55+1),"")</f>
        <v/>
      </c>
      <c r="K56" s="3171" t="str">
        <f>IF(项目基本情况!K6="上海银行","其他处置费用","")</f>
        <v/>
      </c>
      <c r="L56" s="3172"/>
      <c r="M56" s="1753" t="str">
        <f>IF(项目基本情况!K6="上海银行",M69,"")</f>
        <v/>
      </c>
      <c r="N56" s="3159" t="str">
        <f>IF(项目基本情况!K6="上海银行","包含处置中涉及的律师、诉讼、拍卖、评估等费用","")</f>
        <v/>
      </c>
      <c r="O56" s="3160"/>
    </row>
    <row r="57" spans="1:35" ht="12.75">
      <c r="A57" s="183" t="s">
        <v>2179</v>
      </c>
      <c r="B57" s="3161" t="s">
        <v>2207</v>
      </c>
      <c r="C57" s="3162"/>
      <c r="D57" s="187">
        <v>0</v>
      </c>
      <c r="E57" s="23" t="s">
        <v>2181</v>
      </c>
      <c r="F57" s="155"/>
      <c r="G57" s="2480"/>
      <c r="H57" s="2484"/>
      <c r="I57" s="2484"/>
      <c r="J57" s="3157">
        <f>IF(AND(J55="",J56=""),4,IF(项目基本情况!K6="上海银行",结果表!J56+1,结果表!J55+1))</f>
        <v>4</v>
      </c>
      <c r="K57" s="3157" t="s">
        <v>2208</v>
      </c>
      <c r="L57" s="2485" t="s">
        <v>2209</v>
      </c>
      <c r="M57" s="1758"/>
      <c r="N57" s="1759">
        <f ca="1">SUMIF(M52:M56,"&lt;9e307")</f>
        <v>791</v>
      </c>
      <c r="O57" s="2486"/>
      <c r="P57" s="1752" t="e">
        <f ca="1">N57/M49</f>
        <v>#VALUE!</v>
      </c>
    </row>
    <row r="58" spans="1:35" ht="24.75">
      <c r="A58" s="183" t="s">
        <v>2190</v>
      </c>
      <c r="B58" s="3161" t="s">
        <v>2210</v>
      </c>
      <c r="C58" s="3163"/>
      <c r="D58" s="185">
        <f ca="1">IF(H58="转让取得",C81,C97)</f>
        <v>790</v>
      </c>
      <c r="E58" s="11" t="s">
        <v>2205</v>
      </c>
      <c r="F58" s="24" t="s">
        <v>34</v>
      </c>
      <c r="G58" s="2480"/>
      <c r="H58" s="2483" t="s">
        <v>2211</v>
      </c>
      <c r="I58" s="2484"/>
      <c r="J58" s="3157"/>
      <c r="K58" s="3157"/>
      <c r="L58" s="2485" t="s">
        <v>2212</v>
      </c>
      <c r="M58" s="1760"/>
      <c r="N58" s="2487" t="str">
        <f ca="1">NUMBERSTRING(INT(N57*10000),2)&amp;"元整"</f>
        <v>柒佰玖拾壹万元整</v>
      </c>
      <c r="O58" s="2488"/>
    </row>
    <row r="59" spans="1:35" ht="24.75" thickBot="1">
      <c r="A59" s="3164" t="s">
        <v>2213</v>
      </c>
      <c r="B59" s="3165"/>
      <c r="C59" s="3165"/>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6">
        <f>J57+1</f>
        <v>5</v>
      </c>
      <c r="K59" s="3157" t="s">
        <v>2215</v>
      </c>
      <c r="L59" s="1811" t="s">
        <v>2209</v>
      </c>
      <c r="M59" s="1761"/>
      <c r="N59" s="1762" t="e">
        <f ca="1">M49-N57</f>
        <v>#VALUE!</v>
      </c>
      <c r="O59" s="2490"/>
    </row>
    <row r="60" spans="1:35" ht="12" customHeight="1">
      <c r="A60" s="2491"/>
      <c r="B60" s="2413"/>
      <c r="C60" s="2413"/>
      <c r="D60" s="2413"/>
      <c r="E60" s="2164"/>
      <c r="F60" s="2484"/>
      <c r="G60" s="2484"/>
      <c r="H60" s="2492"/>
      <c r="I60" s="138"/>
      <c r="J60" s="3167"/>
      <c r="K60" s="3157"/>
      <c r="L60" s="2485" t="s">
        <v>2212</v>
      </c>
      <c r="M60" s="1760"/>
      <c r="N60" s="2487" t="e">
        <f ca="1">NUMBERSTRING(INT(N59*10000),2)&amp;"元整"</f>
        <v>#VALUE!</v>
      </c>
      <c r="O60" s="2488"/>
    </row>
    <row r="61" spans="1:35" ht="13.5" thickBot="1">
      <c r="A61" s="3156" t="s">
        <v>2216</v>
      </c>
      <c r="B61" s="3156"/>
      <c r="C61" s="3156"/>
      <c r="D61" s="3156"/>
      <c r="E61" s="3156"/>
      <c r="F61" s="2484"/>
      <c r="G61" s="2484"/>
      <c r="H61" s="2492"/>
      <c r="I61" s="138"/>
      <c r="J61" s="1811">
        <f>J59+1</f>
        <v>6</v>
      </c>
      <c r="K61" s="3157" t="s">
        <v>2217</v>
      </c>
      <c r="L61" s="3157"/>
      <c r="M61" s="1763"/>
      <c r="N61" s="1764" t="e">
        <f ca="1">ROUND(N59*10000/'数据-汇总表'!E3,0)</f>
        <v>#VALUE!</v>
      </c>
      <c r="O61" s="2493"/>
    </row>
    <row r="62" spans="1:35" ht="12.75">
      <c r="A62" s="3154" t="s">
        <v>2218</v>
      </c>
      <c r="B62" s="3155"/>
      <c r="C62" s="1803"/>
      <c r="D62" s="1803" t="s">
        <v>2219</v>
      </c>
      <c r="E62" s="192" t="s">
        <v>2220</v>
      </c>
      <c r="F62" s="2484"/>
      <c r="G62" s="2484"/>
      <c r="H62" s="2492"/>
      <c r="I62" s="138"/>
    </row>
    <row r="63" spans="1:35" ht="12.75">
      <c r="A63" s="203" t="s">
        <v>774</v>
      </c>
      <c r="B63" s="193" t="s">
        <v>2221</v>
      </c>
      <c r="C63" s="194">
        <f ca="1">ROUND((C64+C65)/(1+'数据-取费表'!C42),0)</f>
        <v>1329</v>
      </c>
      <c r="D63" s="195"/>
      <c r="E63" s="196"/>
      <c r="F63" s="2484"/>
      <c r="G63" s="2484"/>
      <c r="H63" s="2492"/>
      <c r="I63" s="138"/>
      <c r="J63" s="3158"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1395</v>
      </c>
      <c r="D64" s="200" t="s">
        <v>32</v>
      </c>
      <c r="E64" s="201"/>
      <c r="F64" s="2484"/>
      <c r="G64" s="2484"/>
      <c r="H64" s="2492"/>
      <c r="I64" s="138"/>
      <c r="J64" s="3158"/>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8"/>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8"/>
      <c r="K66" s="2494" t="s">
        <v>2230</v>
      </c>
      <c r="L66" s="1751" t="e">
        <f>M49*0.5%</f>
        <v>#VALUE!</v>
      </c>
      <c r="M66" s="24" t="e">
        <f>IF(L66&gt;0.5,0.5,ROUND(L66,0))</f>
        <v>#VALUE!</v>
      </c>
      <c r="N66" s="138" t="s">
        <v>2231</v>
      </c>
      <c r="Z66" s="2418"/>
      <c r="AI66" s="2419"/>
    </row>
    <row r="67" spans="1:35" ht="14.25" customHeight="1">
      <c r="A67" s="203" t="s">
        <v>772</v>
      </c>
      <c r="B67" s="204" t="s">
        <v>2232</v>
      </c>
      <c r="C67" s="207">
        <f ca="1">C63-C66</f>
        <v>1329</v>
      </c>
      <c r="D67" s="200" t="s">
        <v>32</v>
      </c>
      <c r="E67" s="201"/>
      <c r="F67" s="2484"/>
      <c r="G67" s="2484"/>
      <c r="H67" s="2492"/>
      <c r="I67" s="138"/>
      <c r="J67" s="3158"/>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8"/>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8"/>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2" t="s">
        <v>2237</v>
      </c>
      <c r="B70" s="3153"/>
      <c r="C70" s="3153"/>
      <c r="D70" s="3153"/>
      <c r="E70" s="3153"/>
      <c r="F70" s="3153"/>
      <c r="G70" s="3153"/>
      <c r="H70" s="315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1329</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9" t="s">
        <v>2246</v>
      </c>
      <c r="F76" s="3150"/>
      <c r="G76" s="3150"/>
      <c r="H76" s="315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37" t="s">
        <v>2251</v>
      </c>
      <c r="F78" s="3138"/>
      <c r="G78" s="3138"/>
      <c r="H78" s="313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f ca="1">C72-C73</f>
        <v>1321</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2" t="s">
        <v>2255</v>
      </c>
      <c r="B83" s="3153"/>
      <c r="C83" s="3153"/>
      <c r="D83" s="3153"/>
      <c r="E83" s="3153"/>
      <c r="F83" s="3153"/>
      <c r="G83" s="3153"/>
      <c r="H83" s="315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1329</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37" t="s">
        <v>2264</v>
      </c>
      <c r="F91" s="3138"/>
      <c r="G91" s="3138"/>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37" t="s">
        <v>2268</v>
      </c>
      <c r="F92" s="3138"/>
      <c r="G92" s="3138"/>
      <c r="H92" s="313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37" t="s">
        <v>2251</v>
      </c>
      <c r="F93" s="3138"/>
      <c r="G93" s="3138"/>
      <c r="H93" s="313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40" t="s">
        <v>2272</v>
      </c>
      <c r="F94" s="3141"/>
      <c r="G94" s="3141"/>
      <c r="H94" s="314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f ca="1">ROUND(C85-C86,0)</f>
        <v>1321</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43"/>
      <c r="E100" s="3104" t="s">
        <v>2275</v>
      </c>
      <c r="F100" s="3104"/>
      <c r="G100" s="3104"/>
      <c r="H100" s="3143"/>
      <c r="I100" s="138"/>
    </row>
    <row r="101" spans="1:35" ht="18.75" customHeight="1">
      <c r="A101" s="3144" t="s">
        <v>2276</v>
      </c>
      <c r="B101" s="3145"/>
      <c r="C101" s="735" t="str">
        <f>C4</f>
        <v>比较法-办公</v>
      </c>
      <c r="D101" s="736" t="str">
        <f>D4</f>
        <v>收益法（办公）</v>
      </c>
      <c r="E101" s="3146" t="s">
        <v>2277</v>
      </c>
      <c r="F101" s="3128"/>
      <c r="G101" s="2515" t="s">
        <v>2278</v>
      </c>
      <c r="H101" s="1046">
        <f ca="1">H118</f>
        <v>1395</v>
      </c>
      <c r="I101" s="138"/>
    </row>
    <row r="102" spans="1:35" ht="18.75" customHeight="1">
      <c r="A102" s="3125" t="s">
        <v>2279</v>
      </c>
      <c r="B102" s="2515" t="s">
        <v>2278</v>
      </c>
      <c r="C102" s="735">
        <f ca="1">C19</f>
        <v>1665</v>
      </c>
      <c r="D102" s="736">
        <f ca="1">D19</f>
        <v>766</v>
      </c>
      <c r="E102" s="3146"/>
      <c r="F102" s="3128"/>
      <c r="G102" s="2515" t="s">
        <v>2280</v>
      </c>
      <c r="H102" s="371">
        <f ca="1">I118</f>
        <v>6111</v>
      </c>
      <c r="I102" s="138"/>
    </row>
    <row r="103" spans="1:35" ht="42.75" customHeight="1">
      <c r="A103" s="3125"/>
      <c r="B103" s="2515" t="s">
        <v>2280</v>
      </c>
      <c r="C103" s="737">
        <f ca="1">C20</f>
        <v>7293</v>
      </c>
      <c r="D103" s="738">
        <f ca="1">D20</f>
        <v>3355</v>
      </c>
      <c r="E103" s="3147" t="s">
        <v>2281</v>
      </c>
      <c r="F103" s="3148"/>
      <c r="G103" s="2516" t="s">
        <v>2282</v>
      </c>
      <c r="H103" s="1046">
        <f>IF(D36="正常操作",H104+H105+H106,H105+H106)</f>
        <v>0</v>
      </c>
      <c r="I103" s="138"/>
    </row>
    <row r="104" spans="1:35" ht="18.75" customHeight="1">
      <c r="A104" s="3125" t="s">
        <v>2283</v>
      </c>
      <c r="B104" s="2517" t="s">
        <v>2278</v>
      </c>
      <c r="C104" s="739">
        <f ca="1">H118</f>
        <v>1395</v>
      </c>
      <c r="D104" s="740"/>
      <c r="E104" s="2263" t="s">
        <v>2284</v>
      </c>
      <c r="F104" s="2255"/>
      <c r="G104" s="2516" t="s">
        <v>2282</v>
      </c>
      <c r="H104" s="1047">
        <f>IF(D36="同一抵押权人同一抵押物续贷",C36&amp;"（未扣减，详见特别提示）",C36)</f>
        <v>0</v>
      </c>
      <c r="I104" s="138"/>
    </row>
    <row r="105" spans="1:35" ht="18.75" customHeight="1" thickBot="1">
      <c r="A105" s="3126"/>
      <c r="B105" s="2518" t="s">
        <v>2280</v>
      </c>
      <c r="C105" s="741">
        <f ca="1">I118</f>
        <v>6111</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27" t="str">
        <f>IF(项目基本情况!E8="已注销","——","3.房地产抵押价值")</f>
        <v>3.房地产抵押价值</v>
      </c>
      <c r="F107" s="3128"/>
      <c r="G107" s="2515" t="s">
        <v>2278</v>
      </c>
      <c r="H107" s="1046">
        <f ca="1">IF(E107="——","——",H101-H103)</f>
        <v>1395</v>
      </c>
      <c r="I107" s="138"/>
    </row>
    <row r="108" spans="1:35" ht="18.75" customHeight="1">
      <c r="A108" s="138"/>
      <c r="B108" s="138"/>
      <c r="C108" s="138"/>
      <c r="D108" s="138"/>
      <c r="E108" s="3127"/>
      <c r="F108" s="3128"/>
      <c r="G108" s="2515" t="s">
        <v>2280</v>
      </c>
      <c r="H108" s="371">
        <f ca="1">ROUND(H107*10000/'数据-汇总表'!E3,0)</f>
        <v>6111</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5" t="s">
        <v>2278</v>
      </c>
      <c r="H109" s="348" t="str">
        <f>IF(E109="——","——",H101-H105-H106)</f>
        <v>——</v>
      </c>
      <c r="I109" s="138"/>
    </row>
    <row r="110" spans="1:35" ht="18.75" customHeight="1">
      <c r="A110" s="138"/>
      <c r="B110" s="138"/>
      <c r="C110" s="138"/>
      <c r="D110" s="138"/>
      <c r="E110" s="3127"/>
      <c r="F110" s="3128"/>
      <c r="G110" s="2515" t="s">
        <v>2280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2278</v>
      </c>
      <c r="H111" s="1046" t="str">
        <f>IF(E111="——","——",N59)</f>
        <v>——</v>
      </c>
      <c r="I111" s="138"/>
    </row>
    <row r="112" spans="1:35" ht="18.75" customHeight="1" thickBot="1">
      <c r="A112" s="138"/>
      <c r="B112" s="138"/>
      <c r="C112" s="138"/>
      <c r="D112" s="138"/>
      <c r="E112" s="3131"/>
      <c r="F112" s="3132"/>
      <c r="G112" s="2520" t="s">
        <v>2280</v>
      </c>
      <c r="H112" s="789" t="str">
        <f>IF(E111="——","——",N61)</f>
        <v>——</v>
      </c>
      <c r="I112" s="138"/>
    </row>
    <row r="113" spans="1:11" ht="18.75" customHeight="1">
      <c r="A113" s="138"/>
      <c r="B113" s="138"/>
      <c r="C113" s="138"/>
      <c r="D113" s="138"/>
      <c r="E113" s="3133" t="s">
        <v>2286</v>
      </c>
      <c r="F113" s="3133"/>
      <c r="G113" s="3133"/>
      <c r="H113" s="3133"/>
      <c r="I113" s="138"/>
    </row>
    <row r="114" spans="1:11" ht="3.75" customHeight="1">
      <c r="A114" s="2413"/>
      <c r="B114" s="2413"/>
      <c r="C114" s="2413"/>
      <c r="D114" s="2413"/>
      <c r="E114" s="2491"/>
      <c r="F114" s="2491"/>
      <c r="G114" s="2491"/>
      <c r="H114" s="2491"/>
      <c r="I114" s="2413"/>
    </row>
    <row r="115" spans="1:11" ht="18.75" customHeight="1">
      <c r="A115" s="3134" t="s">
        <v>2288</v>
      </c>
      <c r="B115" s="3135"/>
      <c r="C115" s="3135"/>
      <c r="D115" s="3135"/>
      <c r="E115" s="3135"/>
      <c r="F115" s="3135"/>
      <c r="G115" s="3135"/>
      <c r="H115" s="3135"/>
      <c r="I115" s="3136"/>
    </row>
    <row r="116" spans="1:11" ht="27" customHeight="1">
      <c r="A116" s="3082" t="s">
        <v>2289</v>
      </c>
      <c r="B116" s="3120" t="s">
        <v>2290</v>
      </c>
      <c r="C116" s="3120" t="s">
        <v>2291</v>
      </c>
      <c r="D116" s="3122" t="s">
        <v>2292</v>
      </c>
      <c r="E116" s="3123"/>
      <c r="F116" s="3124" t="s">
        <v>2293</v>
      </c>
      <c r="G116" s="3124"/>
      <c r="H116" s="3082" t="s">
        <v>2294</v>
      </c>
      <c r="I116" s="3082"/>
    </row>
    <row r="117" spans="1:11" ht="18.75" customHeight="1">
      <c r="A117" s="3082"/>
      <c r="B117" s="3121"/>
      <c r="C117" s="3121"/>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2282.61</v>
      </c>
      <c r="C118" s="1797">
        <f>M19</f>
        <v>602</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1395</v>
      </c>
      <c r="I118" s="1797">
        <f ca="1">ROUND(IF(D32="楼面单价",C32,H118*10000/B118),0)</f>
        <v>6111</v>
      </c>
    </row>
    <row r="119" spans="1:11" ht="18.75" customHeight="1">
      <c r="A119" s="3082" t="s">
        <v>2298</v>
      </c>
      <c r="B119" s="3082"/>
      <c r="C119" s="3082"/>
      <c r="D119" s="3109" t="e">
        <f ca="1">NUMBERSTRING(INT(D118*10000),2)&amp;"元整"</f>
        <v>#REF!</v>
      </c>
      <c r="E119" s="3111"/>
      <c r="F119" s="3109" t="e">
        <f ca="1">NUMBERSTRING(INT(F118*10000),2)&amp;"元整"</f>
        <v>#REF!</v>
      </c>
      <c r="G119" s="3111"/>
      <c r="H119" s="3109" t="str">
        <f ca="1">NUMBERSTRING(INT(H118*10000),2)&amp;"元整"</f>
        <v>壹仟叁佰玖拾伍万元整</v>
      </c>
      <c r="I119" s="3111"/>
    </row>
    <row r="120" spans="1:11" ht="18.75" customHeight="1">
      <c r="A120" s="3114" t="str">
        <f>IF(项目基本情况!B9="房地产市场价值","",MID(E103,3,LEN(E103)-2))</f>
        <v/>
      </c>
      <c r="B120" s="3115"/>
      <c r="C120" s="3116"/>
      <c r="D120" s="3114">
        <f>H103</f>
        <v>0</v>
      </c>
      <c r="E120" s="3115"/>
      <c r="F120" s="3115"/>
      <c r="G120" s="3115"/>
      <c r="H120" s="3115"/>
      <c r="I120" s="3116"/>
      <c r="K120" s="2418" t="str">
        <f>IF(D120=0,"故，本次评估不存在"&amp;A120,"故，本次评估"&amp;A120&amp;"为人民币"&amp;D120&amp;"万元整。")</f>
        <v>故，本次评估不存在</v>
      </c>
    </row>
    <row r="121" spans="1:11" ht="18.75" customHeight="1">
      <c r="A121" s="3117" t="s">
        <v>2298</v>
      </c>
      <c r="B121" s="3118"/>
      <c r="C121" s="3119"/>
      <c r="D121" s="3109" t="str">
        <f>IF(D120=0,"零元整",NUMBERSTRING(INT(D120*10000),2)&amp;"元整")</f>
        <v>零元整</v>
      </c>
      <c r="E121" s="3110"/>
      <c r="F121" s="3110"/>
      <c r="G121" s="3110"/>
      <c r="H121" s="3110"/>
      <c r="I121" s="3111"/>
    </row>
    <row r="122" spans="1:11" ht="18.75" customHeight="1">
      <c r="A122" s="3113" t="str">
        <f>IF(项目基本情况!B9="房地产市场价值","",MID(E107,3,LEN(E107)-2))</f>
        <v/>
      </c>
      <c r="B122" s="3113"/>
      <c r="C122" s="3113"/>
      <c r="D122" s="3114">
        <f ca="1">H107</f>
        <v>1395</v>
      </c>
      <c r="E122" s="3115"/>
      <c r="F122" s="3115"/>
      <c r="G122" s="3115"/>
      <c r="H122" s="3115"/>
      <c r="I122" s="3116"/>
    </row>
    <row r="123" spans="1:11" ht="18.75" customHeight="1">
      <c r="A123" s="3082" t="s">
        <v>2298</v>
      </c>
      <c r="B123" s="3082"/>
      <c r="C123" s="3082"/>
      <c r="D123" s="3109" t="str">
        <f ca="1">NUMBERSTRING(INT(D122*10000),2)&amp;"元整"</f>
        <v>壹仟叁佰玖拾伍万元整</v>
      </c>
      <c r="E123" s="3110"/>
      <c r="F123" s="3110"/>
      <c r="G123" s="3110"/>
      <c r="H123" s="3110"/>
      <c r="I123" s="3111"/>
    </row>
    <row r="124" spans="1:11" ht="18.75" customHeight="1">
      <c r="A124" s="3113" t="str">
        <f>IF(项目基本情况!B9="房地产市场价值","",MID(E109,3,LEN(E109)-2))</f>
        <v/>
      </c>
      <c r="B124" s="3113"/>
      <c r="C124" s="3113"/>
      <c r="D124" s="3114" t="str">
        <f>H109</f>
        <v>——</v>
      </c>
      <c r="E124" s="3115"/>
      <c r="F124" s="3115"/>
      <c r="G124" s="3115"/>
      <c r="H124" s="3115"/>
      <c r="I124" s="3116"/>
    </row>
    <row r="125" spans="1:11" ht="18.75" customHeight="1">
      <c r="A125" s="3082" t="s">
        <v>2298</v>
      </c>
      <c r="B125" s="3082"/>
      <c r="C125" s="3082"/>
      <c r="D125" s="3109" t="e">
        <f>NUMBERSTRING(INT(D124*10000),2)&amp;"元整"</f>
        <v>#VALUE!</v>
      </c>
      <c r="E125" s="3110"/>
      <c r="F125" s="3110"/>
      <c r="G125" s="3110"/>
      <c r="H125" s="3110"/>
      <c r="I125" s="3111"/>
    </row>
    <row r="126" spans="1:11" ht="18.75" customHeight="1">
      <c r="A126" s="3113" t="str">
        <f>IF(项目基本情况!B9="房地产市场价值","",MID(E111,3,LEN(E111)-2))</f>
        <v/>
      </c>
      <c r="B126" s="3113"/>
      <c r="C126" s="3113"/>
      <c r="D126" s="3114" t="str">
        <f>H111</f>
        <v>——</v>
      </c>
      <c r="E126" s="3115"/>
      <c r="F126" s="3115"/>
      <c r="G126" s="3115"/>
      <c r="H126" s="3115"/>
      <c r="I126" s="3116"/>
    </row>
    <row r="127" spans="1:11" ht="18.75" customHeight="1">
      <c r="A127" s="3082" t="s">
        <v>2298</v>
      </c>
      <c r="B127" s="3082"/>
      <c r="C127" s="3082"/>
      <c r="D127" s="3109" t="e">
        <f>NUMBERSTRING(INT(D126*10000),2)&amp;"元整"</f>
        <v>#VALUE!</v>
      </c>
      <c r="E127" s="3110"/>
      <c r="F127" s="3110"/>
      <c r="G127" s="3110"/>
      <c r="H127" s="3110"/>
      <c r="I127" s="3111"/>
    </row>
    <row r="128" spans="1:11" ht="21.75" customHeight="1">
      <c r="A128" s="3112" t="s">
        <v>2299</v>
      </c>
      <c r="B128" s="3112"/>
      <c r="C128" s="3112"/>
      <c r="D128" s="3112"/>
      <c r="E128" s="3112"/>
      <c r="F128" s="3112"/>
      <c r="G128" s="3112"/>
      <c r="H128" s="3112"/>
      <c r="I128" s="3112"/>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4" zoomScale="90" zoomScaleNormal="90" workbookViewId="0">
      <selection activeCell="F23" sqref="F2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3127</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1665</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7293</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29" t="s">
        <v>2632</v>
      </c>
      <c r="Q4" s="3230"/>
      <c r="R4" s="3211" t="s">
        <v>2628</v>
      </c>
      <c r="S4" s="3212"/>
      <c r="T4" s="3211" t="s">
        <v>2629</v>
      </c>
      <c r="U4" s="3212"/>
      <c r="V4" s="3237" t="s">
        <v>2630</v>
      </c>
      <c r="W4" s="3237"/>
      <c r="X4" s="2667"/>
      <c r="Y4" s="3211" t="s">
        <v>2632</v>
      </c>
      <c r="Z4" s="3212"/>
      <c r="AA4" s="3206" t="s">
        <v>2628</v>
      </c>
      <c r="AB4" s="3206" t="s">
        <v>2629</v>
      </c>
      <c r="AC4" s="3222" t="s">
        <v>2630</v>
      </c>
    </row>
    <row r="5" spans="1:29" ht="15">
      <c r="A5" s="404"/>
      <c r="B5" s="405"/>
      <c r="C5" s="3217" t="s">
        <v>3293</v>
      </c>
      <c r="D5" s="3218"/>
      <c r="E5" s="3215" t="s">
        <v>3294</v>
      </c>
      <c r="F5" s="3216"/>
      <c r="G5" s="3217" t="s">
        <v>3295</v>
      </c>
      <c r="H5" s="3218"/>
      <c r="I5" s="3217" t="s">
        <v>3305</v>
      </c>
      <c r="J5" s="3218"/>
      <c r="K5" s="610"/>
      <c r="L5" s="1131"/>
      <c r="M5" s="1132"/>
      <c r="N5" s="1132"/>
      <c r="O5" s="1132"/>
      <c r="P5" s="3231"/>
      <c r="Q5" s="3232"/>
      <c r="R5" s="3213"/>
      <c r="S5" s="3214"/>
      <c r="T5" s="3213"/>
      <c r="U5" s="3214"/>
      <c r="V5" s="3238"/>
      <c r="W5" s="3238"/>
      <c r="X5" s="1815"/>
      <c r="Y5" s="3213"/>
      <c r="Z5" s="3214"/>
      <c r="AA5" s="3207"/>
      <c r="AB5" s="3207"/>
      <c r="AC5" s="3223"/>
    </row>
    <row r="6" spans="1:29" ht="15.75" thickBot="1">
      <c r="A6" s="406"/>
      <c r="B6" s="407"/>
      <c r="C6" s="3219" t="s">
        <v>2778</v>
      </c>
      <c r="D6" s="3220"/>
      <c r="E6" s="3219" t="s">
        <v>2778</v>
      </c>
      <c r="F6" s="3220"/>
      <c r="G6" s="3219" t="s">
        <v>2778</v>
      </c>
      <c r="H6" s="3220"/>
      <c r="I6" s="3219" t="s">
        <v>2778</v>
      </c>
      <c r="J6" s="3220"/>
      <c r="K6" s="610" t="s">
        <v>2528</v>
      </c>
      <c r="L6" s="1131"/>
      <c r="M6" s="1132"/>
      <c r="N6" s="1132"/>
      <c r="O6" s="1132"/>
      <c r="P6" s="3233"/>
      <c r="Q6" s="3234"/>
      <c r="R6" s="3213"/>
      <c r="S6" s="3214"/>
      <c r="T6" s="3235"/>
      <c r="U6" s="3236"/>
      <c r="V6" s="3238"/>
      <c r="W6" s="3238"/>
      <c r="X6" s="1815"/>
      <c r="Y6" s="3235"/>
      <c r="Z6" s="3236"/>
      <c r="AA6" s="3208"/>
      <c r="AB6" s="3208"/>
      <c r="AC6" s="3224"/>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39" t="s">
        <v>2530</v>
      </c>
      <c r="Q7" s="3240"/>
      <c r="R7" s="769" t="s">
        <v>17</v>
      </c>
      <c r="S7" s="770">
        <f t="shared" ref="S7:S15" si="0">F7</f>
        <v>100</v>
      </c>
      <c r="T7" s="769" t="s">
        <v>17</v>
      </c>
      <c r="U7" s="770">
        <f t="shared" ref="U7:U15" si="1">H7</f>
        <v>100</v>
      </c>
      <c r="V7" s="769" t="s">
        <v>17</v>
      </c>
      <c r="W7" s="770">
        <f t="shared" ref="W7:W15" si="2">J7</f>
        <v>100</v>
      </c>
      <c r="X7" s="771"/>
      <c r="Y7" s="3209" t="s">
        <v>2530</v>
      </c>
      <c r="Z7" s="3210"/>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39" t="s">
        <v>2533</v>
      </c>
      <c r="Q8" s="3210"/>
      <c r="R8" s="769" t="s">
        <v>17</v>
      </c>
      <c r="S8" s="770">
        <f t="shared" si="0"/>
        <v>100</v>
      </c>
      <c r="T8" s="769" t="s">
        <v>17</v>
      </c>
      <c r="U8" s="770">
        <f t="shared" si="1"/>
        <v>100</v>
      </c>
      <c r="V8" s="769" t="s">
        <v>17</v>
      </c>
      <c r="W8" s="770">
        <f t="shared" si="2"/>
        <v>100</v>
      </c>
      <c r="X8" s="771"/>
      <c r="Y8" s="3209" t="s">
        <v>2533</v>
      </c>
      <c r="Z8" s="3210"/>
      <c r="AA8" s="772">
        <f t="shared" ref="AA8:AA47" si="3">D8/F8</f>
        <v>1</v>
      </c>
      <c r="AB8" s="772">
        <f t="shared" ref="AB8:AB47" si="4">D8/H8</f>
        <v>1</v>
      </c>
      <c r="AC8" s="2668">
        <f t="shared" ref="AC8:AC47" si="5">D8/J8</f>
        <v>1</v>
      </c>
    </row>
    <row r="9" spans="1:29" s="117" customFormat="1">
      <c r="A9" s="415" t="s">
        <v>2534</v>
      </c>
      <c r="B9" s="71" t="s">
        <v>2535</v>
      </c>
      <c r="C9" s="2983" t="s">
        <v>3128</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2668">
        <f t="shared" si="5"/>
        <v>1</v>
      </c>
    </row>
    <row r="10" spans="1:29" s="427" customFormat="1" ht="27.75" thickBot="1">
      <c r="A10" s="421"/>
      <c r="B10" s="422" t="s">
        <v>2538</v>
      </c>
      <c r="C10" s="423" t="s">
        <v>3296</v>
      </c>
      <c r="D10" s="136">
        <v>100</v>
      </c>
      <c r="E10" s="423" t="s">
        <v>3198</v>
      </c>
      <c r="F10" s="136">
        <f>SUMIF(66:66,E10,67:67)-SUMIF(66:66,C10,67:67)+100</f>
        <v>101</v>
      </c>
      <c r="G10" s="424" t="s">
        <v>3198</v>
      </c>
      <c r="H10" s="136">
        <f>SUMIF(66:66,G10,67:67)-SUMIF(66:66,C10,67:67)+100</f>
        <v>101</v>
      </c>
      <c r="I10" s="423" t="s">
        <v>3296</v>
      </c>
      <c r="J10" s="136">
        <f>SUMIF(66:66,I10,67:67)-SUMIF(66:66,C10,67:67)+100</f>
        <v>100</v>
      </c>
      <c r="K10" s="612">
        <v>1</v>
      </c>
      <c r="L10" s="1136"/>
      <c r="M10" s="1137"/>
      <c r="N10" s="1137"/>
      <c r="O10" s="1137"/>
      <c r="P10" s="3221"/>
      <c r="Q10" s="1797" t="str">
        <f t="shared" si="6"/>
        <v>土地使用年限（年）</v>
      </c>
      <c r="R10" s="769" t="s">
        <v>17</v>
      </c>
      <c r="S10" s="770">
        <f t="shared" si="0"/>
        <v>101</v>
      </c>
      <c r="T10" s="769" t="s">
        <v>17</v>
      </c>
      <c r="U10" s="770">
        <f t="shared" si="1"/>
        <v>101</v>
      </c>
      <c r="V10" s="769" t="s">
        <v>17</v>
      </c>
      <c r="W10" s="770">
        <f t="shared" si="2"/>
        <v>100</v>
      </c>
      <c r="X10" s="771"/>
      <c r="Y10" s="3082"/>
      <c r="Z10" s="55" t="str">
        <f t="shared" si="7"/>
        <v>土地使用年限（年）</v>
      </c>
      <c r="AA10" s="772">
        <f t="shared" si="3"/>
        <v>0.99009900990099009</v>
      </c>
      <c r="AB10" s="772">
        <f t="shared" si="4"/>
        <v>0.99009900990099009</v>
      </c>
      <c r="AC10" s="2668">
        <f t="shared" si="5"/>
        <v>1</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21"/>
      <c r="Q11" s="1797"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21"/>
      <c r="Q12" s="1797">
        <f t="shared" si="6"/>
        <v>0</v>
      </c>
      <c r="R12" s="769" t="s">
        <v>17</v>
      </c>
      <c r="S12" s="770">
        <f t="shared" si="0"/>
        <v>100</v>
      </c>
      <c r="T12" s="769" t="s">
        <v>17</v>
      </c>
      <c r="U12" s="770">
        <f t="shared" si="1"/>
        <v>100</v>
      </c>
      <c r="V12" s="769" t="s">
        <v>17</v>
      </c>
      <c r="W12" s="770">
        <f t="shared" si="2"/>
        <v>100</v>
      </c>
      <c r="X12" s="771"/>
      <c r="Y12" s="3082"/>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21"/>
      <c r="Q13" s="1797">
        <f t="shared" si="6"/>
        <v>0</v>
      </c>
      <c r="R13" s="769" t="s">
        <v>17</v>
      </c>
      <c r="S13" s="770">
        <f t="shared" si="0"/>
        <v>100</v>
      </c>
      <c r="T13" s="769" t="s">
        <v>17</v>
      </c>
      <c r="U13" s="770">
        <f t="shared" si="1"/>
        <v>100</v>
      </c>
      <c r="V13" s="769" t="s">
        <v>17</v>
      </c>
      <c r="W13" s="770">
        <f t="shared" si="2"/>
        <v>100</v>
      </c>
      <c r="X13" s="771"/>
      <c r="Y13" s="3082"/>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21"/>
      <c r="Q14" s="1797">
        <f t="shared" si="6"/>
        <v>0</v>
      </c>
      <c r="R14" s="769" t="s">
        <v>17</v>
      </c>
      <c r="S14" s="770">
        <f t="shared" si="0"/>
        <v>100</v>
      </c>
      <c r="T14" s="769" t="s">
        <v>17</v>
      </c>
      <c r="U14" s="770">
        <f t="shared" si="1"/>
        <v>100</v>
      </c>
      <c r="V14" s="769" t="s">
        <v>17</v>
      </c>
      <c r="W14" s="770">
        <f t="shared" si="2"/>
        <v>100</v>
      </c>
      <c r="X14" s="771"/>
      <c r="Y14" s="3082"/>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41" t="s">
        <v>2541</v>
      </c>
      <c r="Q15" s="1812" t="str">
        <f t="shared" si="6"/>
        <v>办公集聚程度</v>
      </c>
      <c r="R15" s="773" t="s">
        <v>17</v>
      </c>
      <c r="S15" s="774">
        <f t="shared" si="0"/>
        <v>100</v>
      </c>
      <c r="T15" s="773" t="s">
        <v>17</v>
      </c>
      <c r="U15" s="774">
        <f t="shared" si="1"/>
        <v>100</v>
      </c>
      <c r="V15" s="773" t="s">
        <v>17</v>
      </c>
      <c r="W15" s="774">
        <f t="shared" si="2"/>
        <v>100</v>
      </c>
      <c r="X15" s="1815"/>
      <c r="Y15" s="3243" t="s">
        <v>2541</v>
      </c>
      <c r="Z15" s="1816" t="str">
        <f t="shared" si="7"/>
        <v>办公集聚程度</v>
      </c>
      <c r="AA15" s="1813">
        <f t="shared" si="3"/>
        <v>1</v>
      </c>
      <c r="AB15" s="1813">
        <f t="shared" si="4"/>
        <v>1</v>
      </c>
      <c r="AC15" s="2671">
        <f t="shared" si="5"/>
        <v>1</v>
      </c>
    </row>
    <row r="16" spans="1:29" ht="15">
      <c r="A16" s="428"/>
      <c r="B16" s="630"/>
      <c r="C16" s="2608" t="s">
        <v>3130</v>
      </c>
      <c r="D16" s="448"/>
      <c r="E16" s="447" t="s">
        <v>3130</v>
      </c>
      <c r="F16" s="448"/>
      <c r="G16" s="2608" t="s">
        <v>3130</v>
      </c>
      <c r="H16" s="450"/>
      <c r="I16" s="447" t="s">
        <v>3130</v>
      </c>
      <c r="J16" s="448"/>
      <c r="K16" s="615"/>
      <c r="L16" s="1141"/>
      <c r="M16" s="1132"/>
      <c r="N16" s="1132"/>
      <c r="O16" s="1132"/>
      <c r="P16" s="3242"/>
      <c r="Q16" s="1812"/>
      <c r="R16" s="773"/>
      <c r="S16" s="774"/>
      <c r="T16" s="773"/>
      <c r="U16" s="774"/>
      <c r="V16" s="773"/>
      <c r="W16" s="774"/>
      <c r="X16" s="1815"/>
      <c r="Y16" s="3244"/>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42"/>
      <c r="Q17" s="1812" t="str">
        <f>B17</f>
        <v>交通便捷度</v>
      </c>
      <c r="R17" s="773" t="s">
        <v>17</v>
      </c>
      <c r="S17" s="774">
        <f>F17</f>
        <v>98</v>
      </c>
      <c r="T17" s="773" t="s">
        <v>17</v>
      </c>
      <c r="U17" s="774">
        <f>H17</f>
        <v>98</v>
      </c>
      <c r="V17" s="773" t="s">
        <v>17</v>
      </c>
      <c r="W17" s="774">
        <f>J17</f>
        <v>100</v>
      </c>
      <c r="X17" s="1815"/>
      <c r="Y17" s="3244"/>
      <c r="Z17" s="1816" t="str">
        <f>Q17</f>
        <v>交通便捷度</v>
      </c>
      <c r="AA17" s="1813">
        <f t="shared" si="3"/>
        <v>1.0204081632653061</v>
      </c>
      <c r="AB17" s="1813">
        <f t="shared" si="4"/>
        <v>1.0204081632653061</v>
      </c>
      <c r="AC17" s="2671">
        <f t="shared" si="5"/>
        <v>1</v>
      </c>
    </row>
    <row r="18" spans="1:29" ht="15">
      <c r="A18" s="428"/>
      <c r="B18" s="632"/>
      <c r="C18" s="2673" t="s">
        <v>3130</v>
      </c>
      <c r="D18" s="450"/>
      <c r="E18" s="2605" t="s">
        <v>3171</v>
      </c>
      <c r="F18" s="450"/>
      <c r="G18" s="2607" t="s">
        <v>3171</v>
      </c>
      <c r="H18" s="448"/>
      <c r="I18" s="2607" t="s">
        <v>3130</v>
      </c>
      <c r="J18" s="448"/>
      <c r="K18" s="615"/>
      <c r="L18" s="1141"/>
      <c r="M18" s="1132"/>
      <c r="N18" s="1132"/>
      <c r="O18" s="1132"/>
      <c r="P18" s="3242"/>
      <c r="Q18" s="1812"/>
      <c r="R18" s="773"/>
      <c r="S18" s="774"/>
      <c r="T18" s="773"/>
      <c r="U18" s="774"/>
      <c r="V18" s="773"/>
      <c r="W18" s="774"/>
      <c r="X18" s="1815"/>
      <c r="Y18" s="3244"/>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42"/>
      <c r="Q19" s="1812" t="str">
        <f>B19</f>
        <v>公共配套设施</v>
      </c>
      <c r="R19" s="773" t="s">
        <v>17</v>
      </c>
      <c r="S19" s="774">
        <f>F19</f>
        <v>98</v>
      </c>
      <c r="T19" s="773" t="s">
        <v>17</v>
      </c>
      <c r="U19" s="774">
        <f>H19</f>
        <v>98</v>
      </c>
      <c r="V19" s="773" t="s">
        <v>17</v>
      </c>
      <c r="W19" s="774">
        <f>J19</f>
        <v>100</v>
      </c>
      <c r="X19" s="1815"/>
      <c r="Y19" s="3244"/>
      <c r="Z19" s="1816" t="str">
        <f>Q19</f>
        <v>公共配套设施</v>
      </c>
      <c r="AA19" s="1813">
        <f t="shared" si="3"/>
        <v>1.0204081632653061</v>
      </c>
      <c r="AB19" s="1813">
        <f t="shared" si="4"/>
        <v>1.0204081632653061</v>
      </c>
      <c r="AC19" s="2671">
        <f t="shared" si="5"/>
        <v>1</v>
      </c>
    </row>
    <row r="20" spans="1:29" ht="15">
      <c r="A20" s="428"/>
      <c r="B20" s="632"/>
      <c r="C20" s="2608" t="s">
        <v>3131</v>
      </c>
      <c r="D20" s="448"/>
      <c r="E20" s="2601" t="s">
        <v>3130</v>
      </c>
      <c r="F20" s="448"/>
      <c r="G20" s="2602" t="s">
        <v>3130</v>
      </c>
      <c r="H20" s="448"/>
      <c r="I20" s="2602" t="s">
        <v>3131</v>
      </c>
      <c r="J20" s="448"/>
      <c r="K20" s="615"/>
      <c r="L20" s="1141"/>
      <c r="M20" s="1132"/>
      <c r="N20" s="1132"/>
      <c r="O20" s="1132"/>
      <c r="P20" s="3242"/>
      <c r="Q20" s="1812"/>
      <c r="R20" s="773"/>
      <c r="S20" s="774"/>
      <c r="T20" s="773"/>
      <c r="U20" s="774"/>
      <c r="V20" s="773"/>
      <c r="W20" s="774"/>
      <c r="X20" s="1815"/>
      <c r="Y20" s="3244"/>
      <c r="Z20" s="1816"/>
      <c r="AA20" s="1813">
        <v>1</v>
      </c>
      <c r="AB20" s="1813">
        <v>1</v>
      </c>
      <c r="AC20" s="2671">
        <v>1</v>
      </c>
    </row>
    <row r="21" spans="1:29" ht="15">
      <c r="A21" s="428"/>
      <c r="B21" s="633" t="s">
        <v>2670</v>
      </c>
      <c r="C21" s="2672" t="str">
        <f>估价对象房地状况!C8</f>
        <v>七通</v>
      </c>
      <c r="D21" s="450">
        <v>100</v>
      </c>
      <c r="E21" s="2993" t="s">
        <v>3162</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2671">
        <f t="shared" ref="AC21" si="10">D21/J21</f>
        <v>1</v>
      </c>
    </row>
    <row r="22" spans="1:29" ht="15">
      <c r="A22" s="428"/>
      <c r="B22" s="633"/>
      <c r="C22" s="2673" t="s">
        <v>3122</v>
      </c>
      <c r="D22" s="448"/>
      <c r="E22" s="447" t="s">
        <v>3122</v>
      </c>
      <c r="F22" s="448"/>
      <c r="G22" s="2608" t="s">
        <v>3122</v>
      </c>
      <c r="H22" s="448"/>
      <c r="I22" s="2608" t="s">
        <v>3122</v>
      </c>
      <c r="J22" s="448"/>
      <c r="K22" s="1384"/>
      <c r="L22" s="1141"/>
      <c r="M22" s="1132"/>
      <c r="N22" s="1132"/>
      <c r="O22" s="1132"/>
      <c r="P22" s="3242"/>
      <c r="Q22" s="1812"/>
      <c r="R22" s="773"/>
      <c r="S22" s="774"/>
      <c r="T22" s="773"/>
      <c r="U22" s="774"/>
      <c r="V22" s="773"/>
      <c r="W22" s="774"/>
      <c r="X22" s="1815"/>
      <c r="Y22" s="3244"/>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42"/>
      <c r="Q23" s="1812" t="str">
        <f>B23</f>
        <v>环境质量</v>
      </c>
      <c r="R23" s="773" t="s">
        <v>17</v>
      </c>
      <c r="S23" s="774">
        <f>F23</f>
        <v>100</v>
      </c>
      <c r="T23" s="773" t="s">
        <v>17</v>
      </c>
      <c r="U23" s="774">
        <f>H23</f>
        <v>100</v>
      </c>
      <c r="V23" s="773" t="s">
        <v>17</v>
      </c>
      <c r="W23" s="774">
        <f>J23</f>
        <v>100</v>
      </c>
      <c r="X23" s="1815"/>
      <c r="Y23" s="3244"/>
      <c r="Z23" s="1816" t="str">
        <f>Q23</f>
        <v>环境质量</v>
      </c>
      <c r="AA23" s="1813">
        <f t="shared" si="3"/>
        <v>1</v>
      </c>
      <c r="AB23" s="1813">
        <f t="shared" si="4"/>
        <v>1</v>
      </c>
      <c r="AC23" s="2671">
        <f t="shared" si="5"/>
        <v>1</v>
      </c>
    </row>
    <row r="24" spans="1:29" ht="15">
      <c r="A24" s="428"/>
      <c r="B24" s="633"/>
      <c r="C24" s="2608" t="s">
        <v>3130</v>
      </c>
      <c r="D24" s="448"/>
      <c r="E24" s="2601" t="s">
        <v>3130</v>
      </c>
      <c r="F24" s="448"/>
      <c r="G24" s="2602" t="s">
        <v>3130</v>
      </c>
      <c r="H24" s="448"/>
      <c r="I24" s="2602" t="s">
        <v>3130</v>
      </c>
      <c r="J24" s="448"/>
      <c r="K24" s="615"/>
      <c r="L24" s="1141"/>
      <c r="M24" s="1132"/>
      <c r="N24" s="1132"/>
      <c r="O24" s="1132"/>
      <c r="P24" s="3242"/>
      <c r="Q24" s="1812"/>
      <c r="R24" s="773"/>
      <c r="S24" s="774"/>
      <c r="T24" s="773"/>
      <c r="U24" s="774"/>
      <c r="V24" s="773"/>
      <c r="W24" s="774"/>
      <c r="X24" s="1815"/>
      <c r="Y24" s="3244"/>
      <c r="Z24" s="1816"/>
      <c r="AA24" s="1813">
        <v>1</v>
      </c>
      <c r="AB24" s="1813">
        <v>1</v>
      </c>
      <c r="AC24" s="2671">
        <v>1</v>
      </c>
    </row>
    <row r="25" spans="1:29" ht="27">
      <c r="A25" s="404"/>
      <c r="B25" s="631" t="s">
        <v>2672</v>
      </c>
      <c r="C25" s="2995" t="s">
        <v>3172</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42"/>
      <c r="Q25" s="1812" t="str">
        <f>B25</f>
        <v>毗邻道路的类型与等级</v>
      </c>
      <c r="R25" s="773" t="s">
        <v>17</v>
      </c>
      <c r="S25" s="774">
        <f>F25</f>
        <v>100</v>
      </c>
      <c r="T25" s="773" t="s">
        <v>17</v>
      </c>
      <c r="U25" s="774">
        <f>H25</f>
        <v>100</v>
      </c>
      <c r="V25" s="773" t="s">
        <v>17</v>
      </c>
      <c r="W25" s="774">
        <f>J25</f>
        <v>100</v>
      </c>
      <c r="X25" s="1815"/>
      <c r="Y25" s="3244"/>
      <c r="Z25" s="1816" t="str">
        <f>Q25</f>
        <v>毗邻道路的类型与等级</v>
      </c>
      <c r="AA25" s="1813">
        <f t="shared" si="3"/>
        <v>1</v>
      </c>
      <c r="AB25" s="1813">
        <f t="shared" si="4"/>
        <v>1</v>
      </c>
      <c r="AC25" s="2671">
        <f t="shared" si="5"/>
        <v>1</v>
      </c>
    </row>
    <row r="26" spans="1:29" ht="15">
      <c r="A26" s="404"/>
      <c r="B26" s="632"/>
      <c r="C26" s="634" t="s">
        <v>3135</v>
      </c>
      <c r="D26" s="435"/>
      <c r="E26" s="616" t="s">
        <v>3135</v>
      </c>
      <c r="F26" s="435"/>
      <c r="G26" s="634" t="s">
        <v>3135</v>
      </c>
      <c r="H26" s="435"/>
      <c r="I26" s="616" t="s">
        <v>3135</v>
      </c>
      <c r="J26" s="435"/>
      <c r="K26" s="615"/>
      <c r="L26" s="1141"/>
      <c r="M26" s="1132"/>
      <c r="N26" s="1132"/>
      <c r="O26" s="1132"/>
      <c r="P26" s="3242"/>
      <c r="Q26" s="1812"/>
      <c r="R26" s="773"/>
      <c r="S26" s="774"/>
      <c r="T26" s="773"/>
      <c r="U26" s="774"/>
      <c r="V26" s="773"/>
      <c r="W26" s="774"/>
      <c r="X26" s="1815"/>
      <c r="Y26" s="3244"/>
      <c r="Z26" s="1816"/>
      <c r="AA26" s="1813">
        <v>1</v>
      </c>
      <c r="AB26" s="1813">
        <v>1</v>
      </c>
      <c r="AC26" s="2671">
        <v>1</v>
      </c>
    </row>
    <row r="27" spans="1:29" ht="15.75" thickBot="1">
      <c r="A27" s="428"/>
      <c r="B27" s="632" t="s">
        <v>2640</v>
      </c>
      <c r="C27" s="634" t="s">
        <v>3142</v>
      </c>
      <c r="D27" s="435">
        <v>100</v>
      </c>
      <c r="E27" s="616" t="s">
        <v>3142</v>
      </c>
      <c r="F27" s="435">
        <f>SUMIF(89:89,E27,90:90)-SUMIF(89:89,C27,90:90)+100</f>
        <v>100</v>
      </c>
      <c r="G27" s="634" t="s">
        <v>3297</v>
      </c>
      <c r="H27" s="435">
        <f>SUMIF(89:89,G27,90:90)-SUMIF(89:89,C27,90:90)+100</f>
        <v>98</v>
      </c>
      <c r="I27" s="616" t="s">
        <v>3140</v>
      </c>
      <c r="J27" s="435">
        <f>SUMIF(89:89,I27,90:90)-SUMIF(89:89,C27,90:90)+100</f>
        <v>102</v>
      </c>
      <c r="K27" s="612">
        <v>2</v>
      </c>
      <c r="L27" s="1141"/>
      <c r="M27" s="1132"/>
      <c r="N27" s="1132"/>
      <c r="O27" s="1132"/>
      <c r="P27" s="3242"/>
      <c r="Q27" s="1812" t="str">
        <f t="shared" ref="Q27:Q47" si="11">B27</f>
        <v>楼层</v>
      </c>
      <c r="R27" s="773" t="s">
        <v>17</v>
      </c>
      <c r="S27" s="774">
        <f>F27</f>
        <v>100</v>
      </c>
      <c r="T27" s="773" t="s">
        <v>17</v>
      </c>
      <c r="U27" s="774">
        <f>H27</f>
        <v>98</v>
      </c>
      <c r="V27" s="773" t="s">
        <v>17</v>
      </c>
      <c r="W27" s="774">
        <f>J27</f>
        <v>102</v>
      </c>
      <c r="X27" s="1815"/>
      <c r="Y27" s="3244"/>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42"/>
      <c r="Q28" s="1797" t="str">
        <f t="shared" si="11"/>
        <v>朝向</v>
      </c>
      <c r="R28" s="769" t="s">
        <v>17</v>
      </c>
      <c r="S28" s="770">
        <f>F28</f>
        <v>100</v>
      </c>
      <c r="T28" s="769" t="s">
        <v>17</v>
      </c>
      <c r="U28" s="770">
        <f>H28</f>
        <v>100</v>
      </c>
      <c r="V28" s="769" t="s">
        <v>17</v>
      </c>
      <c r="W28" s="770">
        <f>J28</f>
        <v>100</v>
      </c>
      <c r="X28" s="771"/>
      <c r="Y28" s="3244"/>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42"/>
      <c r="Q29" s="1812">
        <f t="shared" si="11"/>
        <v>111</v>
      </c>
      <c r="R29" s="773" t="s">
        <v>17</v>
      </c>
      <c r="S29" s="774">
        <f t="shared" ref="S29:S47" si="12">F29</f>
        <v>100</v>
      </c>
      <c r="T29" s="773" t="s">
        <v>17</v>
      </c>
      <c r="U29" s="774">
        <f t="shared" ref="U29:U47" si="13">H29</f>
        <v>100</v>
      </c>
      <c r="V29" s="773" t="s">
        <v>17</v>
      </c>
      <c r="W29" s="774">
        <f t="shared" ref="W29:W47" si="14">J29</f>
        <v>100</v>
      </c>
      <c r="X29" s="1815"/>
      <c r="Y29" s="3244"/>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42"/>
      <c r="Q30" s="1812">
        <f t="shared" si="11"/>
        <v>111</v>
      </c>
      <c r="R30" s="773" t="s">
        <v>17</v>
      </c>
      <c r="S30" s="774">
        <f t="shared" si="12"/>
        <v>100</v>
      </c>
      <c r="T30" s="773" t="s">
        <v>17</v>
      </c>
      <c r="U30" s="774">
        <f t="shared" si="13"/>
        <v>100</v>
      </c>
      <c r="V30" s="773" t="s">
        <v>17</v>
      </c>
      <c r="W30" s="774">
        <f t="shared" si="14"/>
        <v>100</v>
      </c>
      <c r="X30" s="1815"/>
      <c r="Y30" s="3244"/>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42"/>
      <c r="Q31" s="1812">
        <f t="shared" si="11"/>
        <v>111</v>
      </c>
      <c r="R31" s="773" t="s">
        <v>17</v>
      </c>
      <c r="S31" s="774">
        <f t="shared" si="12"/>
        <v>100</v>
      </c>
      <c r="T31" s="773" t="s">
        <v>17</v>
      </c>
      <c r="U31" s="774">
        <f t="shared" si="13"/>
        <v>100</v>
      </c>
      <c r="V31" s="773" t="s">
        <v>17</v>
      </c>
      <c r="W31" s="774">
        <f t="shared" si="14"/>
        <v>100</v>
      </c>
      <c r="X31" s="1815"/>
      <c r="Y31" s="3244"/>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42"/>
      <c r="Q32" s="1812">
        <f t="shared" si="11"/>
        <v>111</v>
      </c>
      <c r="R32" s="773" t="s">
        <v>17</v>
      </c>
      <c r="S32" s="774">
        <f t="shared" si="12"/>
        <v>100</v>
      </c>
      <c r="T32" s="773" t="s">
        <v>17</v>
      </c>
      <c r="U32" s="774">
        <f t="shared" si="13"/>
        <v>100</v>
      </c>
      <c r="V32" s="773" t="s">
        <v>17</v>
      </c>
      <c r="W32" s="774">
        <f t="shared" si="14"/>
        <v>100</v>
      </c>
      <c r="X32" s="1815"/>
      <c r="Y32" s="3244"/>
      <c r="Z32" s="1816">
        <f t="shared" si="15"/>
        <v>111</v>
      </c>
      <c r="AA32" s="1813">
        <f t="shared" si="3"/>
        <v>1</v>
      </c>
      <c r="AB32" s="1813">
        <f t="shared" si="4"/>
        <v>1</v>
      </c>
      <c r="AC32" s="2671">
        <f t="shared" si="5"/>
        <v>1</v>
      </c>
    </row>
    <row r="33" spans="1:29" ht="15">
      <c r="A33" s="440" t="s">
        <v>2544</v>
      </c>
      <c r="B33" s="71" t="s">
        <v>2674</v>
      </c>
      <c r="C33" s="2676" t="s">
        <v>3298</v>
      </c>
      <c r="D33" s="467">
        <v>100</v>
      </c>
      <c r="E33" s="2676" t="s">
        <v>3298</v>
      </c>
      <c r="F33" s="461">
        <f>SUMIF(101:101,E33,102:102)-SUMIF(101:101,C33,102:102)+100</f>
        <v>100</v>
      </c>
      <c r="G33" s="2676" t="s">
        <v>3298</v>
      </c>
      <c r="H33" s="435">
        <f>SUMIF(101:101,G33,102:102)-SUMIF(101:101,C33,102:102)+100</f>
        <v>100</v>
      </c>
      <c r="I33" s="2676" t="s">
        <v>3300</v>
      </c>
      <c r="J33" s="467">
        <f>SUMIF(101:101,I33,102:102)-SUMIF(101:101,C33,102:102)+100</f>
        <v>98</v>
      </c>
      <c r="K33" s="612">
        <v>2</v>
      </c>
      <c r="L33" s="1141"/>
      <c r="M33" s="1132"/>
      <c r="N33" s="1132"/>
      <c r="O33" s="1132"/>
      <c r="P33" s="3245" t="s">
        <v>2546</v>
      </c>
      <c r="Q33" s="1812" t="str">
        <f t="shared" si="11"/>
        <v>建筑类型</v>
      </c>
      <c r="R33" s="773" t="s">
        <v>17</v>
      </c>
      <c r="S33" s="774">
        <f t="shared" si="12"/>
        <v>100</v>
      </c>
      <c r="T33" s="773" t="s">
        <v>17</v>
      </c>
      <c r="U33" s="774">
        <f t="shared" si="13"/>
        <v>100</v>
      </c>
      <c r="V33" s="773" t="s">
        <v>17</v>
      </c>
      <c r="W33" s="774">
        <f t="shared" si="14"/>
        <v>98</v>
      </c>
      <c r="X33" s="1815"/>
      <c r="Y33" s="3248"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46"/>
      <c r="Q34" s="775" t="str">
        <f t="shared" si="11"/>
        <v>项目建筑规模</v>
      </c>
      <c r="R34" s="776" t="s">
        <v>17</v>
      </c>
      <c r="S34" s="777">
        <f t="shared" si="12"/>
        <v>103</v>
      </c>
      <c r="T34" s="776" t="s">
        <v>17</v>
      </c>
      <c r="U34" s="777">
        <f t="shared" si="13"/>
        <v>100</v>
      </c>
      <c r="V34" s="776" t="s">
        <v>17</v>
      </c>
      <c r="W34" s="777">
        <f t="shared" si="14"/>
        <v>100</v>
      </c>
      <c r="X34" s="778"/>
      <c r="Y34" s="3248"/>
      <c r="Z34" s="779" t="str">
        <f t="shared" si="15"/>
        <v>项目建筑规模</v>
      </c>
      <c r="AA34" s="1813">
        <f t="shared" si="3"/>
        <v>0.970873786407767</v>
      </c>
      <c r="AB34" s="1813">
        <f t="shared" si="4"/>
        <v>1</v>
      </c>
      <c r="AC34" s="2671">
        <f t="shared" si="5"/>
        <v>1</v>
      </c>
    </row>
    <row r="35" spans="1:29" ht="15">
      <c r="A35" s="472"/>
      <c r="B35" s="422" t="s">
        <v>2548</v>
      </c>
      <c r="C35" s="460" t="s">
        <v>3302</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46"/>
      <c r="Q35" s="1812" t="str">
        <f t="shared" si="11"/>
        <v>建筑结构</v>
      </c>
      <c r="R35" s="773" t="s">
        <v>17</v>
      </c>
      <c r="S35" s="774">
        <f t="shared" si="12"/>
        <v>102</v>
      </c>
      <c r="T35" s="773" t="s">
        <v>17</v>
      </c>
      <c r="U35" s="774">
        <f t="shared" si="13"/>
        <v>102</v>
      </c>
      <c r="V35" s="773" t="s">
        <v>17</v>
      </c>
      <c r="W35" s="774">
        <f t="shared" si="14"/>
        <v>102</v>
      </c>
      <c r="X35" s="1815"/>
      <c r="Y35" s="3248"/>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3304</v>
      </c>
      <c r="D36" s="435">
        <v>100</v>
      </c>
      <c r="E36" s="460" t="s">
        <v>3151</v>
      </c>
      <c r="F36" s="461">
        <f>SUMIF(108:108,E36,109:109)-SUMIF(108:108,C36,109:109)+100</f>
        <v>98</v>
      </c>
      <c r="G36" s="460" t="s">
        <v>3151</v>
      </c>
      <c r="H36" s="435">
        <f>SUMIF(108:108,G36,109:109)-SUMIF(108:108,C36,109:109)+100</f>
        <v>98</v>
      </c>
      <c r="I36" s="460" t="s">
        <v>3304</v>
      </c>
      <c r="J36" s="435">
        <f>SUMIF(108:108,I36,109:109)-SUMIF(108:108,C36,109:109)+100</f>
        <v>100</v>
      </c>
      <c r="K36" s="612">
        <v>2</v>
      </c>
      <c r="L36" s="1141"/>
      <c r="M36" s="1132"/>
      <c r="N36" s="1132"/>
      <c r="O36" s="1132"/>
      <c r="P36" s="3246"/>
      <c r="Q36" s="1812" t="str">
        <f t="shared" si="11"/>
        <v>公共部分装修</v>
      </c>
      <c r="R36" s="773" t="s">
        <v>17</v>
      </c>
      <c r="S36" s="774">
        <f t="shared" si="12"/>
        <v>98</v>
      </c>
      <c r="T36" s="773" t="s">
        <v>17</v>
      </c>
      <c r="U36" s="774">
        <f t="shared" si="13"/>
        <v>98</v>
      </c>
      <c r="V36" s="773" t="s">
        <v>17</v>
      </c>
      <c r="W36" s="774">
        <f t="shared" si="14"/>
        <v>100</v>
      </c>
      <c r="X36" s="1815"/>
      <c r="Y36" s="3248"/>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46"/>
      <c r="Q37" s="1812" t="str">
        <f t="shared" si="11"/>
        <v>成新度</v>
      </c>
      <c r="R37" s="773" t="s">
        <v>17</v>
      </c>
      <c r="S37" s="774">
        <f t="shared" si="12"/>
        <v>100</v>
      </c>
      <c r="T37" s="773" t="s">
        <v>17</v>
      </c>
      <c r="U37" s="774">
        <f t="shared" si="13"/>
        <v>100</v>
      </c>
      <c r="V37" s="773" t="s">
        <v>17</v>
      </c>
      <c r="W37" s="774">
        <f t="shared" si="14"/>
        <v>99</v>
      </c>
      <c r="X37" s="1815"/>
      <c r="Y37" s="3248"/>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46"/>
      <c r="Q38" s="1797" t="str">
        <f t="shared" si="11"/>
        <v>写字楼等级</v>
      </c>
      <c r="R38" s="769" t="s">
        <v>17</v>
      </c>
      <c r="S38" s="770">
        <f t="shared" si="12"/>
        <v>100</v>
      </c>
      <c r="T38" s="769" t="s">
        <v>17</v>
      </c>
      <c r="U38" s="770">
        <f t="shared" si="13"/>
        <v>100</v>
      </c>
      <c r="V38" s="769" t="s">
        <v>17</v>
      </c>
      <c r="W38" s="770">
        <f t="shared" si="14"/>
        <v>100</v>
      </c>
      <c r="X38" s="771"/>
      <c r="Y38" s="3248"/>
      <c r="Z38" s="55" t="str">
        <f t="shared" si="15"/>
        <v>写字楼等级</v>
      </c>
      <c r="AA38" s="772">
        <f t="shared" si="3"/>
        <v>1</v>
      </c>
      <c r="AB38" s="772">
        <f t="shared" si="4"/>
        <v>1</v>
      </c>
      <c r="AC38" s="2668">
        <f t="shared" si="5"/>
        <v>1</v>
      </c>
    </row>
    <row r="39" spans="1:29" ht="15">
      <c r="A39" s="472"/>
      <c r="B39" s="422" t="s">
        <v>2676</v>
      </c>
      <c r="C39" s="460" t="s">
        <v>3306</v>
      </c>
      <c r="D39" s="435">
        <v>100</v>
      </c>
      <c r="E39" s="460" t="s">
        <v>3159</v>
      </c>
      <c r="F39" s="461">
        <f>SUMIF(115:115,E39,116:116)-SUMIF(115:115,C39,116:116)+100</f>
        <v>102</v>
      </c>
      <c r="G39" s="460" t="s">
        <v>3159</v>
      </c>
      <c r="H39" s="435">
        <f>SUMIF(115:115,G39,116:116)-SUMIF(115:115,C39,116:116)+100</f>
        <v>102</v>
      </c>
      <c r="I39" s="460" t="s">
        <v>3306</v>
      </c>
      <c r="J39" s="435">
        <f>SUMIF(115:115,I39,116:116)-SUMIF(115:115,C39,116:116)+100</f>
        <v>100</v>
      </c>
      <c r="K39" s="612">
        <v>2</v>
      </c>
      <c r="L39" s="1141"/>
      <c r="M39" s="1132"/>
      <c r="N39" s="1132"/>
      <c r="O39" s="1132"/>
      <c r="P39" s="3246" t="s">
        <v>2546</v>
      </c>
      <c r="Q39" s="1812" t="str">
        <f t="shared" si="11"/>
        <v>物业管理</v>
      </c>
      <c r="R39" s="773" t="s">
        <v>17</v>
      </c>
      <c r="S39" s="774">
        <f t="shared" si="12"/>
        <v>102</v>
      </c>
      <c r="T39" s="773" t="s">
        <v>17</v>
      </c>
      <c r="U39" s="774">
        <f t="shared" si="13"/>
        <v>102</v>
      </c>
      <c r="V39" s="773" t="s">
        <v>17</v>
      </c>
      <c r="W39" s="774">
        <f t="shared" si="14"/>
        <v>100</v>
      </c>
      <c r="X39" s="1815"/>
      <c r="Y39" s="3248"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3164</v>
      </c>
      <c r="D40" s="435">
        <v>100</v>
      </c>
      <c r="E40" s="460" t="s">
        <v>3164</v>
      </c>
      <c r="F40" s="461">
        <f>SUMIF(117:117,E40,118:118)-SUMIF(117:117,C40,118:118)+100</f>
        <v>100</v>
      </c>
      <c r="G40" s="460" t="s">
        <v>3164</v>
      </c>
      <c r="H40" s="435">
        <f>SUMIF(117:117,G40,118:118)-SUMIF(117:117,C40,118:118)+100</f>
        <v>100</v>
      </c>
      <c r="I40" s="460" t="s">
        <v>3164</v>
      </c>
      <c r="J40" s="435">
        <f>SUMIF(117:117,I40,118:118)-SUMIF(117:117,C40,118:118)+100</f>
        <v>100</v>
      </c>
      <c r="K40" s="612">
        <v>1</v>
      </c>
      <c r="L40" s="1141"/>
      <c r="M40" s="1132"/>
      <c r="N40" s="1132"/>
      <c r="O40" s="1132"/>
      <c r="P40" s="3246"/>
      <c r="Q40" s="1812" t="str">
        <f t="shared" si="11"/>
        <v>市政基础设施</v>
      </c>
      <c r="R40" s="773" t="s">
        <v>17</v>
      </c>
      <c r="S40" s="774">
        <f t="shared" si="12"/>
        <v>100</v>
      </c>
      <c r="T40" s="773" t="s">
        <v>17</v>
      </c>
      <c r="U40" s="774">
        <f t="shared" si="13"/>
        <v>100</v>
      </c>
      <c r="V40" s="773" t="s">
        <v>17</v>
      </c>
      <c r="W40" s="774">
        <f t="shared" si="14"/>
        <v>100</v>
      </c>
      <c r="X40" s="1815"/>
      <c r="Y40" s="3248"/>
      <c r="Z40" s="1816" t="str">
        <f t="shared" si="15"/>
        <v>市政基础设施</v>
      </c>
      <c r="AA40" s="1813">
        <f t="shared" si="3"/>
        <v>1</v>
      </c>
      <c r="AB40" s="1813">
        <f t="shared" si="4"/>
        <v>1</v>
      </c>
      <c r="AC40" s="2671">
        <f t="shared" si="5"/>
        <v>1</v>
      </c>
    </row>
    <row r="41" spans="1:29" ht="15">
      <c r="A41" s="472"/>
      <c r="B41" s="422" t="s">
        <v>2646</v>
      </c>
      <c r="C41" s="616" t="s">
        <v>3169</v>
      </c>
      <c r="D41" s="435">
        <v>100</v>
      </c>
      <c r="E41" s="616" t="s">
        <v>3169</v>
      </c>
      <c r="F41" s="461">
        <f>SUMIF(119:119,E41,120:120)-SUMIF(119:119,C41,120:120)+100</f>
        <v>100</v>
      </c>
      <c r="G41" s="616" t="s">
        <v>3303</v>
      </c>
      <c r="H41" s="435">
        <f>SUMIF(119:119,G41,120:120)-SUMIF(119:119,C41,120:120)+100</f>
        <v>102</v>
      </c>
      <c r="I41" s="616" t="s">
        <v>3169</v>
      </c>
      <c r="J41" s="435">
        <f>SUMIF(119:119,I41,120:120)-SUMIF(119:119,C41,120:120)+100</f>
        <v>100</v>
      </c>
      <c r="K41" s="612">
        <v>2</v>
      </c>
      <c r="L41" s="1141"/>
      <c r="M41" s="1132"/>
      <c r="N41" s="1132"/>
      <c r="O41" s="1132"/>
      <c r="P41" s="3246"/>
      <c r="Q41" s="1812" t="str">
        <f t="shared" si="11"/>
        <v>层高</v>
      </c>
      <c r="R41" s="773" t="s">
        <v>17</v>
      </c>
      <c r="S41" s="774">
        <f t="shared" si="12"/>
        <v>100</v>
      </c>
      <c r="T41" s="773" t="s">
        <v>17</v>
      </c>
      <c r="U41" s="774">
        <f t="shared" si="13"/>
        <v>102</v>
      </c>
      <c r="V41" s="773" t="s">
        <v>17</v>
      </c>
      <c r="W41" s="774">
        <f t="shared" si="14"/>
        <v>100</v>
      </c>
      <c r="X41" s="1815"/>
      <c r="Y41" s="3248"/>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6"/>
      <c r="Q42" s="775" t="str">
        <f t="shared" si="11"/>
        <v>单套建筑面积</v>
      </c>
      <c r="R42" s="776" t="s">
        <v>17</v>
      </c>
      <c r="S42" s="777">
        <f t="shared" si="12"/>
        <v>100</v>
      </c>
      <c r="T42" s="776" t="s">
        <v>17</v>
      </c>
      <c r="U42" s="777">
        <f t="shared" si="13"/>
        <v>100</v>
      </c>
      <c r="V42" s="776" t="s">
        <v>17</v>
      </c>
      <c r="W42" s="777">
        <f t="shared" si="14"/>
        <v>100</v>
      </c>
      <c r="X42" s="778"/>
      <c r="Y42" s="3248"/>
      <c r="Z42" s="779" t="str">
        <f t="shared" si="15"/>
        <v>单套建筑面积</v>
      </c>
      <c r="AA42" s="1813">
        <f t="shared" si="3"/>
        <v>1</v>
      </c>
      <c r="AB42" s="1813">
        <f t="shared" si="4"/>
        <v>1</v>
      </c>
      <c r="AC42" s="2671">
        <f t="shared" si="5"/>
        <v>1</v>
      </c>
    </row>
    <row r="43" spans="1:29" ht="15">
      <c r="A43" s="472"/>
      <c r="B43" s="422" t="s">
        <v>2649</v>
      </c>
      <c r="C43" s="460" t="s">
        <v>3304</v>
      </c>
      <c r="D43" s="435">
        <v>100</v>
      </c>
      <c r="E43" s="460" t="s">
        <v>3151</v>
      </c>
      <c r="F43" s="461">
        <f>SUMIF(123:123,E43,124:124)-SUMIF(123:123,C43,124:124)+100</f>
        <v>98</v>
      </c>
      <c r="G43" s="460" t="s">
        <v>3151</v>
      </c>
      <c r="H43" s="435">
        <f>SUMIF(123:123,G43,124:124)-SUMIF(123:123,C43,124:124)+100</f>
        <v>98</v>
      </c>
      <c r="I43" s="460" t="s">
        <v>3304</v>
      </c>
      <c r="J43" s="435">
        <f>SUMIF(123:123,I43,124:124)-SUMIF(123:123,C43,124:124)+100</f>
        <v>100</v>
      </c>
      <c r="K43" s="612">
        <v>2</v>
      </c>
      <c r="L43" s="1141"/>
      <c r="M43" s="1132"/>
      <c r="N43" s="1132"/>
      <c r="O43" s="1132"/>
      <c r="P43" s="3246"/>
      <c r="Q43" s="1812" t="str">
        <f t="shared" si="11"/>
        <v>内部装修</v>
      </c>
      <c r="R43" s="773" t="s">
        <v>17</v>
      </c>
      <c r="S43" s="774">
        <f t="shared" si="12"/>
        <v>98</v>
      </c>
      <c r="T43" s="773" t="s">
        <v>17</v>
      </c>
      <c r="U43" s="774">
        <f t="shared" si="13"/>
        <v>98</v>
      </c>
      <c r="V43" s="773" t="s">
        <v>17</v>
      </c>
      <c r="W43" s="774">
        <f t="shared" si="14"/>
        <v>100</v>
      </c>
      <c r="X43" s="1815"/>
      <c r="Y43" s="3248"/>
      <c r="Z43" s="1816" t="str">
        <f t="shared" si="15"/>
        <v>内部装修</v>
      </c>
      <c r="AA43" s="1813">
        <f t="shared" si="3"/>
        <v>1.0204081632653061</v>
      </c>
      <c r="AB43" s="1813">
        <f t="shared" si="4"/>
        <v>1.0204081632653061</v>
      </c>
      <c r="AC43" s="2671">
        <f t="shared" si="5"/>
        <v>1</v>
      </c>
    </row>
    <row r="44" spans="1:29" ht="15">
      <c r="A44" s="472"/>
      <c r="B44" s="422" t="s">
        <v>2557</v>
      </c>
      <c r="C44" s="460" t="s">
        <v>3130</v>
      </c>
      <c r="D44" s="435">
        <v>100</v>
      </c>
      <c r="E44" s="2610" t="s">
        <v>3130</v>
      </c>
      <c r="F44" s="461">
        <f>SUMIF(125:125,E44,126:126)-SUMIF(125:125,C44,126:126)+100</f>
        <v>100</v>
      </c>
      <c r="G44" s="2610" t="s">
        <v>3130</v>
      </c>
      <c r="H44" s="435">
        <f>SUMIF(125:125,G44,126:126)-SUMIF(125:125,C44,126:126)+100</f>
        <v>100</v>
      </c>
      <c r="I44" s="2610" t="s">
        <v>3130</v>
      </c>
      <c r="J44" s="435">
        <f>SUMIF(125:125,I44,126:126)-SUMIF(125:125,C44,126:126)+100</f>
        <v>100</v>
      </c>
      <c r="K44" s="612">
        <v>2</v>
      </c>
      <c r="L44" s="1141"/>
      <c r="M44" s="1132"/>
      <c r="N44" s="1132"/>
      <c r="O44" s="1132"/>
      <c r="P44" s="3246"/>
      <c r="Q44" s="1812" t="str">
        <f t="shared" si="11"/>
        <v>内部装修维护情况</v>
      </c>
      <c r="R44" s="773" t="s">
        <v>17</v>
      </c>
      <c r="S44" s="774">
        <f t="shared" si="12"/>
        <v>100</v>
      </c>
      <c r="T44" s="773" t="s">
        <v>17</v>
      </c>
      <c r="U44" s="774">
        <f t="shared" si="13"/>
        <v>100</v>
      </c>
      <c r="V44" s="773" t="s">
        <v>17</v>
      </c>
      <c r="W44" s="774">
        <f t="shared" si="14"/>
        <v>100</v>
      </c>
      <c r="X44" s="1815"/>
      <c r="Y44" s="3248"/>
      <c r="Z44" s="1816" t="str">
        <f t="shared" si="15"/>
        <v>内部装修维护情况</v>
      </c>
      <c r="AA44" s="1813">
        <f t="shared" si="3"/>
        <v>1</v>
      </c>
      <c r="AB44" s="1813">
        <f t="shared" si="4"/>
        <v>1</v>
      </c>
      <c r="AC44" s="2671">
        <f t="shared" si="5"/>
        <v>1</v>
      </c>
    </row>
    <row r="45" spans="1:29" s="117" customFormat="1" ht="15">
      <c r="A45" s="473"/>
      <c r="B45" s="2996" t="s">
        <v>3173</v>
      </c>
      <c r="C45" s="2997" t="s">
        <v>3316</v>
      </c>
      <c r="D45" s="136">
        <v>100</v>
      </c>
      <c r="E45" s="2998" t="s">
        <v>3174</v>
      </c>
      <c r="F45" s="425">
        <f>SUMIF(127:127,E45,128:128)-SUMIF(127:127,C45,128:128)+100</f>
        <v>102</v>
      </c>
      <c r="G45" s="2998" t="s">
        <v>3174</v>
      </c>
      <c r="H45" s="136">
        <f>SUMIF(127:127,G45,128:128)-SUMIF(127:127,C45,128:128)+100</f>
        <v>102</v>
      </c>
      <c r="I45" s="2998" t="s">
        <v>3316</v>
      </c>
      <c r="J45" s="136">
        <f>SUMIF(127:127,I45,128:128)-SUMIF(127:127,C45,128:128)+100</f>
        <v>100</v>
      </c>
      <c r="K45" s="613"/>
      <c r="L45" s="1133"/>
      <c r="M45" s="1134"/>
      <c r="N45" s="1134"/>
      <c r="O45" s="1134"/>
      <c r="P45" s="3246"/>
      <c r="Q45" s="1797" t="str">
        <f t="shared" si="11"/>
        <v>房屋状态</v>
      </c>
      <c r="R45" s="769" t="s">
        <v>17</v>
      </c>
      <c r="S45" s="770">
        <f t="shared" si="12"/>
        <v>102</v>
      </c>
      <c r="T45" s="769" t="s">
        <v>17</v>
      </c>
      <c r="U45" s="770">
        <f t="shared" si="13"/>
        <v>102</v>
      </c>
      <c r="V45" s="769" t="s">
        <v>17</v>
      </c>
      <c r="W45" s="770">
        <f t="shared" si="14"/>
        <v>100</v>
      </c>
      <c r="X45" s="771"/>
      <c r="Y45" s="3248"/>
      <c r="Z45" s="55" t="str">
        <f t="shared" si="15"/>
        <v>房屋状态</v>
      </c>
      <c r="AA45" s="772">
        <f t="shared" si="3"/>
        <v>0.98039215686274506</v>
      </c>
      <c r="AB45" s="772">
        <f t="shared" si="4"/>
        <v>0.98039215686274506</v>
      </c>
      <c r="AC45" s="2668">
        <f t="shared" si="5"/>
        <v>1</v>
      </c>
    </row>
    <row r="46" spans="1:29" ht="15">
      <c r="A46" s="472"/>
      <c r="B46" s="2996" t="s">
        <v>3308</v>
      </c>
      <c r="C46" s="3008" t="s">
        <v>3309</v>
      </c>
      <c r="D46" s="435">
        <v>100</v>
      </c>
      <c r="E46" s="2998" t="s">
        <v>3310</v>
      </c>
      <c r="F46" s="461">
        <f>SUMIF(129:129,E46,130:130)-SUMIF(129:129,C46,130:130)+100</f>
        <v>103</v>
      </c>
      <c r="G46" s="2998" t="s">
        <v>3311</v>
      </c>
      <c r="H46" s="435">
        <f>SUMIF(129:129,G46,130:130)-SUMIF(129:129,C46,130:130)+100</f>
        <v>103</v>
      </c>
      <c r="I46" s="2998" t="s">
        <v>3310</v>
      </c>
      <c r="J46" s="435">
        <f>SUMIF(129:129,I46,130:130)-SUMIF(129:129,C46,130:130)+100</f>
        <v>103</v>
      </c>
      <c r="K46" s="613"/>
      <c r="L46" s="1141"/>
      <c r="M46" s="1132"/>
      <c r="N46" s="1132"/>
      <c r="O46" s="1132"/>
      <c r="P46" s="3246"/>
      <c r="Q46" s="1812" t="str">
        <f t="shared" si="11"/>
        <v>是否带电梯</v>
      </c>
      <c r="R46" s="773" t="s">
        <v>17</v>
      </c>
      <c r="S46" s="774">
        <f t="shared" si="12"/>
        <v>103</v>
      </c>
      <c r="T46" s="773" t="s">
        <v>17</v>
      </c>
      <c r="U46" s="774">
        <f t="shared" si="13"/>
        <v>103</v>
      </c>
      <c r="V46" s="773" t="s">
        <v>17</v>
      </c>
      <c r="W46" s="774">
        <f t="shared" si="14"/>
        <v>103</v>
      </c>
      <c r="X46" s="1815"/>
      <c r="Y46" s="3248"/>
      <c r="Z46" s="1816" t="str">
        <f t="shared" si="15"/>
        <v>是否带电梯</v>
      </c>
      <c r="AA46" s="1813">
        <f t="shared" si="3"/>
        <v>0.970873786407767</v>
      </c>
      <c r="AB46" s="1813">
        <f t="shared" si="4"/>
        <v>0.970873786407767</v>
      </c>
      <c r="AC46" s="2671">
        <f t="shared" si="5"/>
        <v>0.970873786407767</v>
      </c>
    </row>
    <row r="47" spans="1:29" ht="15.75" thickBot="1">
      <c r="A47" s="478"/>
      <c r="B47" s="3011"/>
      <c r="C47" s="3012"/>
      <c r="D47" s="438">
        <v>100</v>
      </c>
      <c r="E47" s="2998"/>
      <c r="F47" s="439">
        <f>SUMIF(131:131,E47,132:132)-SUMIF(131:131,C47,132:132)+100</f>
        <v>100</v>
      </c>
      <c r="G47" s="2998"/>
      <c r="H47" s="438">
        <f>SUMIF(131:131,G47,132:132)-SUMIF(131:131,C47,132:132)+100</f>
        <v>100</v>
      </c>
      <c r="I47" s="2998"/>
      <c r="J47" s="438">
        <f>SUMIF(131:131,I47,132:132)-SUMIF(131:131,C47,132:132)+100</f>
        <v>100</v>
      </c>
      <c r="K47" s="613"/>
      <c r="L47" s="1141"/>
      <c r="M47" s="1132"/>
      <c r="N47" s="1132"/>
      <c r="O47" s="1132"/>
      <c r="P47" s="3247"/>
      <c r="Q47" s="1812">
        <f t="shared" si="11"/>
        <v>0</v>
      </c>
      <c r="R47" s="773" t="s">
        <v>17</v>
      </c>
      <c r="S47" s="774">
        <f t="shared" si="12"/>
        <v>100</v>
      </c>
      <c r="T47" s="773" t="s">
        <v>17</v>
      </c>
      <c r="U47" s="774">
        <f t="shared" si="13"/>
        <v>100</v>
      </c>
      <c r="V47" s="773" t="s">
        <v>17</v>
      </c>
      <c r="W47" s="774">
        <f t="shared" si="14"/>
        <v>100</v>
      </c>
      <c r="X47" s="1815"/>
      <c r="Y47" s="3249"/>
      <c r="Z47" s="1816">
        <f t="shared" si="15"/>
        <v>0</v>
      </c>
      <c r="AA47" s="1813">
        <f t="shared" si="3"/>
        <v>1</v>
      </c>
      <c r="AB47" s="1813">
        <f t="shared" si="4"/>
        <v>1</v>
      </c>
      <c r="AC47" s="2671">
        <f t="shared" si="5"/>
        <v>1</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21" t="str">
        <f>A48</f>
        <v>成交单价（元/平方米）</v>
      </c>
      <c r="Q48" s="3250"/>
      <c r="R48" s="3251">
        <f>E48</f>
        <v>6800</v>
      </c>
      <c r="S48" s="3251"/>
      <c r="T48" s="3251">
        <f>G48</f>
        <v>7840</v>
      </c>
      <c r="U48" s="3251"/>
      <c r="V48" s="3251">
        <f>I48</f>
        <v>8000</v>
      </c>
      <c r="W48" s="3251"/>
      <c r="X48" s="446"/>
      <c r="Y48" s="780"/>
      <c r="Z48" s="446"/>
      <c r="AA48" s="446"/>
      <c r="AB48" s="446"/>
      <c r="AC48" s="630"/>
    </row>
    <row r="49" spans="1:29" ht="15.75" thickBot="1">
      <c r="A49" s="486" t="s">
        <v>2650</v>
      </c>
      <c r="B49" s="487"/>
      <c r="C49" s="1414">
        <f>R50</f>
        <v>7293</v>
      </c>
      <c r="D49" s="1415"/>
      <c r="E49" s="1416">
        <f>R49</f>
        <v>6483</v>
      </c>
      <c r="F49" s="1416"/>
      <c r="G49" s="1414">
        <f>T49</f>
        <v>7702</v>
      </c>
      <c r="H49" s="1415"/>
      <c r="I49" s="1416">
        <f>V49</f>
        <v>7695</v>
      </c>
      <c r="J49" s="489"/>
      <c r="K49" s="783"/>
      <c r="L49" s="1144"/>
      <c r="M49" s="1132"/>
      <c r="N49" s="1132"/>
      <c r="O49" s="1132"/>
      <c r="P49" s="3221" t="str">
        <f>A49</f>
        <v>比较价值（元/平方米）</v>
      </c>
      <c r="Q49" s="3250"/>
      <c r="R49" s="3251">
        <f>IF(F1="售价",ROUND(PRODUCT(R48,AA7:AA47),0),ROUND(PRODUCT(R48,AA7:AA47),1))</f>
        <v>6483</v>
      </c>
      <c r="S49" s="3251"/>
      <c r="T49" s="3251">
        <f>IF(F1="售价",ROUND(PRODUCT(T48,AB7:AB47),0),ROUND(PRODUCT(T48,AB7:AB47),1))</f>
        <v>7702</v>
      </c>
      <c r="U49" s="3251"/>
      <c r="V49" s="3251">
        <f>IF(F1="售价",ROUND(PRODUCT(V48,AC7:AC47),0),ROUND(PRODUCT(V48,AC7:AC47),1))</f>
        <v>7695</v>
      </c>
      <c r="W49" s="3251"/>
      <c r="X49" s="446"/>
      <c r="Y49" s="446"/>
      <c r="Z49" s="446"/>
      <c r="AA49" s="446"/>
      <c r="AB49" s="446"/>
      <c r="AC49" s="630"/>
    </row>
    <row r="50" spans="1:29" ht="15.75" thickBot="1">
      <c r="A50" s="492" t="s">
        <v>3315</v>
      </c>
      <c r="B50" s="493"/>
      <c r="C50" s="1418">
        <f>R50</f>
        <v>7293</v>
      </c>
      <c r="D50" s="1418"/>
      <c r="E50" s="1418"/>
      <c r="F50" s="1418"/>
      <c r="G50" s="1418"/>
      <c r="H50" s="1418"/>
      <c r="I50" s="1418"/>
      <c r="J50" s="494"/>
      <c r="K50" s="784"/>
      <c r="L50" s="1144"/>
      <c r="M50" s="1132"/>
      <c r="N50" s="1132"/>
      <c r="O50" s="1132"/>
      <c r="P50" s="3252" t="str">
        <f>A50</f>
        <v>估价对象办公用房的比较价值（楼面单价，元/平方米）</v>
      </c>
      <c r="Q50" s="3253"/>
      <c r="R50" s="3254">
        <f>IF(F1="售价",ROUND(AVERAGE(R49:V49),0),ROUND(AVERAGE(R49:V49),1))</f>
        <v>7293</v>
      </c>
      <c r="S50" s="3254"/>
      <c r="T50" s="3254"/>
      <c r="U50" s="3254"/>
      <c r="V50" s="3254"/>
      <c r="W50" s="3254"/>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4.88971155329323E-2</v>
      </c>
      <c r="F53" s="500" t="str">
        <f>IF(OR(E53&gt;=0.3,E53&lt;=-0.3),"超过30%","")</f>
        <v/>
      </c>
      <c r="G53" s="499">
        <f>IF(G48&lt;G49,G49/G48-1,G48/G49-1)</f>
        <v>1.7917424045702512E-2</v>
      </c>
      <c r="H53" s="500" t="str">
        <f>IF(OR(G53&gt;=0.3,G53&lt;=-0.3),"超过30%","")</f>
        <v/>
      </c>
      <c r="I53" s="499">
        <f>IF(I48&lt;I49,I49/I48-1,I48/I49-1)</f>
        <v>3.9636127355425543E-2</v>
      </c>
      <c r="J53" s="500" t="str">
        <f>IF(OR(I53&gt;=0.3,I53&lt;=-0.3),"超过30%","")</f>
        <v/>
      </c>
      <c r="K53" s="1106"/>
      <c r="L53" s="1107"/>
      <c r="M53" s="1145"/>
      <c r="N53" s="1145"/>
      <c r="O53" s="1145"/>
    </row>
    <row r="54" spans="1:29" ht="13.5" customHeight="1">
      <c r="A54" s="1145"/>
      <c r="B54" s="1145"/>
      <c r="C54" s="497" t="s">
        <v>2653</v>
      </c>
      <c r="D54" s="501"/>
      <c r="E54" s="499">
        <f>IF(E49&lt;G49,G49/E49-1,E49/G49-1)</f>
        <v>0.1880302329168595</v>
      </c>
      <c r="F54" s="500" t="str">
        <f>IF(OR(E54&gt;=0.2,E54&lt;=-0.2),"超过20%","")</f>
        <v/>
      </c>
      <c r="G54" s="499">
        <f>IF(G49&lt;I49,I49/G49-1,G49/I49-1)</f>
        <v>9.0968161143600845E-4</v>
      </c>
      <c r="H54" s="500" t="str">
        <f>IF(OR(G54&gt;=0.2,G54&lt;=-0.2),"超过20%","")</f>
        <v/>
      </c>
      <c r="I54" s="499">
        <f>IF(I49&lt;E49,E49/I49-1,I49/E49-1)</f>
        <v>0.18695048588616392</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3307</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3133</v>
      </c>
      <c r="D87" s="2984" t="s">
        <v>3134</v>
      </c>
      <c r="E87" s="2984" t="s">
        <v>3136</v>
      </c>
      <c r="F87" s="2984" t="s">
        <v>3137</v>
      </c>
      <c r="G87" s="2984" t="s">
        <v>3139</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3141</v>
      </c>
      <c r="D89" s="2984" t="s">
        <v>3143</v>
      </c>
      <c r="E89" s="2984" t="s">
        <v>3144</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3299</v>
      </c>
      <c r="D101" s="2985" t="s">
        <v>3301</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3145</v>
      </c>
      <c r="D106" s="2984" t="s">
        <v>3146</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3147</v>
      </c>
      <c r="D108" s="2984" t="s">
        <v>3149</v>
      </c>
      <c r="E108" s="2984" t="s">
        <v>3150</v>
      </c>
      <c r="F108" s="2986" t="s">
        <v>3152</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3153</v>
      </c>
      <c r="D113" s="2984" t="s">
        <v>3154</v>
      </c>
      <c r="E113" s="2984" t="s">
        <v>3155</v>
      </c>
      <c r="F113" s="2984" t="s">
        <v>3156</v>
      </c>
      <c r="G113" s="2984" t="s">
        <v>3157</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3158</v>
      </c>
      <c r="D115" s="2984" t="s">
        <v>3160</v>
      </c>
      <c r="E115" s="2986" t="s">
        <v>3161</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3162</v>
      </c>
      <c r="D117" s="2984" t="s">
        <v>3163</v>
      </c>
      <c r="E117" s="2984" t="s">
        <v>3165</v>
      </c>
      <c r="F117" s="2984" t="s">
        <v>3166</v>
      </c>
      <c r="G117" s="2984" t="s">
        <v>3167</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3168</v>
      </c>
      <c r="D119" s="2986" t="s">
        <v>3170</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3147</v>
      </c>
      <c r="D123" s="2984" t="s">
        <v>3149</v>
      </c>
      <c r="E123" s="2984" t="s">
        <v>3150</v>
      </c>
      <c r="F123" s="2986" t="s">
        <v>3152</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3175</v>
      </c>
      <c r="D127" s="2984" t="s">
        <v>3176</v>
      </c>
      <c r="E127" s="2984" t="s">
        <v>3316</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5"/>
      <c r="O128" s="1155"/>
      <c r="P128" s="2682"/>
      <c r="Q128" s="559"/>
    </row>
    <row r="129" spans="1:17" ht="15" thickTop="1">
      <c r="A129" s="599"/>
      <c r="B129" s="538" t="str">
        <f>B46</f>
        <v>是否带电梯</v>
      </c>
      <c r="C129" s="2984" t="s">
        <v>3310</v>
      </c>
      <c r="D129" s="2984" t="s">
        <v>3309</v>
      </c>
      <c r="E129" s="554"/>
      <c r="F129" s="554"/>
      <c r="G129" s="583"/>
      <c r="H129" s="583"/>
      <c r="I129" s="583"/>
      <c r="J129" s="583"/>
      <c r="K129" s="584"/>
      <c r="L129" s="585"/>
      <c r="M129" s="586"/>
      <c r="N129" s="1153"/>
      <c r="O129" s="1153"/>
      <c r="P129" s="2681"/>
      <c r="Q129" s="504"/>
    </row>
    <row r="130" spans="1:17" ht="15.75" thickBot="1">
      <c r="A130" s="534"/>
      <c r="B130" s="543"/>
      <c r="C130" s="560">
        <v>100</v>
      </c>
      <c r="D130" s="560">
        <v>97</v>
      </c>
      <c r="E130" s="560"/>
      <c r="F130" s="560"/>
      <c r="G130" s="536"/>
      <c r="H130" s="536"/>
      <c r="I130" s="536"/>
      <c r="J130" s="536"/>
      <c r="K130" s="536"/>
      <c r="L130" s="536"/>
      <c r="M130" s="537"/>
      <c r="N130" s="1154"/>
      <c r="O130" s="1154"/>
      <c r="P130" s="2681"/>
      <c r="Q130" s="504"/>
    </row>
    <row r="131" spans="1:17" ht="15" thickTop="1">
      <c r="A131" s="599"/>
      <c r="B131" s="546">
        <f>B47</f>
        <v>0</v>
      </c>
      <c r="C131" s="3013" t="s">
        <v>3310</v>
      </c>
      <c r="D131" s="3013" t="s">
        <v>3309</v>
      </c>
      <c r="E131" s="523"/>
      <c r="F131" s="523"/>
      <c r="G131" s="587"/>
      <c r="H131" s="587"/>
      <c r="I131" s="587"/>
      <c r="J131" s="587"/>
      <c r="K131" s="523"/>
      <c r="L131" s="524"/>
      <c r="M131" s="590"/>
      <c r="N131" s="1153"/>
      <c r="O131" s="1153"/>
      <c r="P131" s="2681"/>
      <c r="Q131" s="504"/>
    </row>
    <row r="132" spans="1:17" ht="15.75" thickBot="1">
      <c r="A132" s="2633"/>
      <c r="B132" s="569"/>
      <c r="C132" s="570">
        <v>100</v>
      </c>
      <c r="D132" s="570">
        <v>97</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766</v>
      </c>
      <c r="C2" s="1847" t="s">
        <v>1589</v>
      </c>
      <c r="D2" s="1940">
        <f ca="1">C40+J29+L46</f>
        <v>7659251</v>
      </c>
      <c r="E2" s="1848" t="s">
        <v>1590</v>
      </c>
      <c r="F2" s="1849"/>
      <c r="G2" s="1850"/>
      <c r="H2" s="1842"/>
      <c r="I2" s="1842"/>
      <c r="J2" s="1842"/>
      <c r="K2" s="1843"/>
      <c r="L2" s="1842"/>
      <c r="M2" s="1842"/>
    </row>
    <row r="3" spans="1:37" ht="18" customHeight="1" thickBot="1">
      <c r="A3" s="1851" t="s">
        <v>1591</v>
      </c>
      <c r="B3" s="1852">
        <f ca="1">IF(ISERROR(D2/F43),0,ROUND(D2/F43,0))</f>
        <v>3355</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5" t="s">
        <v>1400</v>
      </c>
      <c r="C6" s="1297">
        <f ca="1">ROUND(F6*F8*F7*(1-F9),0)</f>
        <v>749837</v>
      </c>
      <c r="D6" s="164" t="s">
        <v>3008</v>
      </c>
      <c r="E6" s="347" t="s">
        <v>1402</v>
      </c>
      <c r="F6" s="348">
        <f ca="1">INDIRECT("'数据-取费表'!u"&amp;$G$1)</f>
        <v>1</v>
      </c>
      <c r="G6" s="1853"/>
      <c r="H6" s="1292" t="s">
        <v>1034</v>
      </c>
      <c r="I6" s="3255" t="s">
        <v>1400</v>
      </c>
      <c r="J6" s="346">
        <f ca="1">ROUND(M6*M8*M7*(1-M9),0)</f>
        <v>0</v>
      </c>
      <c r="K6" s="1836" t="s">
        <v>3011</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2282.61</v>
      </c>
      <c r="G7" s="1853"/>
      <c r="H7" s="349"/>
      <c r="I7" s="3256"/>
      <c r="J7" s="351"/>
      <c r="K7" s="352"/>
      <c r="L7" s="347" t="s">
        <v>1403</v>
      </c>
      <c r="M7" s="348">
        <f ca="1">F7</f>
        <v>2282.61</v>
      </c>
    </row>
    <row r="8" spans="1:37" ht="18" customHeight="1">
      <c r="A8" s="349"/>
      <c r="B8" s="3256"/>
      <c r="C8" s="351"/>
      <c r="D8" s="352"/>
      <c r="E8" s="347" t="s">
        <v>1404</v>
      </c>
      <c r="F8" s="348">
        <f ca="1">INDIRECT("'数据-取费表'!ai"&amp;$G$1)</f>
        <v>365</v>
      </c>
      <c r="G8" s="1853"/>
      <c r="H8" s="349"/>
      <c r="I8" s="3256"/>
      <c r="J8" s="351"/>
      <c r="K8" s="352"/>
      <c r="L8" s="347" t="s">
        <v>1404</v>
      </c>
      <c r="M8" s="348">
        <f ca="1">INDIRECT("'数据-取费表'!ai"&amp;$G$1)</f>
        <v>365</v>
      </c>
    </row>
    <row r="9" spans="1:37" ht="18" customHeight="1">
      <c r="A9" s="349"/>
      <c r="B9" s="3257"/>
      <c r="C9" s="351"/>
      <c r="D9" s="352"/>
      <c r="E9" s="347" t="s">
        <v>1405</v>
      </c>
      <c r="F9" s="357">
        <f ca="1">INDIRECT("'数据-取费表'!w"&amp;$G$1)</f>
        <v>0.1</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5569313</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4565220</v>
      </c>
      <c r="D14" s="1802" t="s">
        <v>1416</v>
      </c>
      <c r="E14" s="1796"/>
      <c r="F14" s="364"/>
      <c r="G14" s="1853"/>
      <c r="H14" s="1202" t="s">
        <v>1034</v>
      </c>
      <c r="I14" s="347" t="s">
        <v>1417</v>
      </c>
      <c r="J14" s="24">
        <f ca="1">C29</f>
        <v>6188125</v>
      </c>
      <c r="K14" s="15"/>
      <c r="L14" s="980"/>
      <c r="M14" s="981"/>
    </row>
    <row r="15" spans="1:37" s="1860" customFormat="1" ht="18" customHeight="1" thickBot="1">
      <c r="A15" s="1202" t="s">
        <v>1035</v>
      </c>
      <c r="B15" s="347" t="s">
        <v>1418</v>
      </c>
      <c r="C15" s="24">
        <f ca="1">ROUND(C14*F15,0)</f>
        <v>136957</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149016</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56194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68478</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4998916</v>
      </c>
      <c r="D19" s="140" t="s">
        <v>1434</v>
      </c>
      <c r="E19" s="1820"/>
      <c r="F19" s="26"/>
      <c r="G19" s="1853"/>
      <c r="H19" s="1202" t="s">
        <v>1035</v>
      </c>
      <c r="I19" s="347" t="s">
        <v>1435</v>
      </c>
      <c r="J19" s="24">
        <f ca="1">IF(K19="按租金收入计税",ROUND(J5*M19,0),ROUND(C29*M19*0.7,0))</f>
        <v>51980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99978</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92822</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110901</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-149016</v>
      </c>
      <c r="K25" s="1346" t="s">
        <v>1462</v>
      </c>
      <c r="L25" s="1347"/>
      <c r="M25" s="1348"/>
    </row>
    <row r="26" spans="1:37" ht="18" customHeight="1">
      <c r="A26" s="1202" t="s">
        <v>1033</v>
      </c>
      <c r="B26" s="347" t="s">
        <v>1463</v>
      </c>
      <c r="C26" s="24">
        <f ca="1">ROUND((C19+C20)*F26,0)</f>
        <v>509889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6188125</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280112</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96241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51980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92822</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83540</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470766</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7659251</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3355</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3317</v>
      </c>
      <c r="K47" s="1884" t="s">
        <v>1525</v>
      </c>
      <c r="L47" s="1885">
        <f ca="1">INDIRECT("'数据-取费表'!d"&amp;$G$1)</f>
        <v>40</v>
      </c>
      <c r="M47" s="1840" t="str">
        <f>IF(ISNUMBER(FIND("住宅",C1)),"住宅","非住宅")</f>
        <v>非住宅</v>
      </c>
      <c r="O47" s="1886" t="s">
        <v>1039</v>
      </c>
      <c r="P47" s="1887" t="s">
        <v>1526</v>
      </c>
      <c r="Q47" s="1888">
        <f ca="1">C40+J29</f>
        <v>7659251</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6188125</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50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32</v>
      </c>
      <c r="K51" s="1902" t="s">
        <v>1539</v>
      </c>
      <c r="L51" s="1903">
        <f ca="1">ROUND(-PV(INDIRECT("'数据-取费表'!h"&amp;$G$1),L48,(C39-C13*C76),0),0)</f>
        <v>357715</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8" t="s">
        <v>1546</v>
      </c>
      <c r="L53" s="3259"/>
      <c r="O53" s="1886" t="s">
        <v>1045</v>
      </c>
      <c r="P53" s="1887" t="s">
        <v>1547</v>
      </c>
      <c r="Q53" s="1888">
        <f ca="1">Q47+Q48</f>
        <v>7659251</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5569313</v>
      </c>
      <c r="D56" s="1916"/>
      <c r="E56" s="1917"/>
      <c r="F56" s="1909"/>
      <c r="I56" s="1918" t="s">
        <v>1552</v>
      </c>
      <c r="J56" s="1919" t="s">
        <v>3021</v>
      </c>
      <c r="K56" s="1889" t="s">
        <v>1553</v>
      </c>
      <c r="L56" s="1892" t="str">
        <f ca="1">IF(L48&lt;J51,"——",L48-J51)</f>
        <v>——</v>
      </c>
      <c r="O56" s="1886" t="s">
        <v>1039</v>
      </c>
      <c r="P56" s="1887" t="s">
        <v>1526</v>
      </c>
      <c r="Q56" s="1888">
        <f ca="1">C40+J29</f>
        <v>7659251</v>
      </c>
      <c r="R56" s="1888" t="s">
        <v>1527</v>
      </c>
    </row>
    <row r="57" spans="1:18" s="1844" customFormat="1" ht="24.75" thickBot="1">
      <c r="A57" s="1920"/>
      <c r="B57" s="1170" t="s">
        <v>1476</v>
      </c>
      <c r="C57" s="282">
        <f ca="1">C29</f>
        <v>6188125</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280112</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96241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51980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7659251</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92822</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83540</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7659251</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470766</v>
      </c>
      <c r="D67" s="1183" t="s">
        <v>1462</v>
      </c>
      <c r="E67" s="1188"/>
      <c r="F67" s="1189"/>
      <c r="O67" s="1896" t="s">
        <v>1041</v>
      </c>
      <c r="P67" s="1887" t="s">
        <v>1560</v>
      </c>
      <c r="Q67" s="1935">
        <f ca="1">L51</f>
        <v>357715</v>
      </c>
      <c r="R67" s="1888" t="s">
        <v>1580</v>
      </c>
    </row>
    <row r="68" spans="1:18" s="1844" customFormat="1" ht="16.5" thickBot="1">
      <c r="A68" s="1167" t="s">
        <v>1031</v>
      </c>
      <c r="B68" s="1168" t="s">
        <v>1483</v>
      </c>
      <c r="C68" s="346">
        <f ca="1">ROUND(C67*(1-((1+F70)/(1+F68))^F69)/(F68-F70),0)</f>
        <v>7659251</v>
      </c>
      <c r="D68" s="1185" t="s">
        <v>1467</v>
      </c>
      <c r="E68" s="1170" t="s">
        <v>1468</v>
      </c>
      <c r="F68" s="357">
        <f ca="1">F40</f>
        <v>0.05</v>
      </c>
      <c r="O68" s="1896" t="s">
        <v>1042</v>
      </c>
      <c r="P68" s="1936" t="s">
        <v>1581</v>
      </c>
      <c r="Q68" s="1888">
        <f ca="1">ROUND(Q69-Q70*Q71,0)</f>
        <v>25221</v>
      </c>
      <c r="R68" s="1888" t="s">
        <v>1050</v>
      </c>
    </row>
    <row r="69" spans="1:18" s="1844" customFormat="1" ht="13.5" thickBot="1">
      <c r="A69" s="1171"/>
      <c r="B69" s="1172"/>
      <c r="C69" s="351"/>
      <c r="D69" s="1190" t="s">
        <v>1471</v>
      </c>
      <c r="E69" s="1170" t="s">
        <v>1472</v>
      </c>
      <c r="F69" s="379">
        <f ca="1">F41</f>
        <v>23.1</v>
      </c>
      <c r="O69" s="1896" t="s">
        <v>1047</v>
      </c>
      <c r="P69" s="1936" t="s">
        <v>1582</v>
      </c>
      <c r="Q69" s="1888">
        <f ca="1">C39</f>
        <v>470766</v>
      </c>
      <c r="R69" s="1888" t="s">
        <v>1527</v>
      </c>
    </row>
    <row r="70" spans="1:18" s="1844" customFormat="1" ht="13.5" thickBot="1">
      <c r="A70" s="1174"/>
      <c r="B70" s="1175"/>
      <c r="C70" s="355"/>
      <c r="D70" s="1186"/>
      <c r="E70" s="1170" t="s">
        <v>1475</v>
      </c>
      <c r="F70" s="1276">
        <f ca="1">F42</f>
        <v>0.02</v>
      </c>
      <c r="O70" s="1896" t="s">
        <v>1048</v>
      </c>
      <c r="P70" s="1936" t="s">
        <v>1583</v>
      </c>
      <c r="Q70" s="1888">
        <f ca="1">C13</f>
        <v>5569313</v>
      </c>
      <c r="R70" s="1888" t="s">
        <v>1527</v>
      </c>
    </row>
    <row r="71" spans="1:18" s="1844" customFormat="1" ht="13.5" thickBot="1">
      <c r="A71" s="1191" t="s">
        <v>1032</v>
      </c>
      <c r="B71" s="1192" t="s">
        <v>1485</v>
      </c>
      <c r="C71" s="382">
        <f ca="1">ROUND(C68/F71,0)</f>
        <v>3355</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445545</v>
      </c>
      <c r="D75" s="1844"/>
      <c r="E75" s="1844"/>
      <c r="F75" s="1844"/>
      <c r="K75" s="1870"/>
      <c r="L75" s="1844"/>
      <c r="O75" s="1886" t="s">
        <v>1045</v>
      </c>
      <c r="P75" s="1887" t="s">
        <v>1547</v>
      </c>
      <c r="Q75" s="1888">
        <f ca="1">Q65+Q66</f>
        <v>7659251</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5.4000000000000048E-2</v>
      </c>
    </row>
    <row r="80" spans="1:18">
      <c r="B80" s="386" t="s">
        <v>1509</v>
      </c>
      <c r="C80" s="318">
        <f ca="1">ROUND(C75/C39,3)</f>
        <v>0.94599999999999995</v>
      </c>
    </row>
    <row r="81" spans="2:3">
      <c r="B81" s="314" t="s">
        <v>1510</v>
      </c>
      <c r="C81" s="282"/>
    </row>
    <row r="82" spans="2:3">
      <c r="B82" s="317" t="s">
        <v>1511</v>
      </c>
      <c r="C82" s="319">
        <f ca="1">1-C83</f>
        <v>0.27300000000000002</v>
      </c>
    </row>
    <row r="83" spans="2:3">
      <c r="B83" s="317" t="s">
        <v>1512</v>
      </c>
      <c r="C83" s="318">
        <f ca="1">ROUND(C13/C40,3)</f>
        <v>0.72699999999999998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N20" sqref="N20"/>
    </sheetView>
  </sheetViews>
  <sheetFormatPr defaultRowHeight="13.5"/>
  <sheetData>
    <row r="3" spans="2:5">
      <c r="B3" s="3014" t="s">
        <v>3312</v>
      </c>
      <c r="C3" s="3014" t="s">
        <v>3314</v>
      </c>
      <c r="D3" s="3014" t="s">
        <v>3313</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3178</v>
      </c>
      <c r="C5" s="3000" t="s">
        <v>3179</v>
      </c>
      <c r="D5" s="3001" t="s">
        <v>3180</v>
      </c>
      <c r="E5" s="3001" t="s">
        <v>3181</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3182</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3183</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5438</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6021</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71" t="s">
        <v>33</v>
      </c>
      <c r="D22" s="3172"/>
      <c r="E22" s="3172"/>
      <c r="F22" s="3172"/>
      <c r="G22" s="3172"/>
      <c r="H22" s="3172"/>
      <c r="I22" s="3172"/>
      <c r="J22" s="3172"/>
      <c r="K22" s="3172"/>
      <c r="L22" s="3172"/>
      <c r="M22" s="3172"/>
      <c r="N22" s="3172"/>
      <c r="O22" s="3172"/>
      <c r="P22" s="3172"/>
      <c r="Q22" s="3260"/>
      <c r="R22" s="715">
        <f ca="1">ROUND(S22*10000/B22,0)</f>
        <v>6021</v>
      </c>
      <c r="S22" s="24">
        <f ca="1">SUM(S24:S10000)</f>
        <v>5438</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3142</v>
      </c>
      <c r="E24" s="718">
        <v>1</v>
      </c>
      <c r="F24" s="719" t="s">
        <v>3148</v>
      </c>
      <c r="G24" s="718">
        <v>1</v>
      </c>
      <c r="H24" s="719" t="str">
        <f>面积1!J8</f>
        <v>普通装修</v>
      </c>
      <c r="I24" s="718">
        <v>1</v>
      </c>
      <c r="J24" s="719"/>
      <c r="K24" s="718">
        <v>1</v>
      </c>
      <c r="L24" s="719"/>
      <c r="M24" s="718">
        <v>1</v>
      </c>
      <c r="N24" s="719"/>
      <c r="O24" s="718">
        <v>1</v>
      </c>
      <c r="P24" s="719"/>
      <c r="Q24" s="718">
        <v>1</v>
      </c>
      <c r="R24" s="720">
        <f ca="1">'结果表（商业'!G20</f>
        <v>6112</v>
      </c>
      <c r="S24" s="718">
        <f t="shared" ref="S24:S54" ca="1" si="12">ROUND(R24*B24/10000,0)</f>
        <v>502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3142</v>
      </c>
      <c r="E25" s="24">
        <f>(SUMIF($5:$5,D25,$6:$6)-SUMIF($5:$5,$D$24,$6:$6)+100)/100</f>
        <v>1</v>
      </c>
      <c r="F25" s="719" t="s">
        <v>3148</v>
      </c>
      <c r="G25" s="24">
        <f>(SUMIF($7:$7,F25,$8:$8)-SUMIF($7:$7,$F$24,$8:$8)+100)/100</f>
        <v>1</v>
      </c>
      <c r="H25" s="719" t="s">
        <v>3148</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6112</v>
      </c>
      <c r="S25" s="361">
        <f t="shared" ca="1" si="12"/>
        <v>502</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3142</v>
      </c>
      <c r="E26" s="24">
        <f t="shared" ref="E26:E89" si="14">(SUMIF($5:$5,D26,$6:$6)-SUMIF($5:$5,$D$24,$6:$6)+100)/100</f>
        <v>1</v>
      </c>
      <c r="F26" s="719" t="s">
        <v>3148</v>
      </c>
      <c r="G26" s="24">
        <f t="shared" ref="G26:G89" si="15">(SUMIF($7:$7,F26,$8:$8)-SUMIF($7:$7,$F$24,$8:$8)+100)/100</f>
        <v>1</v>
      </c>
      <c r="H26" s="719" t="s">
        <v>3148</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6112</v>
      </c>
      <c r="S26" s="361">
        <f t="shared" ca="1" si="12"/>
        <v>502</v>
      </c>
    </row>
    <row r="27" spans="1:45">
      <c r="A27" s="2965" t="str">
        <f>面积1!B11</f>
        <v>新疆维吾尔自治区乌鲁木齐市沙依巴克区长江路52号1栋21层办公用房房地产</v>
      </c>
      <c r="B27" s="717">
        <f>面积1!D11</f>
        <v>821</v>
      </c>
      <c r="C27" s="24">
        <f t="shared" si="13"/>
        <v>1</v>
      </c>
      <c r="D27" s="719" t="s">
        <v>3140</v>
      </c>
      <c r="E27" s="24">
        <f t="shared" si="14"/>
        <v>1.02</v>
      </c>
      <c r="F27" s="719" t="s">
        <v>3148</v>
      </c>
      <c r="G27" s="24">
        <f t="shared" si="15"/>
        <v>1</v>
      </c>
      <c r="H27" s="719" t="s">
        <v>3148</v>
      </c>
      <c r="I27" s="24">
        <f t="shared" si="16"/>
        <v>1</v>
      </c>
      <c r="J27" s="719"/>
      <c r="K27" s="24">
        <f t="shared" si="17"/>
        <v>1</v>
      </c>
      <c r="L27" s="719"/>
      <c r="M27" s="24">
        <f t="shared" si="18"/>
        <v>1</v>
      </c>
      <c r="N27" s="719"/>
      <c r="O27" s="24">
        <f t="shared" si="19"/>
        <v>1</v>
      </c>
      <c r="P27" s="719"/>
      <c r="Q27" s="24">
        <f t="shared" si="20"/>
        <v>1</v>
      </c>
      <c r="R27" s="715">
        <f t="shared" ca="1" si="21"/>
        <v>6234</v>
      </c>
      <c r="S27" s="361">
        <f t="shared" ca="1" si="12"/>
        <v>512</v>
      </c>
    </row>
    <row r="28" spans="1:45">
      <c r="A28" s="2965" t="str">
        <f>面积1!B12</f>
        <v>新疆维吾尔自治区乌鲁木齐市沙依巴克区长江路52号1栋22层办公用房房地产</v>
      </c>
      <c r="B28" s="717">
        <f>面积1!D12</f>
        <v>821</v>
      </c>
      <c r="C28" s="24">
        <f t="shared" si="13"/>
        <v>1</v>
      </c>
      <c r="D28" s="719" t="s">
        <v>3140</v>
      </c>
      <c r="E28" s="24">
        <f t="shared" si="14"/>
        <v>1.02</v>
      </c>
      <c r="F28" s="719" t="s">
        <v>3148</v>
      </c>
      <c r="G28" s="24">
        <f t="shared" si="15"/>
        <v>1</v>
      </c>
      <c r="H28" s="719" t="s">
        <v>3148</v>
      </c>
      <c r="I28" s="24">
        <f t="shared" si="16"/>
        <v>1</v>
      </c>
      <c r="J28" s="719"/>
      <c r="K28" s="24">
        <f t="shared" si="17"/>
        <v>1</v>
      </c>
      <c r="L28" s="719"/>
      <c r="M28" s="24">
        <f t="shared" si="18"/>
        <v>1</v>
      </c>
      <c r="N28" s="719"/>
      <c r="O28" s="24">
        <f t="shared" si="19"/>
        <v>1</v>
      </c>
      <c r="P28" s="719"/>
      <c r="Q28" s="24">
        <f t="shared" si="20"/>
        <v>1</v>
      </c>
      <c r="R28" s="715">
        <f t="shared" ca="1" si="21"/>
        <v>6234</v>
      </c>
      <c r="S28" s="361">
        <f t="shared" ca="1" si="12"/>
        <v>512</v>
      </c>
    </row>
    <row r="29" spans="1:45">
      <c r="A29" s="2965" t="str">
        <f>面积1!B13</f>
        <v>新疆维吾尔自治区乌鲁木齐市沙依巴克区长江路52号1栋23层办公用房房地产</v>
      </c>
      <c r="B29" s="717">
        <f>面积1!D13</f>
        <v>821</v>
      </c>
      <c r="C29" s="24">
        <f t="shared" si="13"/>
        <v>1</v>
      </c>
      <c r="D29" s="719" t="s">
        <v>3140</v>
      </c>
      <c r="E29" s="24">
        <f t="shared" si="14"/>
        <v>1.02</v>
      </c>
      <c r="F29" s="719" t="s">
        <v>3148</v>
      </c>
      <c r="G29" s="24">
        <f t="shared" si="15"/>
        <v>1</v>
      </c>
      <c r="H29" s="719" t="s">
        <v>3151</v>
      </c>
      <c r="I29" s="24">
        <f t="shared" si="16"/>
        <v>0.96</v>
      </c>
      <c r="J29" s="719"/>
      <c r="K29" s="24">
        <f t="shared" si="17"/>
        <v>1</v>
      </c>
      <c r="L29" s="719"/>
      <c r="M29" s="24">
        <f t="shared" si="18"/>
        <v>1</v>
      </c>
      <c r="N29" s="719"/>
      <c r="O29" s="24">
        <f t="shared" si="19"/>
        <v>1</v>
      </c>
      <c r="P29" s="719"/>
      <c r="Q29" s="24">
        <f t="shared" si="20"/>
        <v>1</v>
      </c>
      <c r="R29" s="715">
        <f t="shared" ca="1" si="21"/>
        <v>5985</v>
      </c>
      <c r="S29" s="361">
        <f t="shared" ca="1" si="12"/>
        <v>491</v>
      </c>
    </row>
    <row r="30" spans="1:45">
      <c r="A30" s="2965" t="str">
        <f>面积1!B14</f>
        <v>新疆维吾尔自治区乌鲁木齐市沙依巴克区长江路52号1栋24层办公用房房地产</v>
      </c>
      <c r="B30" s="717">
        <f>面积1!D14</f>
        <v>821</v>
      </c>
      <c r="C30" s="24">
        <f t="shared" si="13"/>
        <v>1</v>
      </c>
      <c r="D30" s="719" t="s">
        <v>3140</v>
      </c>
      <c r="E30" s="24">
        <f t="shared" si="14"/>
        <v>1.02</v>
      </c>
      <c r="F30" s="719" t="s">
        <v>3148</v>
      </c>
      <c r="G30" s="24">
        <f t="shared" si="15"/>
        <v>1</v>
      </c>
      <c r="H30" s="719" t="s">
        <v>3151</v>
      </c>
      <c r="I30" s="24">
        <f t="shared" si="16"/>
        <v>0.96</v>
      </c>
      <c r="J30" s="719"/>
      <c r="K30" s="24">
        <f t="shared" si="17"/>
        <v>1</v>
      </c>
      <c r="L30" s="719"/>
      <c r="M30" s="24">
        <f t="shared" si="18"/>
        <v>1</v>
      </c>
      <c r="N30" s="719"/>
      <c r="O30" s="24">
        <f t="shared" si="19"/>
        <v>1</v>
      </c>
      <c r="P30" s="719"/>
      <c r="Q30" s="24">
        <f t="shared" si="20"/>
        <v>1</v>
      </c>
      <c r="R30" s="715">
        <f t="shared" ca="1" si="21"/>
        <v>5985</v>
      </c>
      <c r="S30" s="361">
        <f t="shared" ca="1" si="12"/>
        <v>491</v>
      </c>
    </row>
    <row r="31" spans="1:45">
      <c r="A31" s="2965" t="str">
        <f>面积1!B15</f>
        <v>新疆维吾尔自治区乌鲁木齐市沙依巴克区长江路52号1栋25层办公用房房地产</v>
      </c>
      <c r="B31" s="717">
        <f>面积1!D15</f>
        <v>821</v>
      </c>
      <c r="C31" s="24">
        <f t="shared" si="13"/>
        <v>1</v>
      </c>
      <c r="D31" s="719" t="s">
        <v>3140</v>
      </c>
      <c r="E31" s="24">
        <f t="shared" si="14"/>
        <v>1.02</v>
      </c>
      <c r="F31" s="719" t="s">
        <v>3148</v>
      </c>
      <c r="G31" s="24">
        <f t="shared" si="15"/>
        <v>1</v>
      </c>
      <c r="H31" s="719" t="s">
        <v>3151</v>
      </c>
      <c r="I31" s="24">
        <f t="shared" si="16"/>
        <v>0.96</v>
      </c>
      <c r="J31" s="719"/>
      <c r="K31" s="24">
        <f t="shared" si="17"/>
        <v>1</v>
      </c>
      <c r="L31" s="719"/>
      <c r="M31" s="24">
        <f t="shared" si="18"/>
        <v>1</v>
      </c>
      <c r="N31" s="719"/>
      <c r="O31" s="24">
        <f t="shared" si="19"/>
        <v>1</v>
      </c>
      <c r="P31" s="719"/>
      <c r="Q31" s="24">
        <f t="shared" si="20"/>
        <v>1</v>
      </c>
      <c r="R31" s="715">
        <f t="shared" ca="1" si="21"/>
        <v>5985</v>
      </c>
      <c r="S31" s="361">
        <f t="shared" ca="1" si="12"/>
        <v>491</v>
      </c>
    </row>
    <row r="32" spans="1:45">
      <c r="A32" s="2965" t="str">
        <f>面积1!B16</f>
        <v>新疆维吾尔自治区乌鲁木齐市沙依巴克区长江路52号1栋26层办公用房房地产</v>
      </c>
      <c r="B32" s="717">
        <f>面积1!D16</f>
        <v>821</v>
      </c>
      <c r="C32" s="24">
        <f t="shared" si="13"/>
        <v>1</v>
      </c>
      <c r="D32" s="719" t="s">
        <v>3140</v>
      </c>
      <c r="E32" s="24">
        <f t="shared" si="14"/>
        <v>1.02</v>
      </c>
      <c r="F32" s="719" t="s">
        <v>3148</v>
      </c>
      <c r="G32" s="24">
        <f t="shared" si="15"/>
        <v>1</v>
      </c>
      <c r="H32" s="719" t="s">
        <v>3151</v>
      </c>
      <c r="I32" s="24">
        <f t="shared" si="16"/>
        <v>0.96</v>
      </c>
      <c r="J32" s="719"/>
      <c r="K32" s="24">
        <f t="shared" si="17"/>
        <v>1</v>
      </c>
      <c r="L32" s="719"/>
      <c r="M32" s="24">
        <f t="shared" si="18"/>
        <v>1</v>
      </c>
      <c r="N32" s="719"/>
      <c r="O32" s="24">
        <f t="shared" si="19"/>
        <v>1</v>
      </c>
      <c r="P32" s="719"/>
      <c r="Q32" s="24">
        <f t="shared" si="20"/>
        <v>1</v>
      </c>
      <c r="R32" s="715">
        <f t="shared" ca="1" si="21"/>
        <v>5985</v>
      </c>
      <c r="S32" s="361">
        <f t="shared" ca="1" si="12"/>
        <v>491</v>
      </c>
    </row>
    <row r="33" spans="1:19">
      <c r="A33" s="2965" t="str">
        <f>面积1!B17</f>
        <v>新疆维吾尔自治区乌鲁木齐市沙依巴克区长江路52号1栋27层办公用房房地产</v>
      </c>
      <c r="B33" s="717">
        <f>面积1!D17</f>
        <v>821</v>
      </c>
      <c r="C33" s="24">
        <f t="shared" si="13"/>
        <v>1</v>
      </c>
      <c r="D33" s="719" t="s">
        <v>3140</v>
      </c>
      <c r="E33" s="24">
        <f t="shared" si="14"/>
        <v>1.02</v>
      </c>
      <c r="F33" s="719" t="s">
        <v>3151</v>
      </c>
      <c r="G33" s="24">
        <f t="shared" si="15"/>
        <v>0.96</v>
      </c>
      <c r="H33" s="719" t="s">
        <v>3151</v>
      </c>
      <c r="I33" s="24">
        <f t="shared" si="16"/>
        <v>0.96</v>
      </c>
      <c r="J33" s="719"/>
      <c r="K33" s="24">
        <f t="shared" si="17"/>
        <v>1</v>
      </c>
      <c r="L33" s="719"/>
      <c r="M33" s="24">
        <f t="shared" si="18"/>
        <v>1</v>
      </c>
      <c r="N33" s="719"/>
      <c r="O33" s="24">
        <f t="shared" si="19"/>
        <v>1</v>
      </c>
      <c r="P33" s="719"/>
      <c r="Q33" s="24">
        <f t="shared" si="20"/>
        <v>1</v>
      </c>
      <c r="R33" s="715">
        <f t="shared" ca="1" si="21"/>
        <v>5745</v>
      </c>
      <c r="S33" s="361">
        <f t="shared" ca="1" si="12"/>
        <v>472</v>
      </c>
    </row>
    <row r="34" spans="1:19">
      <c r="A34" s="2965" t="str">
        <f>面积1!B18</f>
        <v>新疆维吾尔自治区乌鲁木齐市沙依巴克区长江路52号1栋28层办公用房房地产</v>
      </c>
      <c r="B34" s="717">
        <f>面积1!D18</f>
        <v>821</v>
      </c>
      <c r="C34" s="24">
        <f t="shared" si="13"/>
        <v>1</v>
      </c>
      <c r="D34" s="719" t="s">
        <v>3140</v>
      </c>
      <c r="E34" s="24">
        <f t="shared" si="14"/>
        <v>1.02</v>
      </c>
      <c r="F34" s="719" t="s">
        <v>3151</v>
      </c>
      <c r="G34" s="24">
        <f t="shared" si="15"/>
        <v>0.96</v>
      </c>
      <c r="H34" s="719" t="s">
        <v>3151</v>
      </c>
      <c r="I34" s="24">
        <f t="shared" si="16"/>
        <v>0.96</v>
      </c>
      <c r="J34" s="719"/>
      <c r="K34" s="24">
        <f t="shared" si="17"/>
        <v>1</v>
      </c>
      <c r="L34" s="719"/>
      <c r="M34" s="24">
        <f t="shared" si="18"/>
        <v>1</v>
      </c>
      <c r="N34" s="719"/>
      <c r="O34" s="24">
        <f t="shared" si="19"/>
        <v>1</v>
      </c>
      <c r="P34" s="719"/>
      <c r="Q34" s="24">
        <f t="shared" si="20"/>
        <v>1</v>
      </c>
      <c r="R34" s="715">
        <f t="shared" ca="1" si="21"/>
        <v>5745</v>
      </c>
      <c r="S34" s="361">
        <f t="shared" ca="1" si="12"/>
        <v>472</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586</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2567</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501</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457</v>
      </c>
      <c r="D34" s="261"/>
      <c r="E34" s="264"/>
      <c r="F34" s="301">
        <f ca="1">IF('数据-取费表'!B24=0,1,IF(B1="",'数据-取费表'!N16,INDIRECT("'数据-取费表'!n"&amp;$G$1)))</f>
        <v>1</v>
      </c>
      <c r="G34" s="263" t="s">
        <v>2372</v>
      </c>
    </row>
    <row r="35" spans="1:7" ht="13.5" customHeight="1">
      <c r="A35" s="952" t="s">
        <v>795</v>
      </c>
      <c r="B35" s="259" t="s">
        <v>2373</v>
      </c>
      <c r="C35" s="264">
        <f ca="1">ROUND(C34*F35,0)</f>
        <v>14</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7</v>
      </c>
      <c r="D38" s="264"/>
      <c r="E38" s="264"/>
      <c r="F38" s="303">
        <f>'数据-取费表'!B36</f>
        <v>1.4999999999999999E-2</v>
      </c>
      <c r="G38" s="263" t="s">
        <v>2374</v>
      </c>
    </row>
    <row r="39" spans="1:7" s="258" customFormat="1" ht="13.5" customHeight="1">
      <c r="A39" s="299" t="s">
        <v>2380</v>
      </c>
      <c r="B39" s="254" t="s">
        <v>2381</v>
      </c>
      <c r="C39" s="276">
        <f ca="1">ROUND(C33*F20,0)</f>
        <v>10</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11</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11</v>
      </c>
      <c r="D42" s="282"/>
      <c r="E42" s="282"/>
      <c r="F42" s="283"/>
      <c r="G42" s="3264" t="s">
        <v>2390</v>
      </c>
    </row>
    <row r="43" spans="1:7" ht="13.5" customHeight="1">
      <c r="A43" s="952" t="s">
        <v>791</v>
      </c>
      <c r="B43" s="259" t="s">
        <v>2391</v>
      </c>
      <c r="C43" s="282">
        <f ca="1">ROUND(IF('数据-取费表'!B22&lt;=1,C39*F22*'数据-取费表'!B21/2,C39*(POWER((1+F22),'数据-取费表'!B21/2)-1)),0)</f>
        <v>0</v>
      </c>
      <c r="D43" s="282"/>
      <c r="E43" s="282"/>
      <c r="F43" s="283"/>
      <c r="G43" s="3265"/>
    </row>
    <row r="44" spans="1:7" ht="13.5" customHeight="1">
      <c r="A44" s="952" t="s">
        <v>792</v>
      </c>
      <c r="B44" s="259" t="s">
        <v>2392</v>
      </c>
      <c r="C44" s="282">
        <f ca="1">ROUND(IF('数据-取费表'!B22&lt;=1,C40*F22*'数据-取费表'!B21/2,C40*(POWER((1+F22),'数据-取费表'!B21/2)-1)),4)</f>
        <v>4.0000000000000002E-4</v>
      </c>
      <c r="D44" s="282"/>
      <c r="E44" s="282"/>
      <c r="F44" s="283"/>
      <c r="G44" s="3266"/>
    </row>
    <row r="45" spans="1:7" s="258" customFormat="1" ht="13.5" customHeight="1">
      <c r="A45" s="299" t="s">
        <v>2393</v>
      </c>
      <c r="B45" s="288" t="s">
        <v>2359</v>
      </c>
      <c r="C45" s="289">
        <f ca="1">C46</f>
        <v>51</v>
      </c>
      <c r="D45" s="279">
        <f ca="1">C47</f>
        <v>2E-3</v>
      </c>
      <c r="E45" s="280" t="s">
        <v>2385</v>
      </c>
      <c r="F45" s="290"/>
      <c r="G45" s="291" t="s">
        <v>2394</v>
      </c>
    </row>
    <row r="46" spans="1:7" s="258" customFormat="1" ht="13.5" customHeight="1">
      <c r="A46" s="952" t="s">
        <v>790</v>
      </c>
      <c r="B46" s="292" t="s">
        <v>2395</v>
      </c>
      <c r="C46" s="293">
        <f ca="1">ROUND((C33+C39)*F27,0)</f>
        <v>51</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620</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558</v>
      </c>
      <c r="D51" s="276"/>
      <c r="E51" s="276"/>
      <c r="F51" s="308"/>
      <c r="G51" s="278" t="s">
        <v>2406</v>
      </c>
    </row>
    <row r="52" spans="1:7" s="252" customFormat="1" ht="16.5" thickBot="1">
      <c r="A52" s="309" t="s">
        <v>2407</v>
      </c>
      <c r="B52" s="310"/>
      <c r="C52" s="311">
        <f ca="1">C31+C51</f>
        <v>586</v>
      </c>
      <c r="D52" s="310"/>
      <c r="E52" s="310"/>
      <c r="F52" s="310"/>
      <c r="G52" s="312"/>
    </row>
    <row r="55" spans="1:7" ht="15">
      <c r="B55" s="314" t="s">
        <v>2408</v>
      </c>
      <c r="C55" s="315"/>
    </row>
    <row r="56" spans="1:7">
      <c r="B56" s="317" t="s">
        <v>1511</v>
      </c>
      <c r="C56" s="319">
        <f ca="1">1-C57</f>
        <v>4.8000000000000043E-2</v>
      </c>
    </row>
    <row r="57" spans="1:7">
      <c r="B57" s="317" t="s">
        <v>1512</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586</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2567</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4998916</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4565220</v>
      </c>
      <c r="D34" s="261"/>
      <c r="E34" s="264"/>
      <c r="F34" s="301"/>
      <c r="G34" s="263"/>
    </row>
    <row r="35" spans="1:7" ht="13.5" customHeight="1">
      <c r="A35" s="952" t="s">
        <v>795</v>
      </c>
      <c r="B35" s="259" t="s">
        <v>2373</v>
      </c>
      <c r="C35" s="264">
        <f ca="1">ROUND(C34*F35,0)</f>
        <v>136957</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68478</v>
      </c>
      <c r="D38" s="264"/>
      <c r="E38" s="264"/>
      <c r="F38" s="303">
        <f>'数据-取费表'!B36</f>
        <v>1.4999999999999999E-2</v>
      </c>
      <c r="G38" s="263" t="s">
        <v>2374</v>
      </c>
    </row>
    <row r="39" spans="1:7" s="258" customFormat="1" ht="13.5" customHeight="1">
      <c r="A39" s="299" t="s">
        <v>2380</v>
      </c>
      <c r="B39" s="254" t="s">
        <v>2381</v>
      </c>
      <c r="C39" s="276">
        <f ca="1">ROUND(C33*F20,0)</f>
        <v>99978</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110901</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108726</v>
      </c>
      <c r="D42" s="282"/>
      <c r="E42" s="282"/>
      <c r="F42" s="283"/>
      <c r="G42" s="3264" t="s">
        <v>2437</v>
      </c>
    </row>
    <row r="43" spans="1:7" ht="13.5" customHeight="1">
      <c r="A43" s="952" t="s">
        <v>791</v>
      </c>
      <c r="B43" s="259" t="s">
        <v>2391</v>
      </c>
      <c r="C43" s="282">
        <f ca="1">ROUND(IF('数据-取费表'!B22&lt;=1,C39*F22*'数据-取费表'!B20/2,C39*(POWER((1+F22),'数据-取费表'!B20/2)-1)),0)</f>
        <v>2175</v>
      </c>
      <c r="D43" s="282"/>
      <c r="E43" s="282"/>
      <c r="F43" s="283"/>
      <c r="G43" s="3265"/>
    </row>
    <row r="44" spans="1:7" ht="13.5" customHeight="1">
      <c r="A44" s="952" t="s">
        <v>792</v>
      </c>
      <c r="B44" s="259" t="s">
        <v>2392</v>
      </c>
      <c r="C44" s="282">
        <f ca="1">ROUND(IF('数据-取费表'!B22&lt;=1,C40*F22*'数据-取费表'!B20/2,C40*(POWER((1+F22),'数据-取费表'!B20/2)-1)),4)</f>
        <v>4.0000000000000002E-4</v>
      </c>
      <c r="D44" s="282"/>
      <c r="E44" s="282"/>
      <c r="F44" s="283"/>
      <c r="G44" s="3266"/>
    </row>
    <row r="45" spans="1:7" s="258" customFormat="1" ht="13.5" customHeight="1">
      <c r="A45" s="299" t="s">
        <v>2393</v>
      </c>
      <c r="B45" s="288" t="s">
        <v>2359</v>
      </c>
      <c r="C45" s="289">
        <f ca="1">C46</f>
        <v>509889</v>
      </c>
      <c r="D45" s="279">
        <f ca="1">C47</f>
        <v>2E-3</v>
      </c>
      <c r="E45" s="280" t="s">
        <v>2385</v>
      </c>
      <c r="F45" s="290"/>
      <c r="G45" s="291" t="s">
        <v>2394</v>
      </c>
    </row>
    <row r="46" spans="1:7" s="258" customFormat="1" ht="13.5" customHeight="1">
      <c r="A46" s="952" t="s">
        <v>790</v>
      </c>
      <c r="B46" s="292" t="s">
        <v>2395</v>
      </c>
      <c r="C46" s="293">
        <f ca="1">ROUND((C33+C39)*F27,0)</f>
        <v>509889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6188125</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5569313</v>
      </c>
      <c r="D51" s="276"/>
      <c r="E51" s="276"/>
      <c r="F51" s="308"/>
      <c r="G51" s="278" t="s">
        <v>2406</v>
      </c>
    </row>
    <row r="52" spans="1:7" s="252" customFormat="1" ht="16.5" thickBot="1">
      <c r="A52" s="309" t="s">
        <v>2407</v>
      </c>
      <c r="B52" s="310"/>
      <c r="C52" s="311">
        <f ca="1">C31+C51</f>
        <v>5857247</v>
      </c>
      <c r="D52" s="310"/>
      <c r="E52" s="310"/>
      <c r="F52" s="310"/>
      <c r="G52" s="312"/>
    </row>
    <row r="55" spans="1:7" ht="15">
      <c r="B55" s="314" t="s">
        <v>2408</v>
      </c>
      <c r="C55" s="315"/>
    </row>
    <row r="56" spans="1:7">
      <c r="B56" s="317" t="s">
        <v>1511</v>
      </c>
      <c r="C56" s="319">
        <f ca="1">1-C57</f>
        <v>4.9000000000000044E-2</v>
      </c>
    </row>
    <row r="57" spans="1:7">
      <c r="B57" s="317" t="s">
        <v>1512</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5" t="s">
        <v>2517</v>
      </c>
      <c r="D4" s="3226"/>
      <c r="E4" s="3227" t="s">
        <v>2518</v>
      </c>
      <c r="F4" s="3228"/>
      <c r="G4" s="3225" t="s">
        <v>2519</v>
      </c>
      <c r="H4" s="3226"/>
      <c r="I4" s="3225" t="s">
        <v>2520</v>
      </c>
      <c r="J4" s="3226"/>
      <c r="K4" s="2593" t="s">
        <v>2521</v>
      </c>
      <c r="L4" s="1131"/>
      <c r="M4" s="1132"/>
      <c r="N4" s="1132"/>
      <c r="O4" s="1132"/>
      <c r="P4" s="3278" t="s">
        <v>2522</v>
      </c>
      <c r="Q4" s="3279"/>
      <c r="R4" s="3268" t="s">
        <v>2518</v>
      </c>
      <c r="S4" s="3269"/>
      <c r="T4" s="3268" t="s">
        <v>2519</v>
      </c>
      <c r="U4" s="3269"/>
      <c r="V4" s="3238" t="s">
        <v>2520</v>
      </c>
      <c r="W4" s="3238"/>
      <c r="X4" s="1815"/>
      <c r="Y4" s="3268" t="s">
        <v>2522</v>
      </c>
      <c r="Z4" s="3269"/>
      <c r="AA4" s="3267" t="s">
        <v>2518</v>
      </c>
      <c r="AB4" s="3267" t="s">
        <v>2519</v>
      </c>
      <c r="AC4" s="3267" t="s">
        <v>2520</v>
      </c>
    </row>
    <row r="5" spans="1:29" ht="15">
      <c r="A5" s="404"/>
      <c r="B5" s="405"/>
      <c r="C5" s="3272" t="s">
        <v>2523</v>
      </c>
      <c r="D5" s="3273"/>
      <c r="E5" s="3270" t="s">
        <v>2524</v>
      </c>
      <c r="F5" s="3271"/>
      <c r="G5" s="3272" t="s">
        <v>2525</v>
      </c>
      <c r="H5" s="3273"/>
      <c r="I5" s="3272" t="s">
        <v>2526</v>
      </c>
      <c r="J5" s="3273"/>
      <c r="K5" s="2594"/>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2594"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9" t="s">
        <v>2530</v>
      </c>
      <c r="Q7" s="3240"/>
      <c r="R7" s="769" t="s">
        <v>23</v>
      </c>
      <c r="S7" s="770">
        <f t="shared" ref="S7:S15" si="0">F7</f>
        <v>0</v>
      </c>
      <c r="T7" s="769" t="s">
        <v>23</v>
      </c>
      <c r="U7" s="770">
        <f t="shared" ref="U7:U15" si="1">H7</f>
        <v>0</v>
      </c>
      <c r="V7" s="769" t="s">
        <v>23</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09" t="s">
        <v>2533</v>
      </c>
      <c r="Q8" s="3210"/>
      <c r="R8" s="769" t="s">
        <v>23</v>
      </c>
      <c r="S8" s="770">
        <f t="shared" si="0"/>
        <v>100</v>
      </c>
      <c r="T8" s="769" t="s">
        <v>23</v>
      </c>
      <c r="U8" s="770">
        <f t="shared" si="1"/>
        <v>100</v>
      </c>
      <c r="V8" s="769" t="s">
        <v>23</v>
      </c>
      <c r="W8" s="770">
        <f t="shared" si="2"/>
        <v>100</v>
      </c>
      <c r="X8" s="771"/>
      <c r="Y8" s="3209" t="s">
        <v>2533</v>
      </c>
      <c r="Z8" s="3210"/>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1"/>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21"/>
      <c r="Q11" s="1797" t="str">
        <f t="shared" si="6"/>
        <v>容积率</v>
      </c>
      <c r="R11" s="769" t="s">
        <v>21</v>
      </c>
      <c r="S11" s="770">
        <f t="shared" si="0"/>
        <v>100</v>
      </c>
      <c r="T11" s="769" t="s">
        <v>21</v>
      </c>
      <c r="U11" s="770">
        <f t="shared" si="1"/>
        <v>100</v>
      </c>
      <c r="V11" s="769" t="s">
        <v>21</v>
      </c>
      <c r="W11" s="770">
        <f t="shared" si="2"/>
        <v>100</v>
      </c>
      <c r="X11" s="771"/>
      <c r="Y11" s="3082"/>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1"/>
      <c r="Q12" s="1797">
        <f t="shared" si="6"/>
        <v>111</v>
      </c>
      <c r="R12" s="769" t="s">
        <v>21</v>
      </c>
      <c r="S12" s="770">
        <f t="shared" si="0"/>
        <v>100</v>
      </c>
      <c r="T12" s="769" t="s">
        <v>21</v>
      </c>
      <c r="U12" s="770">
        <f t="shared" si="1"/>
        <v>100</v>
      </c>
      <c r="V12" s="769" t="s">
        <v>21</v>
      </c>
      <c r="W12" s="770">
        <f t="shared" si="2"/>
        <v>100</v>
      </c>
      <c r="X12" s="771"/>
      <c r="Y12" s="308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1"/>
      <c r="Q13" s="1797">
        <f t="shared" si="6"/>
        <v>111</v>
      </c>
      <c r="R13" s="769" t="s">
        <v>21</v>
      </c>
      <c r="S13" s="770">
        <f t="shared" si="0"/>
        <v>100</v>
      </c>
      <c r="T13" s="769" t="s">
        <v>21</v>
      </c>
      <c r="U13" s="770">
        <f t="shared" si="1"/>
        <v>100</v>
      </c>
      <c r="V13" s="769" t="s">
        <v>21</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1"/>
      <c r="Q14" s="1797">
        <f t="shared" si="6"/>
        <v>111</v>
      </c>
      <c r="R14" s="769" t="s">
        <v>21</v>
      </c>
      <c r="S14" s="770">
        <f t="shared" si="0"/>
        <v>100</v>
      </c>
      <c r="T14" s="769" t="s">
        <v>21</v>
      </c>
      <c r="U14" s="770">
        <f t="shared" si="1"/>
        <v>100</v>
      </c>
      <c r="V14" s="769" t="s">
        <v>21</v>
      </c>
      <c r="W14" s="770">
        <f t="shared" si="2"/>
        <v>100</v>
      </c>
      <c r="X14" s="771"/>
      <c r="Y14" s="3082"/>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2541</v>
      </c>
      <c r="Q15" s="1812" t="str">
        <f t="shared" si="6"/>
        <v>居住社区成熟度</v>
      </c>
      <c r="R15" s="773" t="s">
        <v>21</v>
      </c>
      <c r="S15" s="774">
        <f t="shared" si="0"/>
        <v>100</v>
      </c>
      <c r="T15" s="773" t="s">
        <v>21</v>
      </c>
      <c r="U15" s="774">
        <f t="shared" si="1"/>
        <v>100</v>
      </c>
      <c r="V15" s="773" t="s">
        <v>21</v>
      </c>
      <c r="W15" s="774">
        <f t="shared" si="2"/>
        <v>100</v>
      </c>
      <c r="X15" s="1815"/>
      <c r="Y15" s="3243"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42"/>
      <c r="Q16" s="1812"/>
      <c r="R16" s="773"/>
      <c r="S16" s="774"/>
      <c r="T16" s="773"/>
      <c r="U16" s="774"/>
      <c r="V16" s="773"/>
      <c r="W16" s="774"/>
      <c r="X16" s="1815"/>
      <c r="Y16" s="3244"/>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1812" t="str">
        <f>B17</f>
        <v>交通便捷度</v>
      </c>
      <c r="R17" s="773" t="s">
        <v>21</v>
      </c>
      <c r="S17" s="774">
        <f>F17</f>
        <v>100</v>
      </c>
      <c r="T17" s="773" t="s">
        <v>21</v>
      </c>
      <c r="U17" s="774">
        <f>H17</f>
        <v>100</v>
      </c>
      <c r="V17" s="773" t="s">
        <v>21</v>
      </c>
      <c r="W17" s="774">
        <f>J17</f>
        <v>100</v>
      </c>
      <c r="X17" s="1815"/>
      <c r="Y17" s="3244"/>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42"/>
      <c r="Q18" s="1812"/>
      <c r="R18" s="773"/>
      <c r="S18" s="774"/>
      <c r="T18" s="773"/>
      <c r="U18" s="774"/>
      <c r="V18" s="773"/>
      <c r="W18" s="774"/>
      <c r="X18" s="1815"/>
      <c r="Y18" s="3244"/>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1812" t="str">
        <f>B19</f>
        <v>公共配套设施</v>
      </c>
      <c r="R19" s="773" t="s">
        <v>21</v>
      </c>
      <c r="S19" s="774">
        <f>F19</f>
        <v>100</v>
      </c>
      <c r="T19" s="773" t="s">
        <v>21</v>
      </c>
      <c r="U19" s="774">
        <f>H19</f>
        <v>100</v>
      </c>
      <c r="V19" s="773" t="s">
        <v>21</v>
      </c>
      <c r="W19" s="774">
        <f>J19</f>
        <v>100</v>
      </c>
      <c r="X19" s="1815"/>
      <c r="Y19" s="3244"/>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42"/>
      <c r="Q20" s="1812"/>
      <c r="R20" s="773"/>
      <c r="S20" s="774"/>
      <c r="T20" s="773"/>
      <c r="U20" s="774"/>
      <c r="V20" s="773"/>
      <c r="W20" s="774"/>
      <c r="X20" s="1815"/>
      <c r="Y20" s="3244"/>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42"/>
      <c r="Q22" s="1812"/>
      <c r="R22" s="773"/>
      <c r="S22" s="774"/>
      <c r="T22" s="773"/>
      <c r="U22" s="774"/>
      <c r="V22" s="773"/>
      <c r="W22" s="774"/>
      <c r="X22" s="1815"/>
      <c r="Y22" s="3244"/>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1812" t="str">
        <f>B23</f>
        <v>自然及人文环境</v>
      </c>
      <c r="R23" s="773" t="s">
        <v>21</v>
      </c>
      <c r="S23" s="774">
        <f>F23</f>
        <v>100</v>
      </c>
      <c r="T23" s="773" t="s">
        <v>21</v>
      </c>
      <c r="U23" s="774">
        <f>H23</f>
        <v>100</v>
      </c>
      <c r="V23" s="773" t="s">
        <v>21</v>
      </c>
      <c r="W23" s="774">
        <f>J23</f>
        <v>100</v>
      </c>
      <c r="X23" s="1815"/>
      <c r="Y23" s="3244"/>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42"/>
      <c r="Q24" s="1812"/>
      <c r="R24" s="773"/>
      <c r="S24" s="774"/>
      <c r="T24" s="773"/>
      <c r="U24" s="774"/>
      <c r="V24" s="773"/>
      <c r="W24" s="774"/>
      <c r="X24" s="1815"/>
      <c r="Y24" s="3244"/>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4"/>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2"/>
      <c r="Q26" s="1812" t="str">
        <f t="shared" si="11"/>
        <v>朝向</v>
      </c>
      <c r="R26" s="773" t="s">
        <v>21</v>
      </c>
      <c r="S26" s="774">
        <f t="shared" si="12"/>
        <v>100</v>
      </c>
      <c r="T26" s="773" t="s">
        <v>21</v>
      </c>
      <c r="U26" s="774">
        <f t="shared" si="13"/>
        <v>100</v>
      </c>
      <c r="V26" s="773" t="s">
        <v>21</v>
      </c>
      <c r="W26" s="774">
        <f t="shared" si="14"/>
        <v>100</v>
      </c>
      <c r="X26" s="1815"/>
      <c r="Y26" s="3244"/>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2"/>
      <c r="Q27" s="1797">
        <f t="shared" si="11"/>
        <v>111</v>
      </c>
      <c r="R27" s="769" t="s">
        <v>21</v>
      </c>
      <c r="S27" s="770">
        <f t="shared" si="12"/>
        <v>100</v>
      </c>
      <c r="T27" s="769" t="s">
        <v>21</v>
      </c>
      <c r="U27" s="770">
        <f t="shared" si="13"/>
        <v>100</v>
      </c>
      <c r="V27" s="769" t="s">
        <v>21</v>
      </c>
      <c r="W27" s="770">
        <f t="shared" si="14"/>
        <v>100</v>
      </c>
      <c r="X27" s="771"/>
      <c r="Y27" s="3244"/>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2"/>
      <c r="Q28" s="1812">
        <f t="shared" si="11"/>
        <v>111</v>
      </c>
      <c r="R28" s="773" t="s">
        <v>21</v>
      </c>
      <c r="S28" s="774">
        <f t="shared" si="12"/>
        <v>100</v>
      </c>
      <c r="T28" s="773" t="s">
        <v>21</v>
      </c>
      <c r="U28" s="774">
        <f t="shared" si="13"/>
        <v>100</v>
      </c>
      <c r="V28" s="773" t="s">
        <v>21</v>
      </c>
      <c r="W28" s="774">
        <f t="shared" si="14"/>
        <v>100</v>
      </c>
      <c r="X28" s="1815"/>
      <c r="Y28" s="3244"/>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2"/>
      <c r="Q29" s="1812">
        <f t="shared" si="11"/>
        <v>111</v>
      </c>
      <c r="R29" s="773" t="s">
        <v>21</v>
      </c>
      <c r="S29" s="774">
        <f t="shared" si="12"/>
        <v>100</v>
      </c>
      <c r="T29" s="773" t="s">
        <v>21</v>
      </c>
      <c r="U29" s="774">
        <f t="shared" si="13"/>
        <v>100</v>
      </c>
      <c r="V29" s="773" t="s">
        <v>21</v>
      </c>
      <c r="W29" s="774">
        <f t="shared" si="14"/>
        <v>100</v>
      </c>
      <c r="X29" s="1815"/>
      <c r="Y29" s="3244"/>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2"/>
      <c r="Q30" s="1812">
        <f t="shared" si="11"/>
        <v>111</v>
      </c>
      <c r="R30" s="773" t="s">
        <v>21</v>
      </c>
      <c r="S30" s="774">
        <f t="shared" si="12"/>
        <v>100</v>
      </c>
      <c r="T30" s="773" t="s">
        <v>21</v>
      </c>
      <c r="U30" s="774">
        <f t="shared" si="13"/>
        <v>100</v>
      </c>
      <c r="V30" s="773" t="s">
        <v>21</v>
      </c>
      <c r="W30" s="774">
        <f t="shared" si="14"/>
        <v>100</v>
      </c>
      <c r="X30" s="1815"/>
      <c r="Y30" s="3244"/>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2"/>
      <c r="Q31" s="1812">
        <f t="shared" si="11"/>
        <v>111</v>
      </c>
      <c r="R31" s="773" t="s">
        <v>21</v>
      </c>
      <c r="S31" s="774">
        <f t="shared" si="12"/>
        <v>100</v>
      </c>
      <c r="T31" s="773" t="s">
        <v>21</v>
      </c>
      <c r="U31" s="774">
        <f t="shared" si="13"/>
        <v>100</v>
      </c>
      <c r="V31" s="773" t="s">
        <v>21</v>
      </c>
      <c r="W31" s="774">
        <f t="shared" si="14"/>
        <v>100</v>
      </c>
      <c r="X31" s="1815"/>
      <c r="Y31" s="3244"/>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5" t="s">
        <v>2546</v>
      </c>
      <c r="Q32" s="1812" t="str">
        <f t="shared" si="11"/>
        <v>建筑类型</v>
      </c>
      <c r="R32" s="773" t="s">
        <v>21</v>
      </c>
      <c r="S32" s="774">
        <f t="shared" si="12"/>
        <v>100</v>
      </c>
      <c r="T32" s="773" t="s">
        <v>21</v>
      </c>
      <c r="U32" s="774">
        <f t="shared" si="13"/>
        <v>100</v>
      </c>
      <c r="V32" s="773" t="s">
        <v>21</v>
      </c>
      <c r="W32" s="774">
        <f t="shared" si="14"/>
        <v>100</v>
      </c>
      <c r="X32" s="1815"/>
      <c r="Y32" s="3248"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46"/>
      <c r="Q33" s="775" t="str">
        <f t="shared" si="11"/>
        <v>项目建筑规模</v>
      </c>
      <c r="R33" s="776" t="s">
        <v>21</v>
      </c>
      <c r="S33" s="777">
        <f t="shared" si="12"/>
        <v>100</v>
      </c>
      <c r="T33" s="776" t="s">
        <v>21</v>
      </c>
      <c r="U33" s="777">
        <f t="shared" si="13"/>
        <v>100</v>
      </c>
      <c r="V33" s="776" t="s">
        <v>21</v>
      </c>
      <c r="W33" s="777">
        <f t="shared" si="14"/>
        <v>100</v>
      </c>
      <c r="X33" s="778"/>
      <c r="Y33" s="3248"/>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6"/>
      <c r="Q34" s="1812" t="str">
        <f t="shared" si="11"/>
        <v>建筑结构</v>
      </c>
      <c r="R34" s="773" t="s">
        <v>21</v>
      </c>
      <c r="S34" s="774">
        <f t="shared" si="12"/>
        <v>100</v>
      </c>
      <c r="T34" s="773" t="s">
        <v>21</v>
      </c>
      <c r="U34" s="774">
        <f t="shared" si="13"/>
        <v>100</v>
      </c>
      <c r="V34" s="773" t="s">
        <v>21</v>
      </c>
      <c r="W34" s="774">
        <f t="shared" si="14"/>
        <v>100</v>
      </c>
      <c r="X34" s="1815"/>
      <c r="Y34" s="3248"/>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6"/>
      <c r="Q35" s="1812" t="str">
        <f t="shared" si="11"/>
        <v>建筑品质</v>
      </c>
      <c r="R35" s="773" t="s">
        <v>21</v>
      </c>
      <c r="S35" s="774">
        <f t="shared" si="12"/>
        <v>100</v>
      </c>
      <c r="T35" s="773" t="s">
        <v>21</v>
      </c>
      <c r="U35" s="774">
        <f t="shared" si="13"/>
        <v>100</v>
      </c>
      <c r="V35" s="773" t="s">
        <v>21</v>
      </c>
      <c r="W35" s="774">
        <f t="shared" si="14"/>
        <v>100</v>
      </c>
      <c r="X35" s="1815"/>
      <c r="Y35" s="3248"/>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6"/>
      <c r="Q36" s="1812" t="str">
        <f t="shared" si="11"/>
        <v>公共部分装修</v>
      </c>
      <c r="R36" s="773" t="s">
        <v>21</v>
      </c>
      <c r="S36" s="774">
        <f t="shared" si="12"/>
        <v>100</v>
      </c>
      <c r="T36" s="773" t="s">
        <v>21</v>
      </c>
      <c r="U36" s="774">
        <f t="shared" si="13"/>
        <v>100</v>
      </c>
      <c r="V36" s="773" t="s">
        <v>21</v>
      </c>
      <c r="W36" s="774">
        <f t="shared" si="14"/>
        <v>100</v>
      </c>
      <c r="X36" s="1815"/>
      <c r="Y36" s="3248"/>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6"/>
      <c r="Q37" s="1797" t="str">
        <f t="shared" si="11"/>
        <v>成新度</v>
      </c>
      <c r="R37" s="769" t="s">
        <v>21</v>
      </c>
      <c r="S37" s="770" t="e">
        <f t="shared" si="12"/>
        <v>#N/A</v>
      </c>
      <c r="T37" s="769" t="s">
        <v>21</v>
      </c>
      <c r="U37" s="770" t="e">
        <f t="shared" si="13"/>
        <v>#N/A</v>
      </c>
      <c r="V37" s="769" t="s">
        <v>21</v>
      </c>
      <c r="W37" s="770" t="e">
        <f t="shared" si="14"/>
        <v>#N/A</v>
      </c>
      <c r="X37" s="771"/>
      <c r="Y37" s="3248"/>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6" t="s">
        <v>2546</v>
      </c>
      <c r="Q38" s="1812" t="str">
        <f t="shared" si="11"/>
        <v>物业管理</v>
      </c>
      <c r="R38" s="773" t="s">
        <v>21</v>
      </c>
      <c r="S38" s="774">
        <f t="shared" si="12"/>
        <v>100</v>
      </c>
      <c r="T38" s="773" t="s">
        <v>21</v>
      </c>
      <c r="U38" s="774">
        <f t="shared" si="13"/>
        <v>100</v>
      </c>
      <c r="V38" s="773" t="s">
        <v>21</v>
      </c>
      <c r="W38" s="774">
        <f t="shared" si="14"/>
        <v>100</v>
      </c>
      <c r="X38" s="1815"/>
      <c r="Y38" s="3248"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6"/>
      <c r="Q39" s="1812" t="str">
        <f t="shared" si="11"/>
        <v>市政基础设施</v>
      </c>
      <c r="R39" s="773" t="s">
        <v>21</v>
      </c>
      <c r="S39" s="774">
        <f t="shared" si="12"/>
        <v>100</v>
      </c>
      <c r="T39" s="773" t="s">
        <v>21</v>
      </c>
      <c r="U39" s="774">
        <f t="shared" si="13"/>
        <v>100</v>
      </c>
      <c r="V39" s="773" t="s">
        <v>21</v>
      </c>
      <c r="W39" s="774">
        <f t="shared" si="14"/>
        <v>100</v>
      </c>
      <c r="X39" s="1815"/>
      <c r="Y39" s="3248"/>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6"/>
      <c r="Q40" s="1812" t="str">
        <f t="shared" si="11"/>
        <v>房型</v>
      </c>
      <c r="R40" s="773" t="s">
        <v>21</v>
      </c>
      <c r="S40" s="774">
        <f t="shared" si="12"/>
        <v>100</v>
      </c>
      <c r="T40" s="773" t="s">
        <v>21</v>
      </c>
      <c r="U40" s="774">
        <f t="shared" si="13"/>
        <v>100</v>
      </c>
      <c r="V40" s="773" t="s">
        <v>21</v>
      </c>
      <c r="W40" s="774">
        <f t="shared" si="14"/>
        <v>100</v>
      </c>
      <c r="X40" s="1815"/>
      <c r="Y40" s="3248"/>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6"/>
      <c r="Q42" s="1812" t="str">
        <f t="shared" si="11"/>
        <v>内部装修</v>
      </c>
      <c r="R42" s="773" t="s">
        <v>21</v>
      </c>
      <c r="S42" s="774">
        <f t="shared" si="12"/>
        <v>100</v>
      </c>
      <c r="T42" s="773" t="s">
        <v>21</v>
      </c>
      <c r="U42" s="774">
        <f t="shared" si="13"/>
        <v>100</v>
      </c>
      <c r="V42" s="773" t="s">
        <v>21</v>
      </c>
      <c r="W42" s="774">
        <f t="shared" si="14"/>
        <v>100</v>
      </c>
      <c r="X42" s="1815"/>
      <c r="Y42" s="3248"/>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6"/>
      <c r="Q43" s="1812" t="str">
        <f t="shared" si="11"/>
        <v>内部装修维护情况</v>
      </c>
      <c r="R43" s="773" t="s">
        <v>21</v>
      </c>
      <c r="S43" s="774">
        <f t="shared" si="12"/>
        <v>100</v>
      </c>
      <c r="T43" s="773" t="s">
        <v>21</v>
      </c>
      <c r="U43" s="774">
        <f t="shared" si="13"/>
        <v>100</v>
      </c>
      <c r="V43" s="773" t="s">
        <v>21</v>
      </c>
      <c r="W43" s="774">
        <f t="shared" si="14"/>
        <v>100</v>
      </c>
      <c r="X43" s="1815"/>
      <c r="Y43" s="3248"/>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6"/>
      <c r="Q44" s="1797">
        <f t="shared" si="11"/>
        <v>111</v>
      </c>
      <c r="R44" s="769" t="s">
        <v>21</v>
      </c>
      <c r="S44" s="770">
        <f t="shared" si="12"/>
        <v>100</v>
      </c>
      <c r="T44" s="769" t="s">
        <v>21</v>
      </c>
      <c r="U44" s="770">
        <f t="shared" si="13"/>
        <v>100</v>
      </c>
      <c r="V44" s="769" t="s">
        <v>21</v>
      </c>
      <c r="W44" s="770">
        <f t="shared" si="14"/>
        <v>100</v>
      </c>
      <c r="X44" s="771"/>
      <c r="Y44" s="3248"/>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6"/>
      <c r="Q45" s="1812">
        <f t="shared" si="11"/>
        <v>111</v>
      </c>
      <c r="R45" s="773" t="s">
        <v>21</v>
      </c>
      <c r="S45" s="774">
        <f t="shared" si="12"/>
        <v>100</v>
      </c>
      <c r="T45" s="773" t="s">
        <v>21</v>
      </c>
      <c r="U45" s="774">
        <f t="shared" si="13"/>
        <v>100</v>
      </c>
      <c r="V45" s="773" t="s">
        <v>21</v>
      </c>
      <c r="W45" s="774">
        <f t="shared" si="14"/>
        <v>100</v>
      </c>
      <c r="X45" s="1815"/>
      <c r="Y45" s="3248"/>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7"/>
      <c r="Q46" s="1812">
        <f t="shared" si="11"/>
        <v>111</v>
      </c>
      <c r="R46" s="773" t="s">
        <v>20</v>
      </c>
      <c r="S46" s="774">
        <f t="shared" si="12"/>
        <v>100</v>
      </c>
      <c r="T46" s="773" t="s">
        <v>20</v>
      </c>
      <c r="U46" s="774">
        <f t="shared" si="13"/>
        <v>100</v>
      </c>
      <c r="V46" s="773" t="s">
        <v>20</v>
      </c>
      <c r="W46" s="774">
        <f t="shared" si="14"/>
        <v>100</v>
      </c>
      <c r="X46" s="1815"/>
      <c r="Y46" s="3249"/>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50" t="str">
        <f>A47</f>
        <v>成交单价（元/平方米）</v>
      </c>
      <c r="Q47" s="3250"/>
      <c r="R47" s="3251">
        <f>E47</f>
        <v>0</v>
      </c>
      <c r="S47" s="3251"/>
      <c r="T47" s="3251">
        <f>G47</f>
        <v>0</v>
      </c>
      <c r="U47" s="3251"/>
      <c r="V47" s="3251">
        <f>I47</f>
        <v>0</v>
      </c>
      <c r="W47" s="3251"/>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82" t="str">
        <f>A49</f>
        <v>估价对象XX用房的比较价值（楼面单价，元/平方米）</v>
      </c>
      <c r="Q49" s="3283"/>
      <c r="R49" s="3284" t="e">
        <f>IF(F1="售价",ROUND(AVERAGE(R48:V48),0),ROUND(AVERAGE(R48:V48),1))</f>
        <v>#DIV/0!</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"本次评估采用的主估价方法为"&amp;结果表!K4&amp;"和"&amp;结果表!L4&amp;"。"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766</v>
      </c>
      <c r="C2" s="2563" t="s">
        <v>2500</v>
      </c>
      <c r="D2" s="2564" t="s">
        <v>2501</v>
      </c>
      <c r="E2" s="2565">
        <f>SUM(E6:E13)</f>
        <v>2282.61</v>
      </c>
    </row>
    <row r="3" spans="1:6" ht="15.75">
      <c r="A3" s="2561" t="s">
        <v>1392</v>
      </c>
      <c r="B3" s="2562">
        <f ca="1">ROUND(B2*10000/E2,0)</f>
        <v>3356</v>
      </c>
      <c r="C3" s="2563" t="s">
        <v>2508</v>
      </c>
      <c r="D3" s="2566"/>
      <c r="E3" s="2567"/>
    </row>
    <row r="4" spans="1:6" ht="15.75">
      <c r="A4" s="2568"/>
      <c r="B4" s="2566"/>
      <c r="C4" s="2566"/>
      <c r="D4" s="2566"/>
      <c r="E4" s="2567"/>
    </row>
    <row r="5" spans="1:6" ht="15">
      <c r="A5" s="2569" t="s">
        <v>2502</v>
      </c>
      <c r="B5" s="3285" t="s">
        <v>2503</v>
      </c>
      <c r="C5" s="3285"/>
      <c r="D5" s="2570"/>
      <c r="E5" s="2571" t="s">
        <v>2504</v>
      </c>
      <c r="F5" s="2572" t="s">
        <v>2505</v>
      </c>
    </row>
    <row r="6" spans="1:6">
      <c r="A6" s="2573" t="str">
        <f>'数据-取费表'!AN6</f>
        <v>收益法（办公）</v>
      </c>
      <c r="B6" s="2572">
        <f ca="1">IF(F6="是",'数据-取费表'!AO6,0)</f>
        <v>766</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286" t="s">
        <v>1075</v>
      </c>
      <c r="B1" s="3287"/>
      <c r="C1" s="3288"/>
      <c r="D1" s="3289">
        <f>SUM(I10,I15,I20,I21,I23)</f>
        <v>0</v>
      </c>
      <c r="E1" s="3289"/>
      <c r="F1" s="3289"/>
      <c r="G1" s="3289"/>
      <c r="H1" s="3289"/>
      <c r="I1" s="3290"/>
    </row>
    <row r="2" spans="1:9">
      <c r="A2" s="3291" t="s">
        <v>1076</v>
      </c>
      <c r="B2" s="3292" t="s">
        <v>1077</v>
      </c>
      <c r="C2" s="3292"/>
      <c r="D2" s="1302" t="s">
        <v>1078</v>
      </c>
      <c r="E2" s="1302" t="s">
        <v>1079</v>
      </c>
      <c r="F2" s="1302" t="s">
        <v>1080</v>
      </c>
      <c r="G2" s="1302" t="s">
        <v>1081</v>
      </c>
      <c r="H2" s="1302" t="s">
        <v>1082</v>
      </c>
      <c r="I2" s="1303" t="s">
        <v>1083</v>
      </c>
    </row>
    <row r="3" spans="1:9">
      <c r="A3" s="3291"/>
      <c r="B3" s="3292" t="s">
        <v>1084</v>
      </c>
      <c r="C3" s="3292"/>
      <c r="D3" s="1304"/>
      <c r="E3" s="1302"/>
      <c r="F3" s="1305"/>
      <c r="G3" s="1305"/>
      <c r="H3" s="1306"/>
      <c r="I3" s="1307">
        <f>ROUND(D3*E3*F3*G3*H3/10000,0)</f>
        <v>0</v>
      </c>
    </row>
    <row r="4" spans="1:9">
      <c r="A4" s="3291"/>
      <c r="B4" s="3292" t="s">
        <v>1085</v>
      </c>
      <c r="C4" s="3292"/>
      <c r="D4" s="1304"/>
      <c r="E4" s="1302"/>
      <c r="F4" s="1305"/>
      <c r="G4" s="1305"/>
      <c r="H4" s="1306"/>
      <c r="I4" s="1307">
        <f t="shared" ref="I4:I9" si="0">ROUND(D4*E4*F4*G4*H4/10000,0)</f>
        <v>0</v>
      </c>
    </row>
    <row r="5" spans="1:9">
      <c r="A5" s="3291"/>
      <c r="B5" s="3292" t="s">
        <v>1086</v>
      </c>
      <c r="C5" s="3292"/>
      <c r="D5" s="1304"/>
      <c r="E5" s="1302"/>
      <c r="F5" s="1305"/>
      <c r="G5" s="1305"/>
      <c r="H5" s="1306"/>
      <c r="I5" s="1307">
        <f t="shared" si="0"/>
        <v>0</v>
      </c>
    </row>
    <row r="6" spans="1:9">
      <c r="A6" s="3291"/>
      <c r="B6" s="3292" t="s">
        <v>1087</v>
      </c>
      <c r="C6" s="3292"/>
      <c r="D6" s="1304"/>
      <c r="E6" s="1302"/>
      <c r="F6" s="1305"/>
      <c r="G6" s="1305"/>
      <c r="H6" s="1306"/>
      <c r="I6" s="1307">
        <f t="shared" si="0"/>
        <v>0</v>
      </c>
    </row>
    <row r="7" spans="1:9">
      <c r="A7" s="3291"/>
      <c r="B7" s="3292" t="s">
        <v>1088</v>
      </c>
      <c r="C7" s="3292"/>
      <c r="D7" s="1304"/>
      <c r="E7" s="1302"/>
      <c r="F7" s="1305"/>
      <c r="G7" s="1305"/>
      <c r="H7" s="1306"/>
      <c r="I7" s="1307">
        <f t="shared" si="0"/>
        <v>0</v>
      </c>
    </row>
    <row r="8" spans="1:9">
      <c r="A8" s="3291"/>
      <c r="B8" s="3292" t="s">
        <v>1089</v>
      </c>
      <c r="C8" s="3292"/>
      <c r="D8" s="1304"/>
      <c r="E8" s="1302"/>
      <c r="F8" s="1305"/>
      <c r="G8" s="1305"/>
      <c r="H8" s="1306"/>
      <c r="I8" s="1307">
        <f t="shared" si="0"/>
        <v>0</v>
      </c>
    </row>
    <row r="9" spans="1:9">
      <c r="A9" s="3291"/>
      <c r="B9" s="3292" t="s">
        <v>1090</v>
      </c>
      <c r="C9" s="3292"/>
      <c r="D9" s="1304"/>
      <c r="E9" s="1302"/>
      <c r="F9" s="1305"/>
      <c r="G9" s="1305"/>
      <c r="H9" s="1306"/>
      <c r="I9" s="1307">
        <f t="shared" si="0"/>
        <v>0</v>
      </c>
    </row>
    <row r="10" spans="1:9">
      <c r="A10" s="3291"/>
      <c r="B10" s="3293" t="s">
        <v>1091</v>
      </c>
      <c r="C10" s="3293"/>
      <c r="D10" s="1308"/>
      <c r="E10" s="1308" t="e">
        <f>ROUND(D1*10000/D10/H9,0)</f>
        <v>#DIV/0!</v>
      </c>
      <c r="F10" s="1309"/>
      <c r="G10" s="1309"/>
      <c r="H10" s="1310"/>
      <c r="I10" s="1311">
        <f>SUM(I3:I9)</f>
        <v>0</v>
      </c>
    </row>
    <row r="11" spans="1:9" ht="14.25">
      <c r="A11" s="3291" t="s">
        <v>1092</v>
      </c>
      <c r="B11" s="3292" t="s">
        <v>1093</v>
      </c>
      <c r="C11" s="3292"/>
      <c r="D11" s="1304" t="s">
        <v>1094</v>
      </c>
      <c r="E11" s="1304" t="s">
        <v>1095</v>
      </c>
      <c r="F11" s="1305" t="s">
        <v>1096</v>
      </c>
      <c r="G11" s="1305" t="s">
        <v>1082</v>
      </c>
      <c r="H11" s="1312" t="s">
        <v>1097</v>
      </c>
      <c r="I11" s="1303" t="s">
        <v>1083</v>
      </c>
    </row>
    <row r="12" spans="1:9">
      <c r="A12" s="3291"/>
      <c r="B12" s="3292" t="s">
        <v>1098</v>
      </c>
      <c r="C12" s="3292"/>
      <c r="D12" s="1304"/>
      <c r="E12" s="1304"/>
      <c r="F12" s="1305"/>
      <c r="G12" s="1306"/>
      <c r="H12" s="1313"/>
      <c r="I12" s="1303">
        <f>ROUND(D12*E12*F12*G12/10000,0)</f>
        <v>0</v>
      </c>
    </row>
    <row r="13" spans="1:9">
      <c r="A13" s="3291"/>
      <c r="B13" s="3292" t="s">
        <v>1099</v>
      </c>
      <c r="C13" s="3292"/>
      <c r="D13" s="1304"/>
      <c r="E13" s="1304"/>
      <c r="F13" s="1305"/>
      <c r="G13" s="1306"/>
      <c r="H13" s="1313"/>
      <c r="I13" s="1303">
        <f>ROUND(D13*E13*F13*G13/10000,0)</f>
        <v>0</v>
      </c>
    </row>
    <row r="14" spans="1:9">
      <c r="A14" s="3291"/>
      <c r="B14" s="3292" t="s">
        <v>1100</v>
      </c>
      <c r="C14" s="3292"/>
      <c r="D14" s="1304"/>
      <c r="E14" s="1304"/>
      <c r="F14" s="1305"/>
      <c r="G14" s="1306"/>
      <c r="H14" s="1313"/>
      <c r="I14" s="1303">
        <f>ROUND(D14*E14*F14*G14/10000,0)</f>
        <v>0</v>
      </c>
    </row>
    <row r="15" spans="1:9">
      <c r="A15" s="3291"/>
      <c r="B15" s="3293" t="s">
        <v>1091</v>
      </c>
      <c r="C15" s="3293"/>
      <c r="D15" s="1308"/>
      <c r="E15" s="1308">
        <f>SUM(E12:E14)</f>
        <v>0</v>
      </c>
      <c r="F15" s="1309"/>
      <c r="G15" s="1306"/>
      <c r="H15" s="1313"/>
      <c r="I15" s="1314">
        <f>SUM(I12:I14)</f>
        <v>0</v>
      </c>
    </row>
    <row r="16" spans="1:9" ht="24">
      <c r="A16" s="3291" t="s">
        <v>1101</v>
      </c>
      <c r="B16" s="3292" t="s">
        <v>1102</v>
      </c>
      <c r="C16" s="3292"/>
      <c r="D16" s="1304" t="s">
        <v>1078</v>
      </c>
      <c r="E16" s="1315" t="s">
        <v>1103</v>
      </c>
      <c r="F16" s="1305" t="s">
        <v>1104</v>
      </c>
      <c r="G16" s="1306" t="s">
        <v>1082</v>
      </c>
      <c r="H16" s="1312" t="s">
        <v>1097</v>
      </c>
      <c r="I16" s="1303" t="s">
        <v>1083</v>
      </c>
    </row>
    <row r="17" spans="1:9" ht="14.25">
      <c r="A17" s="3291"/>
      <c r="B17" s="3292" t="s">
        <v>1105</v>
      </c>
      <c r="C17" s="3292"/>
      <c r="D17" s="1304"/>
      <c r="E17" s="1304"/>
      <c r="F17" s="1305"/>
      <c r="G17" s="1306"/>
      <c r="H17" s="1316"/>
      <c r="I17" s="1317">
        <f>ROUND(D17*E17*F17*G17/10000,0)</f>
        <v>0</v>
      </c>
    </row>
    <row r="18" spans="1:9" ht="14.25">
      <c r="A18" s="3291"/>
      <c r="B18" s="3292" t="s">
        <v>1106</v>
      </c>
      <c r="C18" s="3292"/>
      <c r="D18" s="1304"/>
      <c r="E18" s="1304"/>
      <c r="F18" s="1305"/>
      <c r="G18" s="1306"/>
      <c r="H18" s="1316"/>
      <c r="I18" s="1317">
        <f>ROUND(D18*E18*F18*G18/10000,0)</f>
        <v>0</v>
      </c>
    </row>
    <row r="19" spans="1:9" ht="14.25">
      <c r="A19" s="3291"/>
      <c r="B19" s="3292" t="s">
        <v>1107</v>
      </c>
      <c r="C19" s="3292"/>
      <c r="D19" s="1304"/>
      <c r="E19" s="1304"/>
      <c r="F19" s="1305"/>
      <c r="G19" s="1306"/>
      <c r="H19" s="1316"/>
      <c r="I19" s="1317">
        <f>ROUND(D19*E19*F19*G19/10000,0)</f>
        <v>0</v>
      </c>
    </row>
    <row r="20" spans="1:9">
      <c r="A20" s="3291"/>
      <c r="B20" s="3293" t="s">
        <v>1091</v>
      </c>
      <c r="C20" s="3293"/>
      <c r="D20" s="1308">
        <f>SUM(D17:D19)</f>
        <v>0</v>
      </c>
      <c r="E20" s="1308"/>
      <c r="F20" s="1309"/>
      <c r="G20" s="1306"/>
      <c r="H20" s="1313"/>
      <c r="I20" s="1314">
        <f>SUM(I17:I19)</f>
        <v>0</v>
      </c>
    </row>
    <row r="21" spans="1:9">
      <c r="A21" s="3291" t="s">
        <v>1108</v>
      </c>
      <c r="B21" s="3295"/>
      <c r="C21" s="3295"/>
      <c r="D21" s="3295"/>
      <c r="E21" s="3295"/>
      <c r="F21" s="3295"/>
      <c r="G21" s="3295"/>
      <c r="H21" s="1767">
        <v>0.1</v>
      </c>
      <c r="I21" s="1311">
        <f>ROUND(I10*H21,0)</f>
        <v>0</v>
      </c>
    </row>
    <row r="22" spans="1:9" ht="14.25">
      <c r="A22" s="3296" t="s">
        <v>1109</v>
      </c>
      <c r="B22" s="3297"/>
      <c r="C22" s="3298"/>
      <c r="D22" s="1318" t="s">
        <v>1110</v>
      </c>
      <c r="E22" s="1318" t="s">
        <v>1111</v>
      </c>
      <c r="F22" s="1319" t="s">
        <v>1112</v>
      </c>
      <c r="G22" s="1319" t="s">
        <v>1113</v>
      </c>
      <c r="H22" s="1312" t="s">
        <v>1114</v>
      </c>
      <c r="I22" s="1303" t="s">
        <v>1115</v>
      </c>
    </row>
    <row r="23" spans="1:9" ht="14.25" thickBot="1">
      <c r="A23" s="3299"/>
      <c r="B23" s="3300"/>
      <c r="C23" s="3301"/>
      <c r="D23" s="1320"/>
      <c r="E23" s="1320"/>
      <c r="F23" s="1320"/>
      <c r="G23" s="1321"/>
      <c r="H23" s="1322"/>
      <c r="I23" s="1323">
        <f>ROUND(E23*D23*F23*(1-G23)/10000,0)</f>
        <v>0</v>
      </c>
    </row>
    <row r="26" spans="1:9">
      <c r="A26" s="1324" t="s">
        <v>1116</v>
      </c>
      <c r="B26" s="1324"/>
      <c r="C26" s="1324"/>
      <c r="D26" s="1324"/>
      <c r="E26" s="3302">
        <f>C27-C30-C31-C32</f>
        <v>0</v>
      </c>
      <c r="F26" s="3302"/>
      <c r="G26" s="3302"/>
      <c r="H26" s="1739" t="s">
        <v>1337</v>
      </c>
    </row>
    <row r="27" spans="1:9">
      <c r="A27" s="1325">
        <v>1</v>
      </c>
      <c r="B27" s="1326" t="s">
        <v>1117</v>
      </c>
      <c r="C27" s="1326">
        <f>C28+C29</f>
        <v>0</v>
      </c>
      <c r="D27" s="1326"/>
      <c r="E27" s="3303"/>
      <c r="F27" s="3303"/>
      <c r="G27" s="3303"/>
    </row>
    <row r="28" spans="1:9">
      <c r="A28" s="1327" t="s">
        <v>1118</v>
      </c>
      <c r="B28" s="1326" t="s">
        <v>1119</v>
      </c>
      <c r="C28" s="1326"/>
      <c r="D28" s="1326"/>
      <c r="E28" s="3303"/>
      <c r="F28" s="3303"/>
      <c r="G28" s="3303"/>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4"/>
      <c r="F32" s="3294"/>
      <c r="G32" s="3294"/>
    </row>
    <row r="33" spans="1:7" hidden="1">
      <c r="A33" s="3304" t="s">
        <v>1128</v>
      </c>
      <c r="B33" s="3305"/>
      <c r="C33" s="3305"/>
      <c r="D33" s="3306"/>
      <c r="E33" s="3302"/>
      <c r="F33" s="3302"/>
      <c r="G33" s="3302"/>
    </row>
    <row r="34" spans="1:7" hidden="1">
      <c r="A34" s="1329">
        <v>1</v>
      </c>
      <c r="B34" s="1326" t="s">
        <v>1129</v>
      </c>
      <c r="C34" s="1326"/>
      <c r="D34" s="1326"/>
      <c r="E34" s="3303"/>
      <c r="F34" s="3303"/>
      <c r="G34" s="3303"/>
    </row>
    <row r="35" spans="1:7" hidden="1">
      <c r="A35" s="1329">
        <v>2</v>
      </c>
      <c r="B35" s="1326" t="s">
        <v>1130</v>
      </c>
      <c r="C35" s="1326"/>
      <c r="D35" s="1326"/>
      <c r="E35" s="3303"/>
      <c r="F35" s="3303"/>
      <c r="G35" s="3303"/>
    </row>
    <row r="36" spans="1:7" hidden="1">
      <c r="A36" s="1329">
        <v>3</v>
      </c>
      <c r="B36" s="1326" t="s">
        <v>1131</v>
      </c>
      <c r="C36" s="1326"/>
      <c r="D36" s="1326"/>
      <c r="E36" s="3303"/>
      <c r="F36" s="3303"/>
      <c r="G36" s="3303"/>
    </row>
    <row r="37" spans="1:7" hidden="1">
      <c r="A37" s="1329">
        <v>4</v>
      </c>
      <c r="B37" s="1326" t="s">
        <v>1132</v>
      </c>
      <c r="C37" s="1326"/>
      <c r="D37" s="1326"/>
      <c r="E37" s="3303"/>
      <c r="F37" s="3303"/>
      <c r="G37" s="3303"/>
    </row>
    <row r="38" spans="1:7" hidden="1">
      <c r="A38" s="3304" t="s">
        <v>1133</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3127</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38" t="s">
        <v>2629</v>
      </c>
      <c r="AC4" s="3267" t="s">
        <v>2630</v>
      </c>
    </row>
    <row r="5" spans="1:29" ht="15">
      <c r="A5" s="404"/>
      <c r="B5" s="405"/>
      <c r="C5" s="3217" t="s">
        <v>3188</v>
      </c>
      <c r="D5" s="3218"/>
      <c r="E5" s="3215" t="s">
        <v>3199</v>
      </c>
      <c r="F5" s="3216"/>
      <c r="G5" s="3217" t="s">
        <v>3221</v>
      </c>
      <c r="H5" s="3218"/>
      <c r="I5" s="3217" t="s">
        <v>3222</v>
      </c>
      <c r="J5" s="3218"/>
      <c r="K5" s="610"/>
      <c r="L5" s="1131"/>
      <c r="M5" s="1132"/>
      <c r="N5" s="1132"/>
      <c r="O5" s="1132"/>
      <c r="P5" s="3280"/>
      <c r="Q5" s="3232"/>
      <c r="R5" s="3213"/>
      <c r="S5" s="3214"/>
      <c r="T5" s="3213"/>
      <c r="U5" s="3214"/>
      <c r="V5" s="3238"/>
      <c r="W5" s="3238"/>
      <c r="X5" s="1815"/>
      <c r="Y5" s="3213"/>
      <c r="Z5" s="3214"/>
      <c r="AA5" s="3207"/>
      <c r="AB5" s="3238"/>
      <c r="AC5" s="3207"/>
    </row>
    <row r="6" spans="1:29" ht="15.75" thickBot="1">
      <c r="A6" s="406"/>
      <c r="B6" s="407"/>
      <c r="C6" s="3219" t="s">
        <v>2778</v>
      </c>
      <c r="D6" s="3220"/>
      <c r="E6" s="3307" t="s">
        <v>2778</v>
      </c>
      <c r="F6" s="3308"/>
      <c r="G6" s="3219" t="s">
        <v>2778</v>
      </c>
      <c r="H6" s="3220"/>
      <c r="I6" s="3219" t="s">
        <v>3260</v>
      </c>
      <c r="J6" s="3220"/>
      <c r="K6" s="610" t="s">
        <v>2528</v>
      </c>
      <c r="L6" s="1131"/>
      <c r="M6" s="1132"/>
      <c r="N6" s="1132"/>
      <c r="O6" s="1132"/>
      <c r="P6" s="3281"/>
      <c r="Q6" s="3234"/>
      <c r="R6" s="3213"/>
      <c r="S6" s="3214"/>
      <c r="T6" s="3235"/>
      <c r="U6" s="3236"/>
      <c r="V6" s="3238"/>
      <c r="W6" s="3238"/>
      <c r="X6" s="1815"/>
      <c r="Y6" s="3235"/>
      <c r="Z6" s="3236"/>
      <c r="AA6" s="3208"/>
      <c r="AB6" s="3238"/>
      <c r="AC6" s="3208"/>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09" t="s">
        <v>2530</v>
      </c>
      <c r="Q7" s="3240"/>
      <c r="R7" s="769" t="s">
        <v>17</v>
      </c>
      <c r="S7" s="770">
        <f t="shared" ref="S7:S15" si="0">F7</f>
        <v>100</v>
      </c>
      <c r="T7" s="769" t="s">
        <v>17</v>
      </c>
      <c r="U7" s="770">
        <f t="shared" ref="U7:U15" si="1">H7</f>
        <v>100</v>
      </c>
      <c r="V7" s="769" t="s">
        <v>17</v>
      </c>
      <c r="W7" s="770">
        <f t="shared" ref="W7:W15" si="2">J7</f>
        <v>100</v>
      </c>
      <c r="X7" s="771"/>
      <c r="Y7" s="3209" t="s">
        <v>2530</v>
      </c>
      <c r="Z7" s="3210"/>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09" t="s">
        <v>2533</v>
      </c>
      <c r="Q8" s="3210"/>
      <c r="R8" s="769" t="s">
        <v>17</v>
      </c>
      <c r="S8" s="770">
        <f t="shared" si="0"/>
        <v>100</v>
      </c>
      <c r="T8" s="769" t="s">
        <v>17</v>
      </c>
      <c r="U8" s="770">
        <f t="shared" si="1"/>
        <v>100</v>
      </c>
      <c r="V8" s="769" t="s">
        <v>17</v>
      </c>
      <c r="W8" s="770">
        <f t="shared" si="2"/>
        <v>100</v>
      </c>
      <c r="X8" s="771"/>
      <c r="Y8" s="3209" t="s">
        <v>2533</v>
      </c>
      <c r="Z8" s="3210"/>
      <c r="AA8" s="772">
        <f t="shared" ref="AA8:AA46" si="3">D8/F8</f>
        <v>1</v>
      </c>
      <c r="AB8" s="772">
        <f t="shared" ref="AB8:AB46" si="4">D8/H8</f>
        <v>1</v>
      </c>
      <c r="AC8" s="772">
        <f t="shared" ref="AC8:AC46" si="5">D8/J8</f>
        <v>1</v>
      </c>
    </row>
    <row r="9" spans="1:29" s="117" customFormat="1">
      <c r="A9" s="415" t="s">
        <v>2534</v>
      </c>
      <c r="B9" s="71" t="s">
        <v>2535</v>
      </c>
      <c r="C9" s="2983" t="s">
        <v>3187</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21"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75" thickBot="1">
      <c r="A10" s="421"/>
      <c r="B10" s="422" t="s">
        <v>2538</v>
      </c>
      <c r="C10" s="423" t="s">
        <v>3129</v>
      </c>
      <c r="D10" s="136">
        <v>100</v>
      </c>
      <c r="E10" s="424" t="s">
        <v>3198</v>
      </c>
      <c r="F10" s="425">
        <f>SUMIF(65:65,E10,66:66)-SUMIF(65:65,C10,66:66)+100</f>
        <v>102</v>
      </c>
      <c r="G10" s="423" t="s">
        <v>3198</v>
      </c>
      <c r="H10" s="136">
        <f>SUMIF(65:65,G10,66:66)-SUMIF(65:65,C10,66:66)+100</f>
        <v>102</v>
      </c>
      <c r="I10" s="423" t="s">
        <v>3198</v>
      </c>
      <c r="J10" s="136">
        <f>SUMIF(65:65,I10,66:66)-SUMIF(65:65,C10,66:66)+100</f>
        <v>102</v>
      </c>
      <c r="K10" s="612">
        <v>1</v>
      </c>
      <c r="L10" s="1136"/>
      <c r="M10" s="1137"/>
      <c r="N10" s="1137"/>
      <c r="O10" s="1137"/>
      <c r="P10" s="3221"/>
      <c r="Q10" s="1797" t="str">
        <f t="shared" si="6"/>
        <v>土地使用年限（年）</v>
      </c>
      <c r="R10" s="769" t="s">
        <v>17</v>
      </c>
      <c r="S10" s="770">
        <f t="shared" si="0"/>
        <v>102</v>
      </c>
      <c r="T10" s="769" t="s">
        <v>17</v>
      </c>
      <c r="U10" s="770">
        <f t="shared" si="1"/>
        <v>102</v>
      </c>
      <c r="V10" s="769" t="s">
        <v>17</v>
      </c>
      <c r="W10" s="770">
        <f t="shared" si="2"/>
        <v>102</v>
      </c>
      <c r="X10" s="771"/>
      <c r="Y10" s="3082"/>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21"/>
      <c r="Q11" s="1797"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21"/>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21"/>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21"/>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3223</v>
      </c>
      <c r="F15" s="443">
        <f>SUMIF(76:76,E16,77:77)-SUMIF(76:76,C16,77:77)+100</f>
        <v>100</v>
      </c>
      <c r="G15" s="2987" t="s">
        <v>3224</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41" t="s">
        <v>2541</v>
      </c>
      <c r="Q15" s="1812" t="str">
        <f t="shared" si="6"/>
        <v>商业繁华度</v>
      </c>
      <c r="R15" s="773" t="s">
        <v>17</v>
      </c>
      <c r="S15" s="774">
        <f t="shared" si="0"/>
        <v>100</v>
      </c>
      <c r="T15" s="773" t="s">
        <v>17</v>
      </c>
      <c r="U15" s="774">
        <f t="shared" si="1"/>
        <v>95</v>
      </c>
      <c r="V15" s="773" t="s">
        <v>17</v>
      </c>
      <c r="W15" s="774">
        <f t="shared" si="2"/>
        <v>100</v>
      </c>
      <c r="X15" s="1815"/>
      <c r="Y15" s="3243" t="s">
        <v>2541</v>
      </c>
      <c r="Z15" s="1816" t="str">
        <f t="shared" si="7"/>
        <v>商业繁华度</v>
      </c>
      <c r="AA15" s="1813">
        <f t="shared" si="3"/>
        <v>1</v>
      </c>
      <c r="AB15" s="1813">
        <f t="shared" si="4"/>
        <v>1.0526315789473684</v>
      </c>
      <c r="AC15" s="1813">
        <f t="shared" si="5"/>
        <v>1</v>
      </c>
    </row>
    <row r="16" spans="1:29" ht="15">
      <c r="A16" s="428"/>
      <c r="B16" s="446"/>
      <c r="C16" s="447" t="s">
        <v>3131</v>
      </c>
      <c r="D16" s="448"/>
      <c r="E16" s="447" t="s">
        <v>3131</v>
      </c>
      <c r="F16" s="449"/>
      <c r="G16" s="447" t="s">
        <v>3130</v>
      </c>
      <c r="H16" s="450"/>
      <c r="I16" s="447" t="s">
        <v>3131</v>
      </c>
      <c r="J16" s="448"/>
      <c r="K16" s="615"/>
      <c r="L16" s="1141"/>
      <c r="M16" s="1132"/>
      <c r="N16" s="1132"/>
      <c r="O16" s="1132"/>
      <c r="P16" s="3242"/>
      <c r="Q16" s="1812"/>
      <c r="R16" s="773"/>
      <c r="S16" s="774"/>
      <c r="T16" s="773"/>
      <c r="U16" s="774"/>
      <c r="V16" s="773"/>
      <c r="W16" s="774"/>
      <c r="X16" s="1815"/>
      <c r="Y16" s="3244"/>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3225</v>
      </c>
      <c r="H17" s="455">
        <f>SUMIF(78:78,G18,79:79)-SUMIF(78:78,C18,79:79)+100</f>
        <v>98</v>
      </c>
      <c r="I17" s="2991" t="str">
        <f>C17</f>
        <v>一般</v>
      </c>
      <c r="J17" s="455">
        <f>SUMIF(78:78,I18,79:79)-SUMIF(78:78,C18,79:79)+100</f>
        <v>100</v>
      </c>
      <c r="K17" s="614">
        <v>2</v>
      </c>
      <c r="L17" s="1141"/>
      <c r="M17" s="1132"/>
      <c r="N17" s="1132"/>
      <c r="O17" s="1132"/>
      <c r="P17" s="3242"/>
      <c r="Q17" s="1812" t="str">
        <f>B17</f>
        <v>交通便捷度</v>
      </c>
      <c r="R17" s="773" t="s">
        <v>17</v>
      </c>
      <c r="S17" s="774">
        <f>F17</f>
        <v>100</v>
      </c>
      <c r="T17" s="773" t="s">
        <v>17</v>
      </c>
      <c r="U17" s="774">
        <f>H17</f>
        <v>98</v>
      </c>
      <c r="V17" s="773" t="s">
        <v>17</v>
      </c>
      <c r="W17" s="774">
        <f>J17</f>
        <v>100</v>
      </c>
      <c r="X17" s="1815"/>
      <c r="Y17" s="3244"/>
      <c r="Z17" s="1816" t="str">
        <f>Q17</f>
        <v>交通便捷度</v>
      </c>
      <c r="AA17" s="1813">
        <f t="shared" si="3"/>
        <v>1</v>
      </c>
      <c r="AB17" s="1813">
        <f t="shared" si="4"/>
        <v>1.0204081632653061</v>
      </c>
      <c r="AC17" s="1813">
        <f t="shared" si="5"/>
        <v>1</v>
      </c>
    </row>
    <row r="18" spans="1:29" ht="15">
      <c r="A18" s="428"/>
      <c r="B18" s="456"/>
      <c r="C18" s="2605" t="s">
        <v>3131</v>
      </c>
      <c r="D18" s="450"/>
      <c r="E18" s="2607" t="s">
        <v>3131</v>
      </c>
      <c r="F18" s="453"/>
      <c r="G18" s="2606" t="s">
        <v>3130</v>
      </c>
      <c r="H18" s="448"/>
      <c r="I18" s="2607" t="s">
        <v>3131</v>
      </c>
      <c r="J18" s="448"/>
      <c r="K18" s="615"/>
      <c r="L18" s="1141"/>
      <c r="M18" s="1132"/>
      <c r="N18" s="1132"/>
      <c r="O18" s="1132"/>
      <c r="P18" s="3242"/>
      <c r="Q18" s="1812"/>
      <c r="R18" s="773"/>
      <c r="S18" s="774"/>
      <c r="T18" s="773"/>
      <c r="U18" s="774"/>
      <c r="V18" s="773"/>
      <c r="W18" s="774"/>
      <c r="X18" s="1815"/>
      <c r="Y18" s="3244"/>
      <c r="Z18" s="1816"/>
      <c r="AA18" s="1813">
        <v>1</v>
      </c>
      <c r="AB18" s="1813">
        <v>1</v>
      </c>
      <c r="AC18" s="1813">
        <v>1</v>
      </c>
    </row>
    <row r="19" spans="1:29" ht="28.5">
      <c r="A19" s="428"/>
      <c r="B19" s="451" t="s">
        <v>2635</v>
      </c>
      <c r="C19" s="2604" t="str">
        <f>估价对象房地状况!C7</f>
        <v>较齐备</v>
      </c>
      <c r="D19" s="455">
        <v>100</v>
      </c>
      <c r="E19" s="2994" t="s">
        <v>3255</v>
      </c>
      <c r="F19" s="458">
        <f>SUMIF(80:80,E20,81:81)-SUMIF(80:80,C20,81:81)+100</f>
        <v>100</v>
      </c>
      <c r="G19" s="2993" t="s">
        <v>3256</v>
      </c>
      <c r="H19" s="450">
        <f>SUMIF(80:80,G20,81:81)-SUMIF(80:80,C20,81:81)+100</f>
        <v>98</v>
      </c>
      <c r="I19" s="457" t="str">
        <f>E19</f>
        <v>老城区、配套齐备</v>
      </c>
      <c r="J19" s="450">
        <f>SUMIF(80:80,I20,81:81)-SUMIF(80:80,C20,81:81)+100</f>
        <v>100</v>
      </c>
      <c r="K19" s="614">
        <v>2</v>
      </c>
      <c r="L19" s="1141"/>
      <c r="M19" s="1132"/>
      <c r="N19" s="1132"/>
      <c r="O19" s="1132"/>
      <c r="P19" s="3242"/>
      <c r="Q19" s="1812" t="str">
        <f>B19</f>
        <v>公共配套设施</v>
      </c>
      <c r="R19" s="773" t="s">
        <v>17</v>
      </c>
      <c r="S19" s="774">
        <f>F19</f>
        <v>100</v>
      </c>
      <c r="T19" s="773" t="s">
        <v>17</v>
      </c>
      <c r="U19" s="774">
        <f>H19</f>
        <v>98</v>
      </c>
      <c r="V19" s="773" t="s">
        <v>17</v>
      </c>
      <c r="W19" s="774">
        <f>J19</f>
        <v>100</v>
      </c>
      <c r="X19" s="1815"/>
      <c r="Y19" s="3244"/>
      <c r="Z19" s="1816" t="str">
        <f>Q19</f>
        <v>公共配套设施</v>
      </c>
      <c r="AA19" s="1813">
        <f t="shared" si="3"/>
        <v>1</v>
      </c>
      <c r="AB19" s="1813">
        <f t="shared" si="4"/>
        <v>1.0204081632653061</v>
      </c>
      <c r="AC19" s="1813">
        <f t="shared" si="5"/>
        <v>1</v>
      </c>
    </row>
    <row r="20" spans="1:29" ht="15">
      <c r="A20" s="428"/>
      <c r="B20" s="456"/>
      <c r="C20" s="447" t="s">
        <v>3132</v>
      </c>
      <c r="D20" s="448"/>
      <c r="E20" s="2602" t="s">
        <v>3132</v>
      </c>
      <c r="F20" s="449"/>
      <c r="G20" s="2601" t="s">
        <v>3131</v>
      </c>
      <c r="H20" s="448"/>
      <c r="I20" s="2602" t="s">
        <v>3132</v>
      </c>
      <c r="J20" s="448"/>
      <c r="K20" s="615"/>
      <c r="L20" s="1141"/>
      <c r="M20" s="1132"/>
      <c r="N20" s="1132"/>
      <c r="O20" s="1132"/>
      <c r="P20" s="3242"/>
      <c r="Q20" s="1812"/>
      <c r="R20" s="773"/>
      <c r="S20" s="774"/>
      <c r="T20" s="773"/>
      <c r="U20" s="774"/>
      <c r="V20" s="773"/>
      <c r="W20" s="774"/>
      <c r="X20" s="1815"/>
      <c r="Y20" s="3244"/>
      <c r="Z20" s="1816"/>
      <c r="AA20" s="1813">
        <v>1</v>
      </c>
      <c r="AB20" s="1813">
        <v>1</v>
      </c>
      <c r="AC20" s="1813">
        <v>1</v>
      </c>
    </row>
    <row r="21" spans="1:29" ht="15">
      <c r="A21" s="428"/>
      <c r="B21" s="1385" t="s">
        <v>2636</v>
      </c>
      <c r="C21" s="2604" t="str">
        <f>估价对象房地状况!C8</f>
        <v>七通</v>
      </c>
      <c r="D21" s="455">
        <v>100</v>
      </c>
      <c r="E21" s="2994" t="s">
        <v>3257</v>
      </c>
      <c r="F21" s="458">
        <f>SUMIF(82:82,E22,83:83)-SUMIF(82:82,C22,83:83)+100</f>
        <v>100</v>
      </c>
      <c r="G21" s="2994" t="s">
        <v>3257</v>
      </c>
      <c r="H21" s="450">
        <f>SUMIF(82:82,G22,83:83)-SUMIF(82:82,C22,83:83)+100</f>
        <v>100</v>
      </c>
      <c r="I21" s="2994" t="s">
        <v>3257</v>
      </c>
      <c r="J21" s="450">
        <f>SUMIF(82:82,I22,83:83)-SUMIF(82:82,C22,83:83)+100</f>
        <v>100</v>
      </c>
      <c r="K21" s="614">
        <v>1</v>
      </c>
      <c r="L21" s="1141"/>
      <c r="M21" s="1132"/>
      <c r="N21" s="1132"/>
      <c r="O21" s="1132"/>
      <c r="P21" s="3242"/>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t="s">
        <v>3122</v>
      </c>
      <c r="D22" s="448"/>
      <c r="E22" s="447" t="s">
        <v>3122</v>
      </c>
      <c r="F22" s="449"/>
      <c r="G22" s="447" t="s">
        <v>3122</v>
      </c>
      <c r="H22" s="448"/>
      <c r="I22" s="447" t="s">
        <v>3122</v>
      </c>
      <c r="J22" s="448"/>
      <c r="K22" s="1384"/>
      <c r="L22" s="1141"/>
      <c r="M22" s="1132"/>
      <c r="N22" s="1132"/>
      <c r="O22" s="1132"/>
      <c r="P22" s="3242"/>
      <c r="Q22" s="1812"/>
      <c r="R22" s="773"/>
      <c r="S22" s="774"/>
      <c r="T22" s="773"/>
      <c r="U22" s="774"/>
      <c r="V22" s="773"/>
      <c r="W22" s="774"/>
      <c r="X22" s="1815"/>
      <c r="Y22" s="3244"/>
      <c r="Z22" s="1816"/>
      <c r="AA22" s="1813">
        <v>1</v>
      </c>
      <c r="AB22" s="1813">
        <v>1</v>
      </c>
      <c r="AC22" s="1813">
        <v>1</v>
      </c>
    </row>
    <row r="23" spans="1:29" ht="75" customHeight="1">
      <c r="A23" s="428"/>
      <c r="B23" s="451" t="s">
        <v>2083</v>
      </c>
      <c r="C23" s="2661" t="str">
        <f>估价对象房地状况!C9</f>
        <v>一般</v>
      </c>
      <c r="D23" s="450">
        <v>100</v>
      </c>
      <c r="E23" s="2990" t="s">
        <v>3254</v>
      </c>
      <c r="F23" s="453">
        <f>SUMIF(84:84,E24,85:85)-SUMIF(84:84,C24,85:85)+100</f>
        <v>100</v>
      </c>
      <c r="G23" s="2989" t="s">
        <v>3254</v>
      </c>
      <c r="H23" s="450">
        <f>SUMIF(84:84,G24,85:85)-SUMIF(84:84,C24,85:85)+100</f>
        <v>100</v>
      </c>
      <c r="I23" s="2990" t="s">
        <v>3254</v>
      </c>
      <c r="J23" s="450">
        <f>SUMIF(84:84,I24,85:85)-SUMIF(84:84,C24,85:85)+100</f>
        <v>100</v>
      </c>
      <c r="K23" s="614">
        <v>2</v>
      </c>
      <c r="L23" s="1141"/>
      <c r="M23" s="1132"/>
      <c r="N23" s="1132"/>
      <c r="O23" s="1132"/>
      <c r="P23" s="3242"/>
      <c r="Q23" s="1812" t="str">
        <f>B23</f>
        <v>自然及人文环境</v>
      </c>
      <c r="R23" s="773" t="s">
        <v>17</v>
      </c>
      <c r="S23" s="774">
        <f>F23</f>
        <v>100</v>
      </c>
      <c r="T23" s="773" t="s">
        <v>17</v>
      </c>
      <c r="U23" s="774">
        <f>H23</f>
        <v>100</v>
      </c>
      <c r="V23" s="773" t="s">
        <v>17</v>
      </c>
      <c r="W23" s="774">
        <f>J23</f>
        <v>100</v>
      </c>
      <c r="X23" s="1815"/>
      <c r="Y23" s="3244"/>
      <c r="Z23" s="1816" t="str">
        <f>Q23</f>
        <v>自然及人文环境</v>
      </c>
      <c r="AA23" s="1813">
        <f t="shared" si="3"/>
        <v>1</v>
      </c>
      <c r="AB23" s="1813">
        <f t="shared" si="4"/>
        <v>1</v>
      </c>
      <c r="AC23" s="1813">
        <f t="shared" si="5"/>
        <v>1</v>
      </c>
    </row>
    <row r="24" spans="1:29" ht="15">
      <c r="A24" s="428"/>
      <c r="B24" s="456"/>
      <c r="C24" s="447" t="s">
        <v>3130</v>
      </c>
      <c r="D24" s="448"/>
      <c r="E24" s="2602" t="s">
        <v>3130</v>
      </c>
      <c r="F24" s="449"/>
      <c r="G24" s="2601" t="s">
        <v>3130</v>
      </c>
      <c r="H24" s="448"/>
      <c r="I24" s="2602" t="s">
        <v>3130</v>
      </c>
      <c r="J24" s="448"/>
      <c r="K24" s="615"/>
      <c r="L24" s="1141"/>
      <c r="M24" s="1132"/>
      <c r="N24" s="1132"/>
      <c r="O24" s="1132"/>
      <c r="P24" s="3242"/>
      <c r="Q24" s="1812"/>
      <c r="R24" s="773"/>
      <c r="S24" s="774"/>
      <c r="T24" s="773"/>
      <c r="U24" s="774"/>
      <c r="V24" s="773"/>
      <c r="W24" s="774"/>
      <c r="X24" s="1815"/>
      <c r="Y24" s="3244"/>
      <c r="Z24" s="1816"/>
      <c r="AA24" s="1813">
        <v>1</v>
      </c>
      <c r="AB24" s="1813">
        <v>1</v>
      </c>
      <c r="AC24" s="1813">
        <v>1</v>
      </c>
    </row>
    <row r="25" spans="1:29" ht="15">
      <c r="A25" s="428"/>
      <c r="B25" s="422" t="s">
        <v>2637</v>
      </c>
      <c r="C25" s="616" t="s">
        <v>3135</v>
      </c>
      <c r="D25" s="435">
        <v>100</v>
      </c>
      <c r="E25" s="616" t="s">
        <v>3138</v>
      </c>
      <c r="F25" s="461">
        <f>SUMIF(86:86,E25,87:87)-SUMIF(86:86,C25,87:87)+100</f>
        <v>98</v>
      </c>
      <c r="G25" s="616" t="s">
        <v>3135</v>
      </c>
      <c r="H25" s="435">
        <f>SUMIF(86:86,G25,87:87)-SUMIF(86:86,C25,87:87)+100</f>
        <v>100</v>
      </c>
      <c r="I25" s="616" t="s">
        <v>3135</v>
      </c>
      <c r="J25" s="435">
        <f>SUMIF(86:86,I25,87:87)-SUMIF(86:86,C25,87:87)+100</f>
        <v>100</v>
      </c>
      <c r="K25" s="612">
        <v>1</v>
      </c>
      <c r="L25" s="1141"/>
      <c r="M25" s="1132"/>
      <c r="N25" s="1132"/>
      <c r="O25" s="1132"/>
      <c r="P25" s="3242"/>
      <c r="Q25" s="1812" t="str">
        <f t="shared" ref="Q25:Q46" si="11">B25</f>
        <v>临街状况</v>
      </c>
      <c r="R25" s="773" t="s">
        <v>17</v>
      </c>
      <c r="S25" s="774">
        <f>F25</f>
        <v>98</v>
      </c>
      <c r="T25" s="773" t="s">
        <v>17</v>
      </c>
      <c r="U25" s="774">
        <f>H25</f>
        <v>100</v>
      </c>
      <c r="V25" s="773" t="s">
        <v>17</v>
      </c>
      <c r="W25" s="774">
        <f>J25</f>
        <v>100</v>
      </c>
      <c r="X25" s="1815"/>
      <c r="Y25" s="3244"/>
      <c r="Z25" s="1816" t="str">
        <f>Q25</f>
        <v>临街状况</v>
      </c>
      <c r="AA25" s="1813">
        <f t="shared" si="3"/>
        <v>1.0204081632653061</v>
      </c>
      <c r="AB25" s="1813">
        <f t="shared" si="4"/>
        <v>1</v>
      </c>
      <c r="AC25" s="1813">
        <f t="shared" si="5"/>
        <v>1</v>
      </c>
    </row>
    <row r="26" spans="1:29" ht="15">
      <c r="A26" s="428"/>
      <c r="B26" s="1387" t="s">
        <v>2638</v>
      </c>
      <c r="C26" s="3008" t="s">
        <v>3232</v>
      </c>
      <c r="D26" s="435">
        <v>100</v>
      </c>
      <c r="E26" s="3008" t="s">
        <v>3232</v>
      </c>
      <c r="F26" s="461">
        <f>SUMIF(88:88,E26,89:89)-SUMIF(88:88,C26,89:89)+100</f>
        <v>100</v>
      </c>
      <c r="G26" s="3008" t="s">
        <v>3232</v>
      </c>
      <c r="H26" s="435">
        <f>SUMIF(88:88,G26,89:89)-SUMIF(88:88,C26,89:89)+100</f>
        <v>100</v>
      </c>
      <c r="I26" s="3008" t="s">
        <v>3232</v>
      </c>
      <c r="J26" s="435">
        <f>SUMIF(88:88,I26,89:89)-SUMIF(88:88,C26,89:89)+100</f>
        <v>100</v>
      </c>
      <c r="K26" s="613"/>
      <c r="L26" s="1141"/>
      <c r="M26" s="1132"/>
      <c r="N26" s="1132"/>
      <c r="O26" s="1132"/>
      <c r="P26" s="3242"/>
      <c r="Q26" s="1812" t="str">
        <f t="shared" si="11"/>
        <v>平面位置/可视性</v>
      </c>
      <c r="R26" s="773" t="s">
        <v>17</v>
      </c>
      <c r="S26" s="774">
        <f>F26</f>
        <v>100</v>
      </c>
      <c r="T26" s="773" t="s">
        <v>17</v>
      </c>
      <c r="U26" s="774">
        <f>H26</f>
        <v>100</v>
      </c>
      <c r="V26" s="773" t="s">
        <v>17</v>
      </c>
      <c r="W26" s="774">
        <f>J26</f>
        <v>100</v>
      </c>
      <c r="X26" s="1815"/>
      <c r="Y26" s="3244"/>
      <c r="Z26" s="1816" t="str">
        <f>Q26</f>
        <v>平面位置/可视性</v>
      </c>
      <c r="AA26" s="1813">
        <f t="shared" si="3"/>
        <v>1</v>
      </c>
      <c r="AB26" s="1813">
        <f t="shared" si="4"/>
        <v>1</v>
      </c>
      <c r="AC26" s="1813">
        <f t="shared" si="5"/>
        <v>1</v>
      </c>
    </row>
    <row r="27" spans="1:29" s="117" customFormat="1" ht="15">
      <c r="A27" s="431"/>
      <c r="B27" s="451" t="s">
        <v>2639</v>
      </c>
      <c r="C27" s="2662" t="s">
        <v>3237</v>
      </c>
      <c r="D27" s="462">
        <v>100</v>
      </c>
      <c r="E27" s="2662" t="s">
        <v>3237</v>
      </c>
      <c r="F27" s="464">
        <f>SUMIF(90:90,E27,91:91)-SUMIF(90:90,C27,91:91)+100</f>
        <v>100</v>
      </c>
      <c r="G27" s="2662" t="s">
        <v>3130</v>
      </c>
      <c r="H27" s="462">
        <f>SUMIF(90:90,G27,91:91)-SUMIF(90:90,C27,91:91)+100</f>
        <v>98</v>
      </c>
      <c r="I27" s="2662" t="s">
        <v>3237</v>
      </c>
      <c r="J27" s="462">
        <f>SUMIF(90:90,I27,91:91)-SUMIF(90:90,C27,91:91)+100</f>
        <v>100</v>
      </c>
      <c r="K27" s="612">
        <v>2</v>
      </c>
      <c r="L27" s="1133"/>
      <c r="M27" s="1134"/>
      <c r="N27" s="1134"/>
      <c r="O27" s="1134"/>
      <c r="P27" s="3242"/>
      <c r="Q27" s="1797" t="str">
        <f t="shared" si="11"/>
        <v>人流量</v>
      </c>
      <c r="R27" s="769" t="s">
        <v>17</v>
      </c>
      <c r="S27" s="770">
        <f>F27</f>
        <v>100</v>
      </c>
      <c r="T27" s="769" t="s">
        <v>17</v>
      </c>
      <c r="U27" s="770">
        <f>H27</f>
        <v>98</v>
      </c>
      <c r="V27" s="769" t="s">
        <v>17</v>
      </c>
      <c r="W27" s="770">
        <f>J27</f>
        <v>100</v>
      </c>
      <c r="X27" s="771"/>
      <c r="Y27" s="3244"/>
      <c r="Z27" s="55" t="str">
        <f>Q27</f>
        <v>人流量</v>
      </c>
      <c r="AA27" s="1813">
        <f>D27/F27</f>
        <v>1</v>
      </c>
      <c r="AB27" s="1813">
        <f>D27/H27</f>
        <v>1.0204081632653061</v>
      </c>
      <c r="AC27" s="1813">
        <f>D27/J27</f>
        <v>1</v>
      </c>
    </row>
    <row r="28" spans="1:29" ht="15.75" thickBot="1">
      <c r="A28" s="428"/>
      <c r="B28" s="422" t="s">
        <v>2640</v>
      </c>
      <c r="C28" s="616" t="s">
        <v>3189</v>
      </c>
      <c r="D28" s="435">
        <v>100</v>
      </c>
      <c r="E28" s="616" t="s">
        <v>3189</v>
      </c>
      <c r="F28" s="461">
        <f>SUMIF(92:92,E28,93:93)-SUMIF(92:92,C28,93:93)+100</f>
        <v>100</v>
      </c>
      <c r="G28" s="616" t="s">
        <v>3189</v>
      </c>
      <c r="H28" s="435">
        <f>SUMIF(92:92,G28,93:93)-SUMIF(92:92,C28,93:93)+100</f>
        <v>100</v>
      </c>
      <c r="I28" s="616" t="s">
        <v>3189</v>
      </c>
      <c r="J28" s="435">
        <f>SUMIF(92:92,I28,93:93)-SUMIF(92:92,C28,93:93)+100</f>
        <v>100</v>
      </c>
      <c r="K28" s="613"/>
      <c r="L28" s="1141"/>
      <c r="M28" s="1132"/>
      <c r="N28" s="1132"/>
      <c r="O28" s="1132"/>
      <c r="P28" s="324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4"/>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2"/>
      <c r="Q29" s="1812">
        <f t="shared" si="11"/>
        <v>0</v>
      </c>
      <c r="R29" s="773" t="s">
        <v>17</v>
      </c>
      <c r="S29" s="774">
        <f t="shared" si="12"/>
        <v>100</v>
      </c>
      <c r="T29" s="773" t="s">
        <v>17</v>
      </c>
      <c r="U29" s="774">
        <f t="shared" si="13"/>
        <v>100</v>
      </c>
      <c r="V29" s="773" t="s">
        <v>17</v>
      </c>
      <c r="W29" s="774">
        <f t="shared" si="14"/>
        <v>100</v>
      </c>
      <c r="X29" s="1815"/>
      <c r="Y29" s="3244"/>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2"/>
      <c r="Q30" s="1812">
        <f t="shared" si="11"/>
        <v>0</v>
      </c>
      <c r="R30" s="773" t="s">
        <v>17</v>
      </c>
      <c r="S30" s="774">
        <f t="shared" si="12"/>
        <v>100</v>
      </c>
      <c r="T30" s="773" t="s">
        <v>17</v>
      </c>
      <c r="U30" s="774">
        <f t="shared" si="13"/>
        <v>100</v>
      </c>
      <c r="V30" s="773" t="s">
        <v>17</v>
      </c>
      <c r="W30" s="774">
        <f t="shared" si="14"/>
        <v>100</v>
      </c>
      <c r="X30" s="1815"/>
      <c r="Y30" s="3244"/>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2"/>
      <c r="Q31" s="1812">
        <f t="shared" si="11"/>
        <v>0</v>
      </c>
      <c r="R31" s="773" t="s">
        <v>17</v>
      </c>
      <c r="S31" s="774">
        <f t="shared" si="12"/>
        <v>100</v>
      </c>
      <c r="T31" s="773" t="s">
        <v>17</v>
      </c>
      <c r="U31" s="774">
        <f t="shared" si="13"/>
        <v>100</v>
      </c>
      <c r="V31" s="773" t="s">
        <v>17</v>
      </c>
      <c r="W31" s="774">
        <f t="shared" si="14"/>
        <v>100</v>
      </c>
      <c r="X31" s="1815"/>
      <c r="Y31" s="3244"/>
      <c r="Z31" s="1816">
        <f t="shared" si="15"/>
        <v>0</v>
      </c>
      <c r="AA31" s="1813">
        <f t="shared" si="3"/>
        <v>1</v>
      </c>
      <c r="AB31" s="1813">
        <f t="shared" si="4"/>
        <v>1</v>
      </c>
      <c r="AC31" s="1813">
        <f t="shared" si="5"/>
        <v>1</v>
      </c>
    </row>
    <row r="32" spans="1:29" ht="15">
      <c r="A32" s="440" t="s">
        <v>2544</v>
      </c>
      <c r="B32" s="71" t="s">
        <v>2641</v>
      </c>
      <c r="C32" s="2614" t="s">
        <v>3250</v>
      </c>
      <c r="D32" s="467">
        <v>100</v>
      </c>
      <c r="E32" s="2614" t="s">
        <v>3252</v>
      </c>
      <c r="F32" s="461">
        <f>SUMIF(100:100,E32,101:101)-SUMIF(100:100,C32,101:101)+100</f>
        <v>95</v>
      </c>
      <c r="G32" s="2614" t="s">
        <v>3248</v>
      </c>
      <c r="H32" s="435">
        <f>SUMIF(100:100,G32,101:101)-SUMIF(100:100,C32,101:101)+100</f>
        <v>105</v>
      </c>
      <c r="I32" s="2614" t="s">
        <v>3252</v>
      </c>
      <c r="J32" s="467">
        <f>SUMIF(100:100,I32,101:101)-SUMIF(100:100,C32,101:101)+100</f>
        <v>95</v>
      </c>
      <c r="K32" s="612">
        <v>5</v>
      </c>
      <c r="L32" s="1141"/>
      <c r="M32" s="1132"/>
      <c r="N32" s="1132"/>
      <c r="O32" s="1132"/>
      <c r="P32" s="3245" t="s">
        <v>2546</v>
      </c>
      <c r="Q32" s="1812" t="str">
        <f t="shared" si="11"/>
        <v>商业类型</v>
      </c>
      <c r="R32" s="773" t="s">
        <v>17</v>
      </c>
      <c r="S32" s="774">
        <f t="shared" si="12"/>
        <v>95</v>
      </c>
      <c r="T32" s="773" t="s">
        <v>17</v>
      </c>
      <c r="U32" s="774">
        <f t="shared" si="13"/>
        <v>105</v>
      </c>
      <c r="V32" s="773" t="s">
        <v>17</v>
      </c>
      <c r="W32" s="774">
        <f t="shared" si="14"/>
        <v>95</v>
      </c>
      <c r="X32" s="1815"/>
      <c r="Y32" s="3248"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46"/>
      <c r="Q33" s="775" t="str">
        <f t="shared" si="11"/>
        <v>项目建筑规模</v>
      </c>
      <c r="R33" s="776" t="s">
        <v>17</v>
      </c>
      <c r="S33" s="777">
        <f t="shared" si="12"/>
        <v>97</v>
      </c>
      <c r="T33" s="776" t="s">
        <v>17</v>
      </c>
      <c r="U33" s="777">
        <f t="shared" si="13"/>
        <v>88</v>
      </c>
      <c r="V33" s="776" t="s">
        <v>17</v>
      </c>
      <c r="W33" s="777">
        <f t="shared" si="14"/>
        <v>94</v>
      </c>
      <c r="X33" s="778"/>
      <c r="Y33" s="3248"/>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46"/>
      <c r="Q34" s="1812" t="str">
        <f t="shared" si="11"/>
        <v>建筑结构</v>
      </c>
      <c r="R34" s="773" t="s">
        <v>17</v>
      </c>
      <c r="S34" s="774">
        <f t="shared" si="12"/>
        <v>100</v>
      </c>
      <c r="T34" s="773" t="s">
        <v>17</v>
      </c>
      <c r="U34" s="774">
        <f t="shared" si="13"/>
        <v>100</v>
      </c>
      <c r="V34" s="773" t="s">
        <v>17</v>
      </c>
      <c r="W34" s="774">
        <f t="shared" si="14"/>
        <v>100</v>
      </c>
      <c r="X34" s="1815"/>
      <c r="Y34" s="3248"/>
      <c r="Z34" s="1816" t="str">
        <f t="shared" si="15"/>
        <v>建筑结构</v>
      </c>
      <c r="AA34" s="1813">
        <f t="shared" si="3"/>
        <v>1</v>
      </c>
      <c r="AB34" s="1813">
        <f t="shared" si="4"/>
        <v>1</v>
      </c>
      <c r="AC34" s="1813">
        <f t="shared" si="5"/>
        <v>1</v>
      </c>
    </row>
    <row r="35" spans="1:29" ht="15" hidden="1">
      <c r="A35" s="472"/>
      <c r="B35" s="422" t="s">
        <v>2642</v>
      </c>
      <c r="C35" s="2610" t="s">
        <v>3148</v>
      </c>
      <c r="D35" s="435">
        <v>100</v>
      </c>
      <c r="E35" s="2610" t="s">
        <v>3148</v>
      </c>
      <c r="F35" s="461">
        <f>SUMIF(107:107,E35,108:108)-SUMIF(107:107,C35,108:108)+100</f>
        <v>100</v>
      </c>
      <c r="G35" s="2610" t="s">
        <v>3148</v>
      </c>
      <c r="H35" s="435">
        <f>SUMIF(107:107,G35,108:108)-SUMIF(107:107,C35,108:108)+100</f>
        <v>100</v>
      </c>
      <c r="I35" s="2610" t="s">
        <v>3148</v>
      </c>
      <c r="J35" s="435">
        <f>SUMIF(107:107,I35,108:108)-SUMIF(107:107,C35,108:108)+100</f>
        <v>100</v>
      </c>
      <c r="K35" s="612"/>
      <c r="L35" s="1141"/>
      <c r="M35" s="1132"/>
      <c r="N35" s="1132"/>
      <c r="O35" s="1132"/>
      <c r="P35" s="3246"/>
      <c r="Q35" s="1812" t="str">
        <f t="shared" si="11"/>
        <v>公共部分装修</v>
      </c>
      <c r="R35" s="773" t="s">
        <v>17</v>
      </c>
      <c r="S35" s="774">
        <f t="shared" si="12"/>
        <v>100</v>
      </c>
      <c r="T35" s="773" t="s">
        <v>17</v>
      </c>
      <c r="U35" s="774">
        <f t="shared" si="13"/>
        <v>100</v>
      </c>
      <c r="V35" s="773" t="s">
        <v>17</v>
      </c>
      <c r="W35" s="774">
        <f t="shared" si="14"/>
        <v>100</v>
      </c>
      <c r="X35" s="1815"/>
      <c r="Y35" s="3248"/>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46"/>
      <c r="Q36" s="1812" t="str">
        <f t="shared" si="11"/>
        <v>成新度</v>
      </c>
      <c r="R36" s="773" t="s">
        <v>17</v>
      </c>
      <c r="S36" s="774">
        <f t="shared" si="12"/>
        <v>100</v>
      </c>
      <c r="T36" s="773" t="s">
        <v>17</v>
      </c>
      <c r="U36" s="774">
        <f t="shared" si="13"/>
        <v>100</v>
      </c>
      <c r="V36" s="773" t="s">
        <v>17</v>
      </c>
      <c r="W36" s="774">
        <f t="shared" si="14"/>
        <v>100</v>
      </c>
      <c r="X36" s="1815"/>
      <c r="Y36" s="3248"/>
      <c r="Z36" s="1816" t="str">
        <f t="shared" si="15"/>
        <v>成新度</v>
      </c>
      <c r="AA36" s="1813">
        <f t="shared" si="3"/>
        <v>1</v>
      </c>
      <c r="AB36" s="1813">
        <f t="shared" si="4"/>
        <v>1</v>
      </c>
      <c r="AC36" s="1813">
        <f t="shared" si="5"/>
        <v>1</v>
      </c>
    </row>
    <row r="37" spans="1:29" s="117" customFormat="1" ht="15">
      <c r="A37" s="473"/>
      <c r="B37" s="422" t="s">
        <v>2644</v>
      </c>
      <c r="C37" s="2610" t="s">
        <v>3164</v>
      </c>
      <c r="D37" s="136">
        <v>100</v>
      </c>
      <c r="E37" s="2610" t="s">
        <v>3122</v>
      </c>
      <c r="F37" s="461">
        <f>SUMIF(112:112,E37,113:113)-SUMIF(112:112,C37,113:113)+100</f>
        <v>102</v>
      </c>
      <c r="G37" s="2610" t="s">
        <v>3122</v>
      </c>
      <c r="H37" s="435">
        <f>SUMIF(112:112,G37,113:113)-SUMIF(112:112,C37,113:113)+100</f>
        <v>102</v>
      </c>
      <c r="I37" s="2610" t="s">
        <v>3122</v>
      </c>
      <c r="J37" s="435">
        <f>SUMIF(112:112,I37,113:113)-SUMIF(112:112,C37,113:113)+100</f>
        <v>102</v>
      </c>
      <c r="K37" s="612">
        <v>1</v>
      </c>
      <c r="L37" s="1133"/>
      <c r="M37" s="1134"/>
      <c r="N37" s="1134"/>
      <c r="O37" s="1134"/>
      <c r="P37" s="3246"/>
      <c r="Q37" s="1797" t="str">
        <f t="shared" si="11"/>
        <v>市政基础设施</v>
      </c>
      <c r="R37" s="769" t="s">
        <v>17</v>
      </c>
      <c r="S37" s="770">
        <f t="shared" si="12"/>
        <v>102</v>
      </c>
      <c r="T37" s="769" t="s">
        <v>17</v>
      </c>
      <c r="U37" s="770">
        <f t="shared" si="13"/>
        <v>102</v>
      </c>
      <c r="V37" s="769" t="s">
        <v>17</v>
      </c>
      <c r="W37" s="770">
        <f t="shared" si="14"/>
        <v>102</v>
      </c>
      <c r="X37" s="771"/>
      <c r="Y37" s="3248"/>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3211</v>
      </c>
      <c r="D38" s="435">
        <v>100</v>
      </c>
      <c r="E38" s="2610" t="s">
        <v>3211</v>
      </c>
      <c r="F38" s="461">
        <f>SUMIF(114:114,E38,115:115)-SUMIF(114:114,C38,115:115)+100</f>
        <v>100</v>
      </c>
      <c r="G38" s="2610" t="s">
        <v>3211</v>
      </c>
      <c r="H38" s="435">
        <f>SUMIF(114:114,G38,115:115)-SUMIF(114:114,C38,115:115)+100</f>
        <v>100</v>
      </c>
      <c r="I38" s="2610" t="s">
        <v>3213</v>
      </c>
      <c r="J38" s="435">
        <f>SUMIF(114:114,I38,115:115)-SUMIF(114:114,C38,115:115)+100</f>
        <v>95</v>
      </c>
      <c r="K38" s="612">
        <v>5</v>
      </c>
      <c r="L38" s="1141"/>
      <c r="M38" s="1132"/>
      <c r="N38" s="1132"/>
      <c r="O38" s="1132"/>
      <c r="P38" s="3246" t="s">
        <v>2546</v>
      </c>
      <c r="Q38" s="1812" t="str">
        <f t="shared" si="11"/>
        <v>业态</v>
      </c>
      <c r="R38" s="773" t="s">
        <v>17</v>
      </c>
      <c r="S38" s="774">
        <f t="shared" si="12"/>
        <v>100</v>
      </c>
      <c r="T38" s="773" t="s">
        <v>17</v>
      </c>
      <c r="U38" s="774">
        <f t="shared" si="13"/>
        <v>100</v>
      </c>
      <c r="V38" s="773" t="s">
        <v>17</v>
      </c>
      <c r="W38" s="774">
        <f t="shared" si="14"/>
        <v>95</v>
      </c>
      <c r="X38" s="1815"/>
      <c r="Y38" s="3248" t="s">
        <v>2546</v>
      </c>
      <c r="Z38" s="1816" t="str">
        <f t="shared" si="15"/>
        <v>业态</v>
      </c>
      <c r="AA38" s="1813">
        <f t="shared" si="3"/>
        <v>1</v>
      </c>
      <c r="AB38" s="1813">
        <f t="shared" si="4"/>
        <v>1</v>
      </c>
      <c r="AC38" s="1813">
        <f t="shared" si="5"/>
        <v>1.0526315789473684</v>
      </c>
    </row>
    <row r="39" spans="1:29" ht="15">
      <c r="A39" s="472"/>
      <c r="B39" s="422" t="s">
        <v>2646</v>
      </c>
      <c r="C39" s="2610" t="s">
        <v>3169</v>
      </c>
      <c r="D39" s="435">
        <v>100</v>
      </c>
      <c r="E39" s="2610" t="s">
        <v>3169</v>
      </c>
      <c r="F39" s="461">
        <f>SUMIF(116:116,E39,117:117)-SUMIF(116:116,C39,117:117)+100</f>
        <v>100</v>
      </c>
      <c r="G39" s="2610" t="s">
        <v>3169</v>
      </c>
      <c r="H39" s="435">
        <f>SUMIF(116:116,G39,117:117)-SUMIF(116:116,C39,117:117)+100</f>
        <v>100</v>
      </c>
      <c r="I39" s="2610" t="s">
        <v>3169</v>
      </c>
      <c r="J39" s="435">
        <f>SUMIF(116:116,I39,117:117)-SUMIF(116:116,C39,117:117)+100</f>
        <v>100</v>
      </c>
      <c r="K39" s="612">
        <v>2</v>
      </c>
      <c r="L39" s="1141"/>
      <c r="M39" s="1132"/>
      <c r="N39" s="1132"/>
      <c r="O39" s="1132"/>
      <c r="P39" s="3246"/>
      <c r="Q39" s="1812" t="str">
        <f t="shared" si="11"/>
        <v>层高</v>
      </c>
      <c r="R39" s="773" t="s">
        <v>17</v>
      </c>
      <c r="S39" s="774">
        <f t="shared" si="12"/>
        <v>100</v>
      </c>
      <c r="T39" s="773" t="s">
        <v>17</v>
      </c>
      <c r="U39" s="774">
        <f t="shared" si="13"/>
        <v>100</v>
      </c>
      <c r="V39" s="773" t="s">
        <v>17</v>
      </c>
      <c r="W39" s="774">
        <f t="shared" si="14"/>
        <v>100</v>
      </c>
      <c r="X39" s="1815"/>
      <c r="Y39" s="3248"/>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6"/>
      <c r="Q40" s="1812" t="str">
        <f t="shared" si="11"/>
        <v>单套建筑面积</v>
      </c>
      <c r="R40" s="773" t="s">
        <v>17</v>
      </c>
      <c r="S40" s="774">
        <f t="shared" si="12"/>
        <v>100</v>
      </c>
      <c r="T40" s="773" t="s">
        <v>17</v>
      </c>
      <c r="U40" s="774">
        <f t="shared" si="13"/>
        <v>100</v>
      </c>
      <c r="V40" s="773" t="s">
        <v>17</v>
      </c>
      <c r="W40" s="774">
        <f t="shared" si="14"/>
        <v>100</v>
      </c>
      <c r="X40" s="1815"/>
      <c r="Y40" s="3248"/>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6"/>
      <c r="Q41" s="775" t="str">
        <f t="shared" si="11"/>
        <v>进深比</v>
      </c>
      <c r="R41" s="776" t="s">
        <v>17</v>
      </c>
      <c r="S41" s="777">
        <f t="shared" si="12"/>
        <v>100</v>
      </c>
      <c r="T41" s="776" t="s">
        <v>17</v>
      </c>
      <c r="U41" s="777">
        <f t="shared" si="13"/>
        <v>100</v>
      </c>
      <c r="V41" s="776" t="s">
        <v>17</v>
      </c>
      <c r="W41" s="777">
        <f t="shared" si="14"/>
        <v>100</v>
      </c>
      <c r="X41" s="778"/>
      <c r="Y41" s="3248"/>
      <c r="Z41" s="779" t="str">
        <f t="shared" si="15"/>
        <v>进深比</v>
      </c>
      <c r="AA41" s="1813">
        <f t="shared" si="3"/>
        <v>1</v>
      </c>
      <c r="AB41" s="1813">
        <f t="shared" si="4"/>
        <v>1</v>
      </c>
      <c r="AC41" s="1813">
        <f t="shared" si="5"/>
        <v>1</v>
      </c>
    </row>
    <row r="42" spans="1:29" ht="15">
      <c r="A42" s="472"/>
      <c r="B42" s="422" t="s">
        <v>2649</v>
      </c>
      <c r="C42" s="2610" t="s">
        <v>3148</v>
      </c>
      <c r="D42" s="435">
        <v>100</v>
      </c>
      <c r="E42" s="2610" t="s">
        <v>3151</v>
      </c>
      <c r="F42" s="461">
        <f>SUMIF(122:122,E42,123:123)-SUMIF(122:122,C42,123:123)+100</f>
        <v>96</v>
      </c>
      <c r="G42" s="2610" t="s">
        <v>3148</v>
      </c>
      <c r="H42" s="435">
        <f>SUMIF(122:122,G42,123:123)-SUMIF(122:122,C42,123:123)+100</f>
        <v>100</v>
      </c>
      <c r="I42" s="2610" t="s">
        <v>3151</v>
      </c>
      <c r="J42" s="435">
        <f>SUMIF(122:122,I42,123:123)-SUMIF(122:122,C42,123:123)+100</f>
        <v>96</v>
      </c>
      <c r="K42" s="612">
        <f>'比较法-办公'!K43</f>
        <v>2</v>
      </c>
      <c r="L42" s="1141"/>
      <c r="M42" s="1132"/>
      <c r="N42" s="1132"/>
      <c r="O42" s="1132"/>
      <c r="P42" s="3246"/>
      <c r="Q42" s="1812" t="str">
        <f t="shared" si="11"/>
        <v>内部装修</v>
      </c>
      <c r="R42" s="773" t="s">
        <v>17</v>
      </c>
      <c r="S42" s="774">
        <f t="shared" si="12"/>
        <v>96</v>
      </c>
      <c r="T42" s="773" t="s">
        <v>17</v>
      </c>
      <c r="U42" s="774">
        <f t="shared" si="13"/>
        <v>100</v>
      </c>
      <c r="V42" s="773" t="s">
        <v>17</v>
      </c>
      <c r="W42" s="774">
        <f t="shared" si="14"/>
        <v>96</v>
      </c>
      <c r="X42" s="1815"/>
      <c r="Y42" s="3248"/>
      <c r="Z42" s="1816" t="str">
        <f t="shared" si="15"/>
        <v>内部装修</v>
      </c>
      <c r="AA42" s="1813">
        <f t="shared" si="3"/>
        <v>1.0416666666666667</v>
      </c>
      <c r="AB42" s="1813">
        <f t="shared" si="4"/>
        <v>1</v>
      </c>
      <c r="AC42" s="1813">
        <f t="shared" si="5"/>
        <v>1.0416666666666667</v>
      </c>
    </row>
    <row r="43" spans="1:29" ht="15">
      <c r="A43" s="472"/>
      <c r="B43" s="422" t="s">
        <v>2557</v>
      </c>
      <c r="C43" s="2610" t="s">
        <v>3130</v>
      </c>
      <c r="D43" s="435">
        <v>100</v>
      </c>
      <c r="E43" s="2610" t="s">
        <v>3130</v>
      </c>
      <c r="F43" s="461">
        <f>SUMIF(124:124,E43,125:125)-SUMIF(124:124,C43,125:125)+100</f>
        <v>100</v>
      </c>
      <c r="G43" s="2610" t="s">
        <v>3130</v>
      </c>
      <c r="H43" s="435">
        <f>SUMIF(124:124,G43,125:125)-SUMIF(124:124,C43,125:125)+100</f>
        <v>100</v>
      </c>
      <c r="I43" s="2610" t="s">
        <v>3130</v>
      </c>
      <c r="J43" s="435">
        <f>SUMIF(124:124,I43,125:125)-SUMIF(124:124,C43,125:125)+100</f>
        <v>100</v>
      </c>
      <c r="K43" s="612">
        <v>1</v>
      </c>
      <c r="L43" s="1141"/>
      <c r="M43" s="1132"/>
      <c r="N43" s="1132"/>
      <c r="O43" s="1132"/>
      <c r="P43" s="3246"/>
      <c r="Q43" s="1812" t="str">
        <f t="shared" si="11"/>
        <v>内部装修维护情况</v>
      </c>
      <c r="R43" s="773" t="s">
        <v>17</v>
      </c>
      <c r="S43" s="774">
        <f t="shared" si="12"/>
        <v>100</v>
      </c>
      <c r="T43" s="773" t="s">
        <v>17</v>
      </c>
      <c r="U43" s="774">
        <f t="shared" si="13"/>
        <v>100</v>
      </c>
      <c r="V43" s="773" t="s">
        <v>17</v>
      </c>
      <c r="W43" s="774">
        <f t="shared" si="14"/>
        <v>100</v>
      </c>
      <c r="X43" s="1815"/>
      <c r="Y43" s="3248"/>
      <c r="Z43" s="1816" t="str">
        <f t="shared" si="15"/>
        <v>内部装修维护情况</v>
      </c>
      <c r="AA43" s="1813">
        <f t="shared" si="3"/>
        <v>1</v>
      </c>
      <c r="AB43" s="1813">
        <f t="shared" si="4"/>
        <v>1</v>
      </c>
      <c r="AC43" s="1813">
        <f t="shared" si="5"/>
        <v>1</v>
      </c>
    </row>
    <row r="44" spans="1:29" s="117" customFormat="1" ht="15.75" thickBot="1">
      <c r="A44" s="473"/>
      <c r="B44" s="2996" t="s">
        <v>3200</v>
      </c>
      <c r="C44" s="2997" t="s">
        <v>3258</v>
      </c>
      <c r="D44" s="136">
        <v>100</v>
      </c>
      <c r="E44" s="3008" t="s">
        <v>3261</v>
      </c>
      <c r="F44" s="425">
        <f>SUMIF(126:126,E44,127:127)-SUMIF(126:126,C44,127:127)+100</f>
        <v>95</v>
      </c>
      <c r="G44" s="3008" t="s">
        <v>3259</v>
      </c>
      <c r="H44" s="136">
        <f>SUMIF(126:126,G44,127:127)-SUMIF(126:126,C44,127:127)+100</f>
        <v>100</v>
      </c>
      <c r="I44" s="3008" t="s">
        <v>3202</v>
      </c>
      <c r="J44" s="136">
        <f>SUMIF(126:126,I44,127:127)-SUMIF(126:126,C44,127:127)+100</f>
        <v>95</v>
      </c>
      <c r="K44" s="613"/>
      <c r="L44" s="1133"/>
      <c r="M44" s="1134"/>
      <c r="N44" s="1134"/>
      <c r="O44" s="1134"/>
      <c r="P44" s="3246"/>
      <c r="Q44" s="1797" t="str">
        <f t="shared" si="11"/>
        <v>房屋状态</v>
      </c>
      <c r="R44" s="769" t="s">
        <v>17</v>
      </c>
      <c r="S44" s="770">
        <f t="shared" si="12"/>
        <v>95</v>
      </c>
      <c r="T44" s="769" t="s">
        <v>17</v>
      </c>
      <c r="U44" s="770">
        <f t="shared" si="13"/>
        <v>100</v>
      </c>
      <c r="V44" s="769" t="s">
        <v>17</v>
      </c>
      <c r="W44" s="770">
        <f t="shared" si="14"/>
        <v>95</v>
      </c>
      <c r="X44" s="771"/>
      <c r="Y44" s="3248"/>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6"/>
      <c r="Q45" s="1812">
        <f t="shared" si="11"/>
        <v>0</v>
      </c>
      <c r="R45" s="773" t="s">
        <v>17</v>
      </c>
      <c r="S45" s="774">
        <f t="shared" si="12"/>
        <v>100</v>
      </c>
      <c r="T45" s="773" t="s">
        <v>17</v>
      </c>
      <c r="U45" s="774">
        <f t="shared" si="13"/>
        <v>100</v>
      </c>
      <c r="V45" s="773" t="s">
        <v>17</v>
      </c>
      <c r="W45" s="774">
        <f t="shared" si="14"/>
        <v>100</v>
      </c>
      <c r="X45" s="1815"/>
      <c r="Y45" s="3248"/>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7"/>
      <c r="Q46" s="1812">
        <f t="shared" si="11"/>
        <v>0</v>
      </c>
      <c r="R46" s="773" t="s">
        <v>17</v>
      </c>
      <c r="S46" s="774">
        <f t="shared" si="12"/>
        <v>100</v>
      </c>
      <c r="T46" s="773" t="s">
        <v>17</v>
      </c>
      <c r="U46" s="774">
        <f t="shared" si="13"/>
        <v>100</v>
      </c>
      <c r="V46" s="773" t="s">
        <v>17</v>
      </c>
      <c r="W46" s="774">
        <f t="shared" si="14"/>
        <v>100</v>
      </c>
      <c r="X46" s="1815"/>
      <c r="Y46" s="3249"/>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50" t="str">
        <f>A47</f>
        <v>成交单价（元/平方米）</v>
      </c>
      <c r="Q47" s="3250"/>
      <c r="R47" s="3238">
        <f>E47</f>
        <v>39200</v>
      </c>
      <c r="S47" s="3238"/>
      <c r="T47" s="3238">
        <f>G47</f>
        <v>35000</v>
      </c>
      <c r="U47" s="3238"/>
      <c r="V47" s="3238">
        <f>I47</f>
        <v>31360</v>
      </c>
      <c r="W47" s="3238"/>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50" t="str">
        <f>A48</f>
        <v>比较价值（元/平方米）</v>
      </c>
      <c r="Q48" s="3250"/>
      <c r="R48" s="3251">
        <f>IF(F1="售价",ROUND(PRODUCT(R47,AA7:AA46),0),ROUND(PRODUCT(R47,AA7:AA46),1))</f>
        <v>45748</v>
      </c>
      <c r="S48" s="3251"/>
      <c r="T48" s="3251">
        <f>IF(F1="售价",ROUND(PRODUCT(T47,AB7:AB46),0),ROUND(PRODUCT(T47,AB7:AB46),1))</f>
        <v>40719</v>
      </c>
      <c r="U48" s="3251"/>
      <c r="V48" s="3251">
        <f>IF(F1="售价",ROUND(PRODUCT(V47,AC7:AC46),0),ROUND(PRODUCT(V47,AC7:AC46),1))</f>
        <v>38959</v>
      </c>
      <c r="W48" s="3251"/>
      <c r="X48" s="758"/>
      <c r="Y48" s="758"/>
      <c r="Z48" s="758"/>
      <c r="AA48" s="758"/>
      <c r="AB48" s="758"/>
      <c r="AC48" s="758"/>
    </row>
    <row r="49" spans="1:29" ht="15.75" thickBot="1">
      <c r="A49" s="492" t="s">
        <v>3201</v>
      </c>
      <c r="B49" s="493"/>
      <c r="C49" s="1418">
        <f>R49</f>
        <v>41809</v>
      </c>
      <c r="D49" s="1418"/>
      <c r="E49" s="1418"/>
      <c r="F49" s="1418"/>
      <c r="G49" s="1418"/>
      <c r="H49" s="1418"/>
      <c r="I49" s="1418"/>
      <c r="J49" s="1418"/>
      <c r="K49" s="784"/>
      <c r="L49" s="1144"/>
      <c r="M49" s="1145"/>
      <c r="N49" s="1132"/>
      <c r="O49" s="1145"/>
      <c r="P49" s="3282" t="str">
        <f>A49</f>
        <v>估价对象1层商业用房的比较价值（楼面单价，元/平方米）</v>
      </c>
      <c r="Q49" s="3283"/>
      <c r="R49" s="3284">
        <f>IF(F1="售价",ROUND(AVERAGE(R48:V48),0),ROUND(AVERAGE(R48:V48),1))</f>
        <v>41809</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3226</v>
      </c>
      <c r="D86" s="2984" t="s">
        <v>3227</v>
      </c>
      <c r="E86" s="2984" t="s">
        <v>3228</v>
      </c>
      <c r="F86" s="2984" t="s">
        <v>3229</v>
      </c>
      <c r="G86" s="2984" t="s">
        <v>3230</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3231</v>
      </c>
      <c r="D88" s="2984" t="s">
        <v>3232</v>
      </c>
      <c r="E88" s="2984" t="s">
        <v>3233</v>
      </c>
      <c r="F88" s="3007" t="s">
        <v>3234</v>
      </c>
      <c r="G88" s="2984" t="s">
        <v>3235</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3236</v>
      </c>
      <c r="D90" s="2984" t="s">
        <v>3238</v>
      </c>
      <c r="E90" s="2984" t="s">
        <v>3239</v>
      </c>
      <c r="F90" s="2984" t="s">
        <v>3240</v>
      </c>
      <c r="G90" s="2984" t="s">
        <v>3241</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3242</v>
      </c>
      <c r="D92" s="554" t="s">
        <v>3243</v>
      </c>
      <c r="E92" s="554" t="s">
        <v>3244</v>
      </c>
      <c r="F92" s="554" t="s">
        <v>3245</v>
      </c>
      <c r="G92" s="554" t="s">
        <v>3246</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3247</v>
      </c>
      <c r="D100" s="2985" t="s">
        <v>3249</v>
      </c>
      <c r="E100" s="2985" t="s">
        <v>3251</v>
      </c>
      <c r="F100" s="2985" t="s">
        <v>3253</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3219</v>
      </c>
      <c r="D105" s="2984" t="s">
        <v>3220</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3205</v>
      </c>
      <c r="D107" s="2984" t="s">
        <v>3206</v>
      </c>
      <c r="E107" s="2984" t="s">
        <v>3207</v>
      </c>
      <c r="F107" s="2986" t="s">
        <v>3208</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3215</v>
      </c>
      <c r="D112" s="2984" t="s">
        <v>3216</v>
      </c>
      <c r="E112" s="2984" t="s">
        <v>3217</v>
      </c>
      <c r="F112" s="2984" t="s">
        <v>3218</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3212</v>
      </c>
      <c r="D114" s="2984" t="s">
        <v>3214</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3209</v>
      </c>
      <c r="D116" s="2984" t="s">
        <v>3210</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3205</v>
      </c>
      <c r="D122" s="2984" t="s">
        <v>3206</v>
      </c>
      <c r="E122" s="2984" t="s">
        <v>3207</v>
      </c>
      <c r="F122" s="2986" t="s">
        <v>3208</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3203</v>
      </c>
      <c r="D126" s="2984" t="s">
        <v>3204</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5" t="s">
        <v>1400</v>
      </c>
      <c r="C6" s="1297" t="e">
        <f ca="1">ROUND(F6*F8*F7*(1-F9),0)</f>
        <v>#N/A</v>
      </c>
      <c r="D6" s="164" t="s">
        <v>3008</v>
      </c>
      <c r="E6" s="347" t="s">
        <v>1402</v>
      </c>
      <c r="F6" s="348" t="e">
        <f ca="1">INDIRECT("'数据-取费表'!u"&amp;$G$1)</f>
        <v>#N/A</v>
      </c>
      <c r="G6" s="1853"/>
      <c r="H6" s="1292" t="s">
        <v>1034</v>
      </c>
      <c r="I6" s="3255" t="s">
        <v>1400</v>
      </c>
      <c r="J6" s="346" t="e">
        <f ca="1">ROUND(M6*M8*M7*(1-M9),0)</f>
        <v>#N/A</v>
      </c>
      <c r="K6" s="1836" t="s">
        <v>3011</v>
      </c>
      <c r="L6" s="347" t="s">
        <v>1402</v>
      </c>
      <c r="M6" s="348" t="e">
        <f ca="1">INDIRECT("'数据-取费表'!z"&amp;$G$1)</f>
        <v>#N/A</v>
      </c>
    </row>
    <row r="7" spans="1:37" ht="18" customHeight="1">
      <c r="A7" s="1296"/>
      <c r="B7" s="3256"/>
      <c r="C7" s="1298"/>
      <c r="D7" s="352"/>
      <c r="E7" s="2952" t="s">
        <v>1403</v>
      </c>
      <c r="F7" s="348" t="e">
        <f ca="1">IF(INDIRECT("'数据-取费表'!ah"&amp;$G$1)="",INDIRECT("'数据-取费表'!k"&amp;$G$1),INDIRECT("'数据-取费表'!ah"&amp;$G$1))</f>
        <v>#N/A</v>
      </c>
      <c r="G7" s="1853"/>
      <c r="H7" s="349"/>
      <c r="I7" s="3256"/>
      <c r="J7" s="351"/>
      <c r="K7" s="352"/>
      <c r="L7" s="347" t="s">
        <v>1403</v>
      </c>
      <c r="M7" s="348" t="e">
        <f ca="1">F7</f>
        <v>#N/A</v>
      </c>
    </row>
    <row r="8" spans="1:37" ht="18" customHeight="1">
      <c r="A8" s="349"/>
      <c r="B8" s="3256"/>
      <c r="C8" s="351"/>
      <c r="D8" s="352"/>
      <c r="E8" s="347" t="s">
        <v>1404</v>
      </c>
      <c r="F8" s="348" t="e">
        <f ca="1">INDIRECT("'数据-取费表'!ai"&amp;$G$1)</f>
        <v>#N/A</v>
      </c>
      <c r="G8" s="1853"/>
      <c r="H8" s="349"/>
      <c r="I8" s="3256"/>
      <c r="J8" s="351"/>
      <c r="K8" s="352"/>
      <c r="L8" s="347" t="s">
        <v>1404</v>
      </c>
      <c r="M8" s="348" t="e">
        <f ca="1">INDIRECT("'数据-取费表'!ai"&amp;$G$1)</f>
        <v>#N/A</v>
      </c>
    </row>
    <row r="9" spans="1:37" ht="18" customHeight="1">
      <c r="A9" s="349"/>
      <c r="B9" s="3257"/>
      <c r="C9" s="351"/>
      <c r="D9" s="352"/>
      <c r="E9" s="347" t="s">
        <v>1405</v>
      </c>
      <c r="F9" s="357" t="e">
        <f ca="1">INDIRECT("'数据-取费表'!w"&amp;$G$1)</f>
        <v>#N/A</v>
      </c>
      <c r="G9" s="1853"/>
      <c r="H9" s="349"/>
      <c r="I9" s="3257"/>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8" t="s">
        <v>1546</v>
      </c>
      <c r="L53" s="3259"/>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3262</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3263</v>
      </c>
      <c r="D7" s="3010" t="s">
        <v>3264</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2265</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3974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71" t="s">
        <v>33</v>
      </c>
      <c r="D22" s="3172"/>
      <c r="E22" s="3172"/>
      <c r="F22" s="3172"/>
      <c r="G22" s="3172"/>
      <c r="H22" s="3172"/>
      <c r="I22" s="3172"/>
      <c r="J22" s="3172"/>
      <c r="K22" s="3172"/>
      <c r="L22" s="3172"/>
      <c r="M22" s="3172"/>
      <c r="N22" s="3172"/>
      <c r="O22" s="3172"/>
      <c r="P22" s="3172"/>
      <c r="Q22" s="3260"/>
      <c r="R22" s="715">
        <f ca="1">ROUND(S22*10000/B22,0)</f>
        <v>3974</v>
      </c>
      <c r="S22" s="24">
        <f ca="1">SUM(S24:S10000)</f>
        <v>2265</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3131</v>
      </c>
      <c r="E24" s="718">
        <v>1</v>
      </c>
      <c r="F24" s="719" t="s">
        <v>3211</v>
      </c>
      <c r="G24" s="718">
        <v>1</v>
      </c>
      <c r="H24" s="719"/>
      <c r="I24" s="718">
        <v>1</v>
      </c>
      <c r="J24" s="719"/>
      <c r="K24" s="718">
        <v>1</v>
      </c>
      <c r="L24" s="719"/>
      <c r="M24" s="718">
        <v>1</v>
      </c>
      <c r="N24" s="719"/>
      <c r="O24" s="718">
        <v>1</v>
      </c>
      <c r="P24" s="719" t="s">
        <v>3189</v>
      </c>
      <c r="Q24" s="718">
        <v>1</v>
      </c>
      <c r="R24" s="720">
        <f ca="1">结果表!G20</f>
        <v>6112</v>
      </c>
      <c r="S24" s="718">
        <f t="shared" ref="S24:S87" ca="1" si="5">ROUND(R24*B24/10000,0)</f>
        <v>567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3130</v>
      </c>
      <c r="E25" s="24">
        <f>(SUMIF($5:$5,D25,$6:$6)-SUMIF($5:$5,$D$24,$6:$6)+100)/100</f>
        <v>0.98</v>
      </c>
      <c r="F25" s="719" t="s">
        <v>3211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3265</v>
      </c>
      <c r="Q25" s="24">
        <f>(SUMIF($17:$17,P25,$18:$18)-SUMIF($17:$17,$P$24,$18:$18)+100)/100</f>
        <v>0.7</v>
      </c>
      <c r="R25" s="715">
        <f ca="1">IF(B25="",0,ROUND($R$24*C25*E25*G25*I25*K25*M25*O25*Q25,0))</f>
        <v>4067</v>
      </c>
      <c r="S25" s="361">
        <f t="shared" ca="1" si="5"/>
        <v>555</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3130</v>
      </c>
      <c r="E26" s="24">
        <f t="shared" ref="E26:E89" si="7">(SUMIF($5:$5,D26,$6:$6)-SUMIF($5:$5,$D$24,$6:$6)+100)/100</f>
        <v>0.98</v>
      </c>
      <c r="F26" s="719" t="s">
        <v>3211</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3266</v>
      </c>
      <c r="Q26" s="24">
        <f t="shared" ref="Q26:Q89" si="13">(SUMIF($17:$17,P26,$18:$18)-SUMIF($17:$17,$P$24,$18:$18)+100)/100</f>
        <v>0.6</v>
      </c>
      <c r="R26" s="715">
        <f t="shared" ref="R26:R89" ca="1" si="14">IF(B26="",0,ROUND($R$24*C26*E26*G26*I26*K26*M26*O26*Q26,0))</f>
        <v>3486</v>
      </c>
      <c r="S26" s="361">
        <f t="shared" ca="1" si="5"/>
        <v>440</v>
      </c>
    </row>
    <row r="27" spans="1:45">
      <c r="A27" s="2965" t="str">
        <f>面积1!B6</f>
        <v>新疆维吾尔自治区乌鲁木齐市沙依巴克区长江路52号1栋4层商业用房房地产</v>
      </c>
      <c r="B27" s="717">
        <f>面积1!D6</f>
        <v>1215</v>
      </c>
      <c r="C27" s="24">
        <f t="shared" si="6"/>
        <v>0.97</v>
      </c>
      <c r="D27" s="719" t="s">
        <v>3130</v>
      </c>
      <c r="E27" s="24">
        <f t="shared" si="7"/>
        <v>0.98</v>
      </c>
      <c r="F27" s="719" t="s">
        <v>3211</v>
      </c>
      <c r="G27" s="24">
        <f t="shared" si="8"/>
        <v>1</v>
      </c>
      <c r="H27" s="719"/>
      <c r="I27" s="24">
        <f t="shared" si="9"/>
        <v>1</v>
      </c>
      <c r="J27" s="719"/>
      <c r="K27" s="24">
        <f t="shared" si="10"/>
        <v>1</v>
      </c>
      <c r="L27" s="719"/>
      <c r="M27" s="24">
        <f t="shared" si="11"/>
        <v>1</v>
      </c>
      <c r="N27" s="719"/>
      <c r="O27" s="24">
        <f t="shared" si="12"/>
        <v>1</v>
      </c>
      <c r="P27" s="719" t="s">
        <v>3267</v>
      </c>
      <c r="Q27" s="24">
        <f t="shared" si="13"/>
        <v>0.6</v>
      </c>
      <c r="R27" s="715">
        <f t="shared" ca="1" si="14"/>
        <v>3486</v>
      </c>
      <c r="S27" s="361">
        <f t="shared" ca="1" si="5"/>
        <v>424</v>
      </c>
    </row>
    <row r="28" spans="1:45">
      <c r="A28" s="2965" t="str">
        <f>面积1!B7</f>
        <v>新疆维吾尔自治区乌鲁木齐市沙依巴克区长江路52号1栋5层商业用房房地产</v>
      </c>
      <c r="B28" s="717">
        <f>面积1!D7</f>
        <v>933</v>
      </c>
      <c r="C28" s="24">
        <f t="shared" si="6"/>
        <v>1</v>
      </c>
      <c r="D28" s="719" t="s">
        <v>3130</v>
      </c>
      <c r="E28" s="24">
        <f t="shared" si="7"/>
        <v>0.98</v>
      </c>
      <c r="F28" s="719" t="s">
        <v>3211</v>
      </c>
      <c r="G28" s="24">
        <f t="shared" si="8"/>
        <v>1</v>
      </c>
      <c r="H28" s="719"/>
      <c r="I28" s="24">
        <f t="shared" si="9"/>
        <v>1</v>
      </c>
      <c r="J28" s="719"/>
      <c r="K28" s="24">
        <f t="shared" si="10"/>
        <v>1</v>
      </c>
      <c r="L28" s="719"/>
      <c r="M28" s="24">
        <f t="shared" si="11"/>
        <v>1</v>
      </c>
      <c r="N28" s="719"/>
      <c r="O28" s="24">
        <f t="shared" si="12"/>
        <v>1</v>
      </c>
      <c r="P28" s="719" t="s">
        <v>3268</v>
      </c>
      <c r="Q28" s="24">
        <f t="shared" si="13"/>
        <v>0.5</v>
      </c>
      <c r="R28" s="715">
        <f t="shared" ca="1" si="14"/>
        <v>2995</v>
      </c>
      <c r="S28" s="361">
        <f t="shared" ca="1" si="5"/>
        <v>279</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43" t="s">
        <v>2541</v>
      </c>
      <c r="Q15" s="1812" t="str">
        <f t="shared" si="6"/>
        <v>产业集聚程度</v>
      </c>
      <c r="R15" s="773" t="s">
        <v>17</v>
      </c>
      <c r="S15" s="774">
        <f t="shared" si="0"/>
        <v>100</v>
      </c>
      <c r="T15" s="773" t="s">
        <v>17</v>
      </c>
      <c r="U15" s="774">
        <f t="shared" si="1"/>
        <v>100</v>
      </c>
      <c r="V15" s="773" t="s">
        <v>17</v>
      </c>
      <c r="W15" s="774">
        <f t="shared" si="2"/>
        <v>100</v>
      </c>
      <c r="X15" s="1815"/>
      <c r="Y15" s="3243"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44"/>
      <c r="Q17" s="1812" t="str">
        <f>B17</f>
        <v>交通便捷度</v>
      </c>
      <c r="R17" s="773" t="s">
        <v>17</v>
      </c>
      <c r="S17" s="774">
        <f>F17</f>
        <v>100</v>
      </c>
      <c r="T17" s="773" t="s">
        <v>17</v>
      </c>
      <c r="U17" s="774">
        <f>H17</f>
        <v>100</v>
      </c>
      <c r="V17" s="773" t="s">
        <v>17</v>
      </c>
      <c r="W17" s="774">
        <f>J17</f>
        <v>100</v>
      </c>
      <c r="X17" s="1815"/>
      <c r="Y17" s="3244"/>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44"/>
      <c r="Q19" s="1812" t="str">
        <f>B19</f>
        <v>公共配套设施</v>
      </c>
      <c r="R19" s="773" t="s">
        <v>17</v>
      </c>
      <c r="S19" s="774">
        <f>F19</f>
        <v>100</v>
      </c>
      <c r="T19" s="773" t="s">
        <v>17</v>
      </c>
      <c r="U19" s="774">
        <f>H19</f>
        <v>100</v>
      </c>
      <c r="V19" s="773" t="s">
        <v>17</v>
      </c>
      <c r="W19" s="774">
        <f>J19</f>
        <v>100</v>
      </c>
      <c r="X19" s="1815"/>
      <c r="Y19" s="3244"/>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44"/>
      <c r="Q20" s="1812"/>
      <c r="R20" s="773"/>
      <c r="S20" s="774"/>
      <c r="T20" s="773"/>
      <c r="U20" s="774"/>
      <c r="V20" s="773"/>
      <c r="W20" s="774"/>
      <c r="X20" s="1815"/>
      <c r="Y20" s="3244"/>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44"/>
      <c r="Q21" s="1812" t="str">
        <f>B21</f>
        <v>基础设施水平</v>
      </c>
      <c r="R21" s="773" t="s">
        <v>17</v>
      </c>
      <c r="S21" s="774">
        <f>F21</f>
        <v>100</v>
      </c>
      <c r="T21" s="773" t="s">
        <v>17</v>
      </c>
      <c r="U21" s="774">
        <f>H21</f>
        <v>100</v>
      </c>
      <c r="V21" s="773" t="s">
        <v>17</v>
      </c>
      <c r="W21" s="774">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44"/>
      <c r="Q22" s="1812"/>
      <c r="R22" s="773"/>
      <c r="S22" s="774"/>
      <c r="T22" s="773"/>
      <c r="U22" s="774"/>
      <c r="V22" s="773"/>
      <c r="W22" s="774"/>
      <c r="X22" s="1815"/>
      <c r="Y22" s="3244"/>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44"/>
      <c r="Q23" s="1812" t="str">
        <f>B23</f>
        <v>环境质量</v>
      </c>
      <c r="R23" s="773" t="s">
        <v>17</v>
      </c>
      <c r="S23" s="774">
        <f>F23</f>
        <v>100</v>
      </c>
      <c r="T23" s="773" t="s">
        <v>17</v>
      </c>
      <c r="U23" s="774">
        <f>H23</f>
        <v>100</v>
      </c>
      <c r="V23" s="773" t="s">
        <v>17</v>
      </c>
      <c r="W23" s="774">
        <f>J23</f>
        <v>100</v>
      </c>
      <c r="X23" s="1815"/>
      <c r="Y23" s="3244"/>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44"/>
      <c r="Q24" s="1812"/>
      <c r="R24" s="773"/>
      <c r="S24" s="774"/>
      <c r="T24" s="773"/>
      <c r="U24" s="774"/>
      <c r="V24" s="773"/>
      <c r="W24" s="774"/>
      <c r="X24" s="1815"/>
      <c r="Y24" s="3244"/>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44"/>
      <c r="Q25" s="1812">
        <f>B25</f>
        <v>111</v>
      </c>
      <c r="R25" s="773" t="s">
        <v>17</v>
      </c>
      <c r="S25" s="774">
        <f>F25</f>
        <v>100</v>
      </c>
      <c r="T25" s="773" t="s">
        <v>17</v>
      </c>
      <c r="U25" s="774">
        <f>H25</f>
        <v>100</v>
      </c>
      <c r="V25" s="773" t="s">
        <v>17</v>
      </c>
      <c r="W25" s="774">
        <f>J25</f>
        <v>100</v>
      </c>
      <c r="X25" s="1815"/>
      <c r="Y25" s="3244"/>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44"/>
      <c r="Q26" s="1812">
        <f t="shared" ref="Q26:Q40" si="11">B26</f>
        <v>111</v>
      </c>
      <c r="R26" s="773" t="s">
        <v>17</v>
      </c>
      <c r="S26" s="774">
        <f>F26</f>
        <v>100</v>
      </c>
      <c r="T26" s="773" t="s">
        <v>17</v>
      </c>
      <c r="U26" s="774">
        <f>H26</f>
        <v>100</v>
      </c>
      <c r="V26" s="773" t="s">
        <v>17</v>
      </c>
      <c r="W26" s="774">
        <f>J26</f>
        <v>100</v>
      </c>
      <c r="X26" s="1815"/>
      <c r="Y26" s="3244"/>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44"/>
      <c r="Q27" s="1797">
        <f t="shared" si="11"/>
        <v>111</v>
      </c>
      <c r="R27" s="769" t="s">
        <v>17</v>
      </c>
      <c r="S27" s="770">
        <f>F27</f>
        <v>100</v>
      </c>
      <c r="T27" s="769" t="s">
        <v>17</v>
      </c>
      <c r="U27" s="770">
        <f>H27</f>
        <v>100</v>
      </c>
      <c r="V27" s="769" t="s">
        <v>17</v>
      </c>
      <c r="W27" s="770">
        <f>J27</f>
        <v>100</v>
      </c>
      <c r="X27" s="771"/>
      <c r="Y27" s="3244"/>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44"/>
      <c r="Q28" s="1812">
        <f t="shared" si="11"/>
        <v>111</v>
      </c>
      <c r="R28" s="773" t="s">
        <v>17</v>
      </c>
      <c r="S28" s="774">
        <f t="shared" ref="S28:S40" si="12">F28</f>
        <v>100</v>
      </c>
      <c r="T28" s="773" t="s">
        <v>17</v>
      </c>
      <c r="U28" s="774">
        <f t="shared" ref="U28:U40" si="13">H28</f>
        <v>100</v>
      </c>
      <c r="V28" s="773" t="s">
        <v>17</v>
      </c>
      <c r="W28" s="774">
        <f t="shared" ref="W28:W40" si="14">J28</f>
        <v>100</v>
      </c>
      <c r="X28" s="1815"/>
      <c r="Y28" s="3244"/>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9" t="s">
        <v>2546</v>
      </c>
      <c r="Q29" s="1812" t="str">
        <f t="shared" si="11"/>
        <v>建筑类型</v>
      </c>
      <c r="R29" s="773" t="s">
        <v>17</v>
      </c>
      <c r="S29" s="774">
        <f t="shared" si="12"/>
        <v>100</v>
      </c>
      <c r="T29" s="773" t="s">
        <v>17</v>
      </c>
      <c r="U29" s="774">
        <f t="shared" si="13"/>
        <v>100</v>
      </c>
      <c r="V29" s="773" t="s">
        <v>17</v>
      </c>
      <c r="W29" s="774">
        <f t="shared" si="14"/>
        <v>100</v>
      </c>
      <c r="X29" s="1815"/>
      <c r="Y29" s="3248"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48"/>
      <c r="Q30" s="775" t="str">
        <f t="shared" si="11"/>
        <v>项目建筑规模</v>
      </c>
      <c r="R30" s="776" t="s">
        <v>17</v>
      </c>
      <c r="S30" s="777" t="e">
        <f t="shared" si="12"/>
        <v>#N/A</v>
      </c>
      <c r="T30" s="776" t="s">
        <v>17</v>
      </c>
      <c r="U30" s="777" t="e">
        <f t="shared" si="13"/>
        <v>#N/A</v>
      </c>
      <c r="V30" s="776" t="s">
        <v>17</v>
      </c>
      <c r="W30" s="777" t="e">
        <f t="shared" si="14"/>
        <v>#N/A</v>
      </c>
      <c r="X30" s="778"/>
      <c r="Y30" s="3248"/>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48"/>
      <c r="Q31" s="1812" t="str">
        <f t="shared" si="11"/>
        <v>建筑结构</v>
      </c>
      <c r="R31" s="773" t="s">
        <v>17</v>
      </c>
      <c r="S31" s="774">
        <f t="shared" si="12"/>
        <v>100</v>
      </c>
      <c r="T31" s="773" t="s">
        <v>17</v>
      </c>
      <c r="U31" s="774">
        <f t="shared" si="13"/>
        <v>100</v>
      </c>
      <c r="V31" s="773" t="s">
        <v>17</v>
      </c>
      <c r="W31" s="774">
        <f t="shared" si="14"/>
        <v>100</v>
      </c>
      <c r="X31" s="1815"/>
      <c r="Y31" s="3248"/>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48"/>
      <c r="Q32" s="1812" t="str">
        <f t="shared" si="11"/>
        <v>公共部分装修</v>
      </c>
      <c r="R32" s="773" t="s">
        <v>17</v>
      </c>
      <c r="S32" s="774">
        <f t="shared" si="12"/>
        <v>100</v>
      </c>
      <c r="T32" s="773" t="s">
        <v>17</v>
      </c>
      <c r="U32" s="774">
        <f t="shared" si="13"/>
        <v>100</v>
      </c>
      <c r="V32" s="773" t="s">
        <v>17</v>
      </c>
      <c r="W32" s="774">
        <f t="shared" si="14"/>
        <v>100</v>
      </c>
      <c r="X32" s="1815"/>
      <c r="Y32" s="3248"/>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48"/>
      <c r="Q33" s="1812" t="str">
        <f t="shared" si="11"/>
        <v>成新度</v>
      </c>
      <c r="R33" s="773" t="s">
        <v>17</v>
      </c>
      <c r="S33" s="774" t="e">
        <f t="shared" si="12"/>
        <v>#N/A</v>
      </c>
      <c r="T33" s="773" t="s">
        <v>17</v>
      </c>
      <c r="U33" s="774" t="e">
        <f t="shared" si="13"/>
        <v>#N/A</v>
      </c>
      <c r="V33" s="773" t="s">
        <v>17</v>
      </c>
      <c r="W33" s="774" t="e">
        <f t="shared" si="14"/>
        <v>#N/A</v>
      </c>
      <c r="X33" s="1815"/>
      <c r="Y33" s="3248"/>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48"/>
      <c r="Q34" s="1797" t="str">
        <f t="shared" si="11"/>
        <v>物业管理</v>
      </c>
      <c r="R34" s="769" t="s">
        <v>17</v>
      </c>
      <c r="S34" s="770">
        <f t="shared" si="12"/>
        <v>100</v>
      </c>
      <c r="T34" s="769" t="s">
        <v>17</v>
      </c>
      <c r="U34" s="770">
        <f t="shared" si="13"/>
        <v>100</v>
      </c>
      <c r="V34" s="769" t="s">
        <v>17</v>
      </c>
      <c r="W34" s="770">
        <f t="shared" si="14"/>
        <v>100</v>
      </c>
      <c r="X34" s="771"/>
      <c r="Y34" s="3248"/>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48" t="s">
        <v>2546</v>
      </c>
      <c r="Q35" s="1812" t="str">
        <f t="shared" si="11"/>
        <v>市政基础设施</v>
      </c>
      <c r="R35" s="773" t="s">
        <v>17</v>
      </c>
      <c r="S35" s="774">
        <f t="shared" si="12"/>
        <v>100</v>
      </c>
      <c r="T35" s="773" t="s">
        <v>17</v>
      </c>
      <c r="U35" s="774">
        <f t="shared" si="13"/>
        <v>100</v>
      </c>
      <c r="V35" s="773" t="s">
        <v>17</v>
      </c>
      <c r="W35" s="774">
        <f t="shared" si="14"/>
        <v>100</v>
      </c>
      <c r="X35" s="1815"/>
      <c r="Y35" s="3248"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48"/>
      <c r="Q36" s="1812" t="str">
        <f t="shared" si="11"/>
        <v>内部装修</v>
      </c>
      <c r="R36" s="773" t="s">
        <v>17</v>
      </c>
      <c r="S36" s="774">
        <f t="shared" si="12"/>
        <v>100</v>
      </c>
      <c r="T36" s="773" t="s">
        <v>17</v>
      </c>
      <c r="U36" s="774">
        <f t="shared" si="13"/>
        <v>100</v>
      </c>
      <c r="V36" s="773" t="s">
        <v>17</v>
      </c>
      <c r="W36" s="774">
        <f t="shared" si="14"/>
        <v>100</v>
      </c>
      <c r="X36" s="1815"/>
      <c r="Y36" s="3248"/>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48"/>
      <c r="Q37" s="1812" t="str">
        <f t="shared" si="11"/>
        <v>内部装修状况</v>
      </c>
      <c r="R37" s="773" t="s">
        <v>17</v>
      </c>
      <c r="S37" s="774">
        <f t="shared" si="12"/>
        <v>100</v>
      </c>
      <c r="T37" s="773" t="s">
        <v>17</v>
      </c>
      <c r="U37" s="774">
        <f t="shared" si="13"/>
        <v>100</v>
      </c>
      <c r="V37" s="773" t="s">
        <v>17</v>
      </c>
      <c r="W37" s="774">
        <f t="shared" si="14"/>
        <v>100</v>
      </c>
      <c r="X37" s="1815"/>
      <c r="Y37" s="3248"/>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48"/>
      <c r="Q38" s="775">
        <f t="shared" si="11"/>
        <v>111</v>
      </c>
      <c r="R38" s="776" t="s">
        <v>17</v>
      </c>
      <c r="S38" s="777">
        <f t="shared" si="12"/>
        <v>100</v>
      </c>
      <c r="T38" s="776" t="s">
        <v>17</v>
      </c>
      <c r="U38" s="777">
        <f t="shared" si="13"/>
        <v>100</v>
      </c>
      <c r="V38" s="776" t="s">
        <v>17</v>
      </c>
      <c r="W38" s="777">
        <f t="shared" si="14"/>
        <v>100</v>
      </c>
      <c r="X38" s="778"/>
      <c r="Y38" s="3248"/>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48"/>
      <c r="Q39" s="1812">
        <f t="shared" si="11"/>
        <v>111</v>
      </c>
      <c r="R39" s="773" t="s">
        <v>17</v>
      </c>
      <c r="S39" s="774">
        <f t="shared" si="12"/>
        <v>100</v>
      </c>
      <c r="T39" s="773" t="s">
        <v>17</v>
      </c>
      <c r="U39" s="774">
        <f t="shared" si="13"/>
        <v>100</v>
      </c>
      <c r="V39" s="773" t="s">
        <v>17</v>
      </c>
      <c r="W39" s="774">
        <f t="shared" si="14"/>
        <v>100</v>
      </c>
      <c r="X39" s="1815"/>
      <c r="Y39" s="3248"/>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9"/>
      <c r="Q40" s="1812">
        <f t="shared" si="11"/>
        <v>111</v>
      </c>
      <c r="R40" s="773" t="s">
        <v>17</v>
      </c>
      <c r="S40" s="774">
        <f t="shared" si="12"/>
        <v>100</v>
      </c>
      <c r="T40" s="773" t="s">
        <v>17</v>
      </c>
      <c r="U40" s="774">
        <f t="shared" si="13"/>
        <v>100</v>
      </c>
      <c r="V40" s="773" t="s">
        <v>17</v>
      </c>
      <c r="W40" s="774">
        <f t="shared" si="14"/>
        <v>100</v>
      </c>
      <c r="X40" s="1815"/>
      <c r="Y40" s="3249"/>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50" t="str">
        <f>A41</f>
        <v>成交单价（元/平方米）</v>
      </c>
      <c r="Q41" s="3250"/>
      <c r="R41" s="3251">
        <f>E41</f>
        <v>0</v>
      </c>
      <c r="S41" s="3251"/>
      <c r="T41" s="3251">
        <f>G41</f>
        <v>0</v>
      </c>
      <c r="U41" s="3251"/>
      <c r="V41" s="3251">
        <f>I41</f>
        <v>0</v>
      </c>
      <c r="W41" s="3251"/>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82" t="str">
        <f>A43</f>
        <v>估价对象XX用房的比较价值（楼面单价，元/平方米）</v>
      </c>
      <c r="Q43" s="3283"/>
      <c r="R43" s="3284" t="e">
        <f>IF(F1="售价",ROUND(AVERAGE(R42:V42),0),ROUND(AVERAGE(R42:V42),1))</f>
        <v>#DIV/0!</v>
      </c>
      <c r="S43" s="3284"/>
      <c r="T43" s="3284"/>
      <c r="U43" s="3284"/>
      <c r="V43" s="3284"/>
      <c r="W43" s="3284"/>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5" t="s">
        <v>2517</v>
      </c>
      <c r="D4" s="3226"/>
      <c r="E4" s="3227" t="s">
        <v>2518</v>
      </c>
      <c r="F4" s="3228"/>
      <c r="G4" s="3225" t="s">
        <v>2519</v>
      </c>
      <c r="H4" s="3226"/>
      <c r="I4" s="3225" t="s">
        <v>2520</v>
      </c>
      <c r="J4" s="3226"/>
      <c r="K4" s="2593" t="s">
        <v>2521</v>
      </c>
      <c r="L4" s="1131"/>
      <c r="M4" s="1132"/>
      <c r="N4" s="1132"/>
      <c r="O4" s="1132"/>
      <c r="P4" s="3278" t="s">
        <v>2522</v>
      </c>
      <c r="Q4" s="3279"/>
      <c r="R4" s="3268" t="s">
        <v>2518</v>
      </c>
      <c r="S4" s="3269"/>
      <c r="T4" s="3268" t="s">
        <v>2519</v>
      </c>
      <c r="U4" s="3269"/>
      <c r="V4" s="3238" t="s">
        <v>2520</v>
      </c>
      <c r="W4" s="3238"/>
      <c r="X4" s="2937"/>
      <c r="Y4" s="3268" t="s">
        <v>2522</v>
      </c>
      <c r="Z4" s="3269"/>
      <c r="AA4" s="3267" t="s">
        <v>2518</v>
      </c>
      <c r="AB4" s="3267" t="s">
        <v>2519</v>
      </c>
      <c r="AC4" s="3267" t="s">
        <v>2520</v>
      </c>
    </row>
    <row r="5" spans="1:29" ht="15">
      <c r="A5" s="404"/>
      <c r="B5" s="405"/>
      <c r="C5" s="3272" t="s">
        <v>2523</v>
      </c>
      <c r="D5" s="3273"/>
      <c r="E5" s="3270" t="s">
        <v>2524</v>
      </c>
      <c r="F5" s="3271"/>
      <c r="G5" s="3272" t="s">
        <v>2525</v>
      </c>
      <c r="H5" s="3273"/>
      <c r="I5" s="3272" t="s">
        <v>2526</v>
      </c>
      <c r="J5" s="3273"/>
      <c r="K5" s="2594"/>
      <c r="L5" s="1131"/>
      <c r="M5" s="1132"/>
      <c r="N5" s="1132"/>
      <c r="O5" s="1132"/>
      <c r="P5" s="3280"/>
      <c r="Q5" s="3232"/>
      <c r="R5" s="3213"/>
      <c r="S5" s="3214"/>
      <c r="T5" s="3213"/>
      <c r="U5" s="3214"/>
      <c r="V5" s="3238"/>
      <c r="W5" s="3238"/>
      <c r="X5" s="2937"/>
      <c r="Y5" s="3213"/>
      <c r="Z5" s="3214"/>
      <c r="AA5" s="3207"/>
      <c r="AB5" s="3207"/>
      <c r="AC5" s="3207"/>
    </row>
    <row r="6" spans="1:29" ht="15.75" thickBot="1">
      <c r="A6" s="406"/>
      <c r="B6" s="407"/>
      <c r="C6" s="3274" t="s">
        <v>2527</v>
      </c>
      <c r="D6" s="3275"/>
      <c r="E6" s="3276" t="s">
        <v>2527</v>
      </c>
      <c r="F6" s="3277"/>
      <c r="G6" s="3274" t="s">
        <v>2527</v>
      </c>
      <c r="H6" s="3275"/>
      <c r="I6" s="3274" t="s">
        <v>2527</v>
      </c>
      <c r="J6" s="3275"/>
      <c r="K6" s="2594" t="s">
        <v>2528</v>
      </c>
      <c r="L6" s="1131"/>
      <c r="M6" s="1132"/>
      <c r="N6" s="1132"/>
      <c r="O6" s="1132"/>
      <c r="P6" s="3281"/>
      <c r="Q6" s="3234"/>
      <c r="R6" s="3213"/>
      <c r="S6" s="3214"/>
      <c r="T6" s="3235"/>
      <c r="U6" s="3236"/>
      <c r="V6" s="3238"/>
      <c r="W6" s="3238"/>
      <c r="X6" s="2937"/>
      <c r="Y6" s="3235"/>
      <c r="Z6" s="3236"/>
      <c r="AA6" s="3208"/>
      <c r="AB6" s="3208"/>
      <c r="AC6" s="320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9" t="s">
        <v>2530</v>
      </c>
      <c r="Q7" s="3240"/>
      <c r="R7" s="769" t="s">
        <v>23</v>
      </c>
      <c r="S7" s="770">
        <f t="shared" ref="S7:S15" si="0">F7</f>
        <v>0</v>
      </c>
      <c r="T7" s="769" t="s">
        <v>23</v>
      </c>
      <c r="U7" s="770">
        <f t="shared" ref="U7:U15" si="1">H7</f>
        <v>0</v>
      </c>
      <c r="V7" s="769" t="s">
        <v>23</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09" t="s">
        <v>2533</v>
      </c>
      <c r="Q8" s="3210"/>
      <c r="R8" s="769" t="s">
        <v>23</v>
      </c>
      <c r="S8" s="770">
        <f t="shared" si="0"/>
        <v>0</v>
      </c>
      <c r="T8" s="769" t="s">
        <v>23</v>
      </c>
      <c r="U8" s="770">
        <f t="shared" si="1"/>
        <v>0</v>
      </c>
      <c r="V8" s="769" t="s">
        <v>23</v>
      </c>
      <c r="W8" s="770">
        <f t="shared" si="2"/>
        <v>0</v>
      </c>
      <c r="X8" s="771"/>
      <c r="Y8" s="3209" t="s">
        <v>2533</v>
      </c>
      <c r="Z8" s="3210"/>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1" t="s">
        <v>2536</v>
      </c>
      <c r="Q9" s="2923" t="str">
        <f t="shared" ref="Q9:Q15" si="6">B9</f>
        <v>用途</v>
      </c>
      <c r="R9" s="769" t="s">
        <v>17</v>
      </c>
      <c r="S9" s="770">
        <f t="shared" si="0"/>
        <v>100</v>
      </c>
      <c r="T9" s="769" t="s">
        <v>17</v>
      </c>
      <c r="U9" s="770">
        <f t="shared" si="1"/>
        <v>100</v>
      </c>
      <c r="V9" s="769" t="s">
        <v>17</v>
      </c>
      <c r="W9" s="770">
        <f t="shared" si="2"/>
        <v>100</v>
      </c>
      <c r="X9" s="771"/>
      <c r="Y9" s="3082"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1"/>
      <c r="Q10" s="2923" t="str">
        <f t="shared" si="6"/>
        <v>土地使用年限（年）</v>
      </c>
      <c r="R10" s="769" t="s">
        <v>17</v>
      </c>
      <c r="S10" s="770">
        <f t="shared" si="0"/>
        <v>100</v>
      </c>
      <c r="T10" s="769" t="s">
        <v>17</v>
      </c>
      <c r="U10" s="770">
        <f t="shared" si="1"/>
        <v>100</v>
      </c>
      <c r="V10" s="769" t="s">
        <v>17</v>
      </c>
      <c r="W10" s="770">
        <f t="shared" si="2"/>
        <v>100</v>
      </c>
      <c r="X10" s="771"/>
      <c r="Y10" s="3082"/>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21"/>
      <c r="Q11" s="2923" t="str">
        <f t="shared" si="6"/>
        <v>容积率</v>
      </c>
      <c r="R11" s="769" t="s">
        <v>21</v>
      </c>
      <c r="S11" s="770" t="e">
        <f t="shared" si="0"/>
        <v>#N/A</v>
      </c>
      <c r="T11" s="769" t="s">
        <v>21</v>
      </c>
      <c r="U11" s="770" t="e">
        <f t="shared" si="1"/>
        <v>#N/A</v>
      </c>
      <c r="V11" s="769" t="s">
        <v>21</v>
      </c>
      <c r="W11" s="770" t="e">
        <f t="shared" si="2"/>
        <v>#N/A</v>
      </c>
      <c r="X11" s="771"/>
      <c r="Y11" s="3082"/>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1"/>
      <c r="Q12" s="2923">
        <f t="shared" si="6"/>
        <v>111</v>
      </c>
      <c r="R12" s="769" t="s">
        <v>21</v>
      </c>
      <c r="S12" s="770">
        <f t="shared" si="0"/>
        <v>100</v>
      </c>
      <c r="T12" s="769" t="s">
        <v>21</v>
      </c>
      <c r="U12" s="770">
        <f t="shared" si="1"/>
        <v>100</v>
      </c>
      <c r="V12" s="769" t="s">
        <v>21</v>
      </c>
      <c r="W12" s="770">
        <f t="shared" si="2"/>
        <v>100</v>
      </c>
      <c r="X12" s="771"/>
      <c r="Y12" s="3082"/>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1"/>
      <c r="Q13" s="2923">
        <f t="shared" si="6"/>
        <v>111</v>
      </c>
      <c r="R13" s="769" t="s">
        <v>21</v>
      </c>
      <c r="S13" s="770">
        <f t="shared" si="0"/>
        <v>100</v>
      </c>
      <c r="T13" s="769" t="s">
        <v>21</v>
      </c>
      <c r="U13" s="770">
        <f t="shared" si="1"/>
        <v>100</v>
      </c>
      <c r="V13" s="769" t="s">
        <v>21</v>
      </c>
      <c r="W13" s="770">
        <f t="shared" si="2"/>
        <v>100</v>
      </c>
      <c r="X13" s="771"/>
      <c r="Y13" s="3082"/>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1"/>
      <c r="Q14" s="2923">
        <f t="shared" si="6"/>
        <v>111</v>
      </c>
      <c r="R14" s="769" t="s">
        <v>21</v>
      </c>
      <c r="S14" s="770">
        <f t="shared" si="0"/>
        <v>100</v>
      </c>
      <c r="T14" s="769" t="s">
        <v>21</v>
      </c>
      <c r="U14" s="770">
        <f t="shared" si="1"/>
        <v>100</v>
      </c>
      <c r="V14" s="769" t="s">
        <v>21</v>
      </c>
      <c r="W14" s="770">
        <f t="shared" si="2"/>
        <v>100</v>
      </c>
      <c r="X14" s="771"/>
      <c r="Y14" s="3082"/>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1" t="s">
        <v>2541</v>
      </c>
      <c r="Q15" s="2935" t="str">
        <f t="shared" si="6"/>
        <v>居住社区成熟度</v>
      </c>
      <c r="R15" s="773" t="s">
        <v>21</v>
      </c>
      <c r="S15" s="774">
        <f t="shared" si="0"/>
        <v>100</v>
      </c>
      <c r="T15" s="773" t="s">
        <v>21</v>
      </c>
      <c r="U15" s="774">
        <f t="shared" si="1"/>
        <v>100</v>
      </c>
      <c r="V15" s="773" t="s">
        <v>21</v>
      </c>
      <c r="W15" s="774">
        <f t="shared" si="2"/>
        <v>100</v>
      </c>
      <c r="X15" s="2937"/>
      <c r="Y15" s="3243"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42"/>
      <c r="Q16" s="2935"/>
      <c r="R16" s="773"/>
      <c r="S16" s="774"/>
      <c r="T16" s="773"/>
      <c r="U16" s="774"/>
      <c r="V16" s="773"/>
      <c r="W16" s="774"/>
      <c r="X16" s="2937"/>
      <c r="Y16" s="3244"/>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2"/>
      <c r="Q17" s="2935" t="str">
        <f>B17</f>
        <v>交通便捷度</v>
      </c>
      <c r="R17" s="773" t="s">
        <v>21</v>
      </c>
      <c r="S17" s="774">
        <f>F17</f>
        <v>100</v>
      </c>
      <c r="T17" s="773" t="s">
        <v>21</v>
      </c>
      <c r="U17" s="774">
        <f>H17</f>
        <v>100</v>
      </c>
      <c r="V17" s="773" t="s">
        <v>21</v>
      </c>
      <c r="W17" s="774">
        <f>J17</f>
        <v>100</v>
      </c>
      <c r="X17" s="2937"/>
      <c r="Y17" s="3244"/>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42"/>
      <c r="Q18" s="2935"/>
      <c r="R18" s="773"/>
      <c r="S18" s="774"/>
      <c r="T18" s="773"/>
      <c r="U18" s="774"/>
      <c r="V18" s="773"/>
      <c r="W18" s="774"/>
      <c r="X18" s="2937"/>
      <c r="Y18" s="3244"/>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2"/>
      <c r="Q19" s="2935" t="str">
        <f>B19</f>
        <v>公共配套设施</v>
      </c>
      <c r="R19" s="773" t="s">
        <v>21</v>
      </c>
      <c r="S19" s="774">
        <f>F19</f>
        <v>100</v>
      </c>
      <c r="T19" s="773" t="s">
        <v>21</v>
      </c>
      <c r="U19" s="774">
        <f>H19</f>
        <v>100</v>
      </c>
      <c r="V19" s="773" t="s">
        <v>21</v>
      </c>
      <c r="W19" s="774">
        <f>J19</f>
        <v>100</v>
      </c>
      <c r="X19" s="2937"/>
      <c r="Y19" s="3244"/>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42"/>
      <c r="Q20" s="2935"/>
      <c r="R20" s="773"/>
      <c r="S20" s="774"/>
      <c r="T20" s="773"/>
      <c r="U20" s="774"/>
      <c r="V20" s="773"/>
      <c r="W20" s="774"/>
      <c r="X20" s="2937"/>
      <c r="Y20" s="3244"/>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2"/>
      <c r="Q21" s="2935" t="str">
        <f>B21</f>
        <v>基础设施水平</v>
      </c>
      <c r="R21" s="773" t="s">
        <v>17</v>
      </c>
      <c r="S21" s="774">
        <f>F21</f>
        <v>100</v>
      </c>
      <c r="T21" s="773" t="s">
        <v>17</v>
      </c>
      <c r="U21" s="774">
        <f>H21</f>
        <v>100</v>
      </c>
      <c r="V21" s="773" t="s">
        <v>17</v>
      </c>
      <c r="W21" s="774">
        <f>J21</f>
        <v>100</v>
      </c>
      <c r="X21" s="2937"/>
      <c r="Y21" s="3244"/>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42"/>
      <c r="Q22" s="2935"/>
      <c r="R22" s="773"/>
      <c r="S22" s="774"/>
      <c r="T22" s="773"/>
      <c r="U22" s="774"/>
      <c r="V22" s="773"/>
      <c r="W22" s="774"/>
      <c r="X22" s="2937"/>
      <c r="Y22" s="3244"/>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2"/>
      <c r="Q23" s="2935" t="str">
        <f>B23</f>
        <v>自然及人文环境</v>
      </c>
      <c r="R23" s="773" t="s">
        <v>21</v>
      </c>
      <c r="S23" s="774">
        <f>F23</f>
        <v>100</v>
      </c>
      <c r="T23" s="773" t="s">
        <v>21</v>
      </c>
      <c r="U23" s="774">
        <f>H23</f>
        <v>100</v>
      </c>
      <c r="V23" s="773" t="s">
        <v>21</v>
      </c>
      <c r="W23" s="774">
        <f>J23</f>
        <v>100</v>
      </c>
      <c r="X23" s="2937"/>
      <c r="Y23" s="3244"/>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42"/>
      <c r="Q24" s="2935"/>
      <c r="R24" s="773"/>
      <c r="S24" s="774"/>
      <c r="T24" s="773"/>
      <c r="U24" s="774"/>
      <c r="V24" s="773"/>
      <c r="W24" s="774"/>
      <c r="X24" s="2937"/>
      <c r="Y24" s="3244"/>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2"/>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44"/>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2"/>
      <c r="Q26" s="2935" t="str">
        <f t="shared" si="11"/>
        <v>朝向</v>
      </c>
      <c r="R26" s="773" t="s">
        <v>21</v>
      </c>
      <c r="S26" s="774">
        <f t="shared" si="12"/>
        <v>100</v>
      </c>
      <c r="T26" s="773" t="s">
        <v>21</v>
      </c>
      <c r="U26" s="774">
        <f t="shared" si="13"/>
        <v>100</v>
      </c>
      <c r="V26" s="773" t="s">
        <v>21</v>
      </c>
      <c r="W26" s="774">
        <f t="shared" si="14"/>
        <v>100</v>
      </c>
      <c r="X26" s="2937"/>
      <c r="Y26" s="3244"/>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2"/>
      <c r="Q27" s="2923">
        <f t="shared" si="11"/>
        <v>111</v>
      </c>
      <c r="R27" s="769" t="s">
        <v>21</v>
      </c>
      <c r="S27" s="770">
        <f t="shared" si="12"/>
        <v>100</v>
      </c>
      <c r="T27" s="769" t="s">
        <v>21</v>
      </c>
      <c r="U27" s="770">
        <f t="shared" si="13"/>
        <v>100</v>
      </c>
      <c r="V27" s="769" t="s">
        <v>21</v>
      </c>
      <c r="W27" s="770">
        <f t="shared" si="14"/>
        <v>100</v>
      </c>
      <c r="X27" s="771"/>
      <c r="Y27" s="3244"/>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2"/>
      <c r="Q28" s="2935">
        <f t="shared" si="11"/>
        <v>111</v>
      </c>
      <c r="R28" s="773" t="s">
        <v>21</v>
      </c>
      <c r="S28" s="774">
        <f t="shared" si="12"/>
        <v>100</v>
      </c>
      <c r="T28" s="773" t="s">
        <v>21</v>
      </c>
      <c r="U28" s="774">
        <f t="shared" si="13"/>
        <v>100</v>
      </c>
      <c r="V28" s="773" t="s">
        <v>21</v>
      </c>
      <c r="W28" s="774">
        <f t="shared" si="14"/>
        <v>100</v>
      </c>
      <c r="X28" s="2937"/>
      <c r="Y28" s="3244"/>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2"/>
      <c r="Q29" s="2935">
        <f t="shared" si="11"/>
        <v>111</v>
      </c>
      <c r="R29" s="773" t="s">
        <v>21</v>
      </c>
      <c r="S29" s="774">
        <f t="shared" si="12"/>
        <v>100</v>
      </c>
      <c r="T29" s="773" t="s">
        <v>21</v>
      </c>
      <c r="U29" s="774">
        <f t="shared" si="13"/>
        <v>100</v>
      </c>
      <c r="V29" s="773" t="s">
        <v>21</v>
      </c>
      <c r="W29" s="774">
        <f t="shared" si="14"/>
        <v>100</v>
      </c>
      <c r="X29" s="2937"/>
      <c r="Y29" s="3244"/>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2"/>
      <c r="Q30" s="2935">
        <f t="shared" si="11"/>
        <v>111</v>
      </c>
      <c r="R30" s="773" t="s">
        <v>21</v>
      </c>
      <c r="S30" s="774">
        <f t="shared" si="12"/>
        <v>100</v>
      </c>
      <c r="T30" s="773" t="s">
        <v>21</v>
      </c>
      <c r="U30" s="774">
        <f t="shared" si="13"/>
        <v>100</v>
      </c>
      <c r="V30" s="773" t="s">
        <v>21</v>
      </c>
      <c r="W30" s="774">
        <f t="shared" si="14"/>
        <v>100</v>
      </c>
      <c r="X30" s="2937"/>
      <c r="Y30" s="3244"/>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2"/>
      <c r="Q31" s="2935">
        <f t="shared" si="11"/>
        <v>111</v>
      </c>
      <c r="R31" s="773" t="s">
        <v>21</v>
      </c>
      <c r="S31" s="774">
        <f t="shared" si="12"/>
        <v>100</v>
      </c>
      <c r="T31" s="773" t="s">
        <v>21</v>
      </c>
      <c r="U31" s="774">
        <f t="shared" si="13"/>
        <v>100</v>
      </c>
      <c r="V31" s="773" t="s">
        <v>21</v>
      </c>
      <c r="W31" s="774">
        <f t="shared" si="14"/>
        <v>100</v>
      </c>
      <c r="X31" s="2937"/>
      <c r="Y31" s="3244"/>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5" t="s">
        <v>2546</v>
      </c>
      <c r="Q32" s="2935" t="str">
        <f t="shared" si="11"/>
        <v>建筑类型</v>
      </c>
      <c r="R32" s="773" t="s">
        <v>21</v>
      </c>
      <c r="S32" s="774">
        <f t="shared" si="12"/>
        <v>100</v>
      </c>
      <c r="T32" s="773" t="s">
        <v>21</v>
      </c>
      <c r="U32" s="774">
        <f t="shared" si="13"/>
        <v>100</v>
      </c>
      <c r="V32" s="773" t="s">
        <v>21</v>
      </c>
      <c r="W32" s="774">
        <f t="shared" si="14"/>
        <v>100</v>
      </c>
      <c r="X32" s="2937"/>
      <c r="Y32" s="3248"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46"/>
      <c r="Q33" s="775" t="str">
        <f t="shared" si="11"/>
        <v>项目建筑规模</v>
      </c>
      <c r="R33" s="776" t="s">
        <v>21</v>
      </c>
      <c r="S33" s="777" t="e">
        <f t="shared" si="12"/>
        <v>#N/A</v>
      </c>
      <c r="T33" s="776" t="s">
        <v>21</v>
      </c>
      <c r="U33" s="777" t="e">
        <f t="shared" si="13"/>
        <v>#N/A</v>
      </c>
      <c r="V33" s="776" t="s">
        <v>21</v>
      </c>
      <c r="W33" s="777" t="e">
        <f t="shared" si="14"/>
        <v>#N/A</v>
      </c>
      <c r="X33" s="778"/>
      <c r="Y33" s="3248"/>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6"/>
      <c r="Q34" s="2935" t="str">
        <f t="shared" si="11"/>
        <v>建筑结构</v>
      </c>
      <c r="R34" s="773" t="s">
        <v>21</v>
      </c>
      <c r="S34" s="774">
        <f t="shared" si="12"/>
        <v>100</v>
      </c>
      <c r="T34" s="773" t="s">
        <v>21</v>
      </c>
      <c r="U34" s="774">
        <f t="shared" si="13"/>
        <v>100</v>
      </c>
      <c r="V34" s="773" t="s">
        <v>21</v>
      </c>
      <c r="W34" s="774">
        <f t="shared" si="14"/>
        <v>100</v>
      </c>
      <c r="X34" s="2937"/>
      <c r="Y34" s="3248"/>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6"/>
      <c r="Q35" s="2935" t="str">
        <f t="shared" si="11"/>
        <v>建筑品质</v>
      </c>
      <c r="R35" s="773" t="s">
        <v>21</v>
      </c>
      <c r="S35" s="774">
        <f t="shared" si="12"/>
        <v>100</v>
      </c>
      <c r="T35" s="773" t="s">
        <v>21</v>
      </c>
      <c r="U35" s="774">
        <f t="shared" si="13"/>
        <v>100</v>
      </c>
      <c r="V35" s="773" t="s">
        <v>21</v>
      </c>
      <c r="W35" s="774">
        <f t="shared" si="14"/>
        <v>100</v>
      </c>
      <c r="X35" s="2937"/>
      <c r="Y35" s="3248"/>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6"/>
      <c r="Q36" s="2935" t="str">
        <f t="shared" si="11"/>
        <v>公共部分装修</v>
      </c>
      <c r="R36" s="773" t="s">
        <v>21</v>
      </c>
      <c r="S36" s="774">
        <f t="shared" si="12"/>
        <v>100</v>
      </c>
      <c r="T36" s="773" t="s">
        <v>21</v>
      </c>
      <c r="U36" s="774">
        <f t="shared" si="13"/>
        <v>100</v>
      </c>
      <c r="V36" s="773" t="s">
        <v>21</v>
      </c>
      <c r="W36" s="774">
        <f t="shared" si="14"/>
        <v>100</v>
      </c>
      <c r="X36" s="2937"/>
      <c r="Y36" s="3248"/>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6"/>
      <c r="Q37" s="2923" t="str">
        <f t="shared" si="11"/>
        <v>成新度</v>
      </c>
      <c r="R37" s="769" t="s">
        <v>21</v>
      </c>
      <c r="S37" s="770" t="e">
        <f t="shared" si="12"/>
        <v>#N/A</v>
      </c>
      <c r="T37" s="769" t="s">
        <v>21</v>
      </c>
      <c r="U37" s="770" t="e">
        <f t="shared" si="13"/>
        <v>#N/A</v>
      </c>
      <c r="V37" s="769" t="s">
        <v>21</v>
      </c>
      <c r="W37" s="770" t="e">
        <f t="shared" si="14"/>
        <v>#N/A</v>
      </c>
      <c r="X37" s="771"/>
      <c r="Y37" s="3248"/>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6" t="s">
        <v>2546</v>
      </c>
      <c r="Q38" s="2935" t="str">
        <f t="shared" si="11"/>
        <v>物业管理</v>
      </c>
      <c r="R38" s="773" t="s">
        <v>21</v>
      </c>
      <c r="S38" s="774">
        <f t="shared" si="12"/>
        <v>100</v>
      </c>
      <c r="T38" s="773" t="s">
        <v>21</v>
      </c>
      <c r="U38" s="774">
        <f t="shared" si="13"/>
        <v>100</v>
      </c>
      <c r="V38" s="773" t="s">
        <v>21</v>
      </c>
      <c r="W38" s="774">
        <f t="shared" si="14"/>
        <v>100</v>
      </c>
      <c r="X38" s="2937"/>
      <c r="Y38" s="3248"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6"/>
      <c r="Q39" s="2935" t="str">
        <f t="shared" si="11"/>
        <v>市政基础设施</v>
      </c>
      <c r="R39" s="773" t="s">
        <v>21</v>
      </c>
      <c r="S39" s="774">
        <f t="shared" si="12"/>
        <v>100</v>
      </c>
      <c r="T39" s="773" t="s">
        <v>21</v>
      </c>
      <c r="U39" s="774">
        <f t="shared" si="13"/>
        <v>100</v>
      </c>
      <c r="V39" s="773" t="s">
        <v>21</v>
      </c>
      <c r="W39" s="774">
        <f t="shared" si="14"/>
        <v>100</v>
      </c>
      <c r="X39" s="2937"/>
      <c r="Y39" s="3248"/>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6"/>
      <c r="Q40" s="2935" t="str">
        <f t="shared" si="11"/>
        <v>房型</v>
      </c>
      <c r="R40" s="773" t="s">
        <v>21</v>
      </c>
      <c r="S40" s="774">
        <f t="shared" si="12"/>
        <v>100</v>
      </c>
      <c r="T40" s="773" t="s">
        <v>21</v>
      </c>
      <c r="U40" s="774">
        <f t="shared" si="13"/>
        <v>100</v>
      </c>
      <c r="V40" s="773" t="s">
        <v>21</v>
      </c>
      <c r="W40" s="774">
        <f t="shared" si="14"/>
        <v>100</v>
      </c>
      <c r="X40" s="2937"/>
      <c r="Y40" s="3248"/>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6"/>
      <c r="Q42" s="2935" t="str">
        <f t="shared" si="11"/>
        <v>内部装修</v>
      </c>
      <c r="R42" s="773" t="s">
        <v>21</v>
      </c>
      <c r="S42" s="774">
        <f t="shared" si="12"/>
        <v>100</v>
      </c>
      <c r="T42" s="773" t="s">
        <v>21</v>
      </c>
      <c r="U42" s="774">
        <f t="shared" si="13"/>
        <v>100</v>
      </c>
      <c r="V42" s="773" t="s">
        <v>21</v>
      </c>
      <c r="W42" s="774">
        <f t="shared" si="14"/>
        <v>100</v>
      </c>
      <c r="X42" s="2937"/>
      <c r="Y42" s="3248"/>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6"/>
      <c r="Q43" s="2935" t="str">
        <f t="shared" si="11"/>
        <v>内部装修维护情况</v>
      </c>
      <c r="R43" s="773" t="s">
        <v>21</v>
      </c>
      <c r="S43" s="774">
        <f t="shared" si="12"/>
        <v>100</v>
      </c>
      <c r="T43" s="773" t="s">
        <v>21</v>
      </c>
      <c r="U43" s="774">
        <f t="shared" si="13"/>
        <v>100</v>
      </c>
      <c r="V43" s="773" t="s">
        <v>21</v>
      </c>
      <c r="W43" s="774">
        <f t="shared" si="14"/>
        <v>100</v>
      </c>
      <c r="X43" s="2937"/>
      <c r="Y43" s="3248"/>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6"/>
      <c r="Q44" s="2923">
        <f t="shared" si="11"/>
        <v>111</v>
      </c>
      <c r="R44" s="769" t="s">
        <v>21</v>
      </c>
      <c r="S44" s="770">
        <f t="shared" si="12"/>
        <v>100</v>
      </c>
      <c r="T44" s="769" t="s">
        <v>21</v>
      </c>
      <c r="U44" s="770">
        <f t="shared" si="13"/>
        <v>100</v>
      </c>
      <c r="V44" s="769" t="s">
        <v>21</v>
      </c>
      <c r="W44" s="770">
        <f t="shared" si="14"/>
        <v>100</v>
      </c>
      <c r="X44" s="771"/>
      <c r="Y44" s="3248"/>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6"/>
      <c r="Q45" s="2935">
        <f t="shared" si="11"/>
        <v>111</v>
      </c>
      <c r="R45" s="773" t="s">
        <v>21</v>
      </c>
      <c r="S45" s="774">
        <f t="shared" si="12"/>
        <v>100</v>
      </c>
      <c r="T45" s="773" t="s">
        <v>21</v>
      </c>
      <c r="U45" s="774">
        <f t="shared" si="13"/>
        <v>100</v>
      </c>
      <c r="V45" s="773" t="s">
        <v>21</v>
      </c>
      <c r="W45" s="774">
        <f t="shared" si="14"/>
        <v>100</v>
      </c>
      <c r="X45" s="2937"/>
      <c r="Y45" s="3248"/>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7"/>
      <c r="Q46" s="2935">
        <f t="shared" si="11"/>
        <v>111</v>
      </c>
      <c r="R46" s="773" t="s">
        <v>20</v>
      </c>
      <c r="S46" s="774">
        <f t="shared" si="12"/>
        <v>100</v>
      </c>
      <c r="T46" s="773" t="s">
        <v>20</v>
      </c>
      <c r="U46" s="774">
        <f t="shared" si="13"/>
        <v>100</v>
      </c>
      <c r="V46" s="773" t="s">
        <v>20</v>
      </c>
      <c r="W46" s="774">
        <f t="shared" si="14"/>
        <v>100</v>
      </c>
      <c r="X46" s="2937"/>
      <c r="Y46" s="3249"/>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50" t="str">
        <f>A47</f>
        <v>成交单价（元/平方米）</v>
      </c>
      <c r="Q47" s="3250"/>
      <c r="R47" s="3251">
        <f>E47</f>
        <v>0</v>
      </c>
      <c r="S47" s="3251"/>
      <c r="T47" s="3251">
        <f>G47</f>
        <v>0</v>
      </c>
      <c r="U47" s="3251"/>
      <c r="V47" s="3251">
        <f>I47</f>
        <v>0</v>
      </c>
      <c r="W47" s="3251"/>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82" t="str">
        <f>A49</f>
        <v>估价对象XX用房的比较价值（楼面单价，元/平方米）</v>
      </c>
      <c r="Q49" s="3283"/>
      <c r="R49" s="3284" t="e">
        <f>IF(F1="售价",ROUND(AVERAGE(R48:V48),0),ROUND(AVERAGE(R48:V48),1))</f>
        <v>#DIV/0!</v>
      </c>
      <c r="S49" s="3284"/>
      <c r="T49" s="3284"/>
      <c r="U49" s="3284"/>
      <c r="V49" s="3284"/>
      <c r="W49" s="328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9" t="s">
        <v>2530</v>
      </c>
      <c r="Q7" s="3240"/>
      <c r="R7" s="769" t="s">
        <v>17</v>
      </c>
      <c r="S7" s="770">
        <f t="shared" ref="S7:S14" si="0">F7</f>
        <v>0</v>
      </c>
      <c r="T7" s="769" t="s">
        <v>17</v>
      </c>
      <c r="U7" s="770">
        <f t="shared" ref="U7:U14" si="1">H7</f>
        <v>0</v>
      </c>
      <c r="V7" s="769" t="s">
        <v>17</v>
      </c>
      <c r="W7" s="770">
        <f t="shared" ref="W7:W14" si="2">J7</f>
        <v>0</v>
      </c>
      <c r="X7" s="771"/>
      <c r="Y7" s="3209" t="s">
        <v>2530</v>
      </c>
      <c r="Z7" s="3210"/>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50" t="s">
        <v>2536</v>
      </c>
      <c r="Q9" s="1797" t="str">
        <f t="shared" ref="Q9:Q14" si="6">B9</f>
        <v>用途</v>
      </c>
      <c r="R9" s="769" t="s">
        <v>17</v>
      </c>
      <c r="S9" s="770">
        <f t="shared" si="0"/>
        <v>100</v>
      </c>
      <c r="T9" s="769" t="s">
        <v>17</v>
      </c>
      <c r="U9" s="770">
        <f t="shared" si="1"/>
        <v>100</v>
      </c>
      <c r="V9" s="769" t="s">
        <v>17</v>
      </c>
      <c r="W9" s="770">
        <f t="shared" si="2"/>
        <v>100</v>
      </c>
      <c r="X9" s="771"/>
      <c r="Y9" s="3082"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50"/>
      <c r="Q11" s="1797">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43" t="s">
        <v>2541</v>
      </c>
      <c r="Q14" s="1812" t="str">
        <f t="shared" si="6"/>
        <v>交通便捷度</v>
      </c>
      <c r="R14" s="773" t="s">
        <v>17</v>
      </c>
      <c r="S14" s="774">
        <f t="shared" si="0"/>
        <v>100</v>
      </c>
      <c r="T14" s="773" t="s">
        <v>17</v>
      </c>
      <c r="U14" s="774">
        <f t="shared" si="1"/>
        <v>100</v>
      </c>
      <c r="V14" s="773" t="s">
        <v>17</v>
      </c>
      <c r="W14" s="774">
        <f t="shared" si="2"/>
        <v>100</v>
      </c>
      <c r="X14" s="1815"/>
      <c r="Y14" s="3243"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44"/>
      <c r="Q15" s="1812"/>
      <c r="R15" s="773"/>
      <c r="S15" s="774"/>
      <c r="T15" s="773"/>
      <c r="U15" s="774"/>
      <c r="V15" s="773"/>
      <c r="W15" s="774"/>
      <c r="X15" s="1815"/>
      <c r="Y15" s="3244"/>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44"/>
      <c r="Q16" s="1812" t="str">
        <f>B16</f>
        <v>公共配套设施</v>
      </c>
      <c r="R16" s="773" t="s">
        <v>17</v>
      </c>
      <c r="S16" s="774">
        <f>F16</f>
        <v>100</v>
      </c>
      <c r="T16" s="773" t="s">
        <v>17</v>
      </c>
      <c r="U16" s="774">
        <f>H16</f>
        <v>100</v>
      </c>
      <c r="V16" s="773" t="s">
        <v>17</v>
      </c>
      <c r="W16" s="774">
        <f>J16</f>
        <v>100</v>
      </c>
      <c r="X16" s="1815"/>
      <c r="Y16" s="3244"/>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44"/>
      <c r="Q17" s="1812"/>
      <c r="R17" s="773"/>
      <c r="S17" s="774"/>
      <c r="T17" s="773"/>
      <c r="U17" s="774"/>
      <c r="V17" s="773"/>
      <c r="W17" s="774"/>
      <c r="X17" s="1815"/>
      <c r="Y17" s="3244"/>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44"/>
      <c r="Q18" s="1812" t="str">
        <f>B18</f>
        <v>基础设施水平</v>
      </c>
      <c r="R18" s="773" t="s">
        <v>17</v>
      </c>
      <c r="S18" s="774">
        <f>F18</f>
        <v>100</v>
      </c>
      <c r="T18" s="773" t="s">
        <v>17</v>
      </c>
      <c r="U18" s="774">
        <f>H18</f>
        <v>100</v>
      </c>
      <c r="V18" s="773" t="s">
        <v>17</v>
      </c>
      <c r="W18" s="774">
        <f>J18</f>
        <v>100</v>
      </c>
      <c r="X18" s="1815"/>
      <c r="Y18" s="3244"/>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44"/>
      <c r="Q19" s="1812"/>
      <c r="R19" s="773"/>
      <c r="S19" s="774"/>
      <c r="T19" s="773"/>
      <c r="U19" s="774"/>
      <c r="V19" s="773"/>
      <c r="W19" s="774"/>
      <c r="X19" s="1815"/>
      <c r="Y19" s="3244"/>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44"/>
      <c r="Q20" s="1812" t="str">
        <f>B20</f>
        <v>自然及人文环境</v>
      </c>
      <c r="R20" s="773" t="s">
        <v>17</v>
      </c>
      <c r="S20" s="774">
        <f>F20</f>
        <v>100</v>
      </c>
      <c r="T20" s="773" t="s">
        <v>17</v>
      </c>
      <c r="U20" s="774">
        <f>H20</f>
        <v>100</v>
      </c>
      <c r="V20" s="773" t="s">
        <v>17</v>
      </c>
      <c r="W20" s="774">
        <f>J20</f>
        <v>100</v>
      </c>
      <c r="X20" s="1815"/>
      <c r="Y20" s="324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44"/>
      <c r="Q21" s="1812"/>
      <c r="R21" s="773"/>
      <c r="S21" s="774"/>
      <c r="T21" s="773"/>
      <c r="U21" s="774"/>
      <c r="V21" s="773"/>
      <c r="W21" s="774"/>
      <c r="X21" s="1815"/>
      <c r="Y21" s="3244"/>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44"/>
      <c r="Q22" s="1812" t="str">
        <f>B22</f>
        <v>楼层</v>
      </c>
      <c r="R22" s="773" t="s">
        <v>17</v>
      </c>
      <c r="S22" s="774">
        <f>F22</f>
        <v>100</v>
      </c>
      <c r="T22" s="773" t="s">
        <v>17</v>
      </c>
      <c r="U22" s="774">
        <f>H22</f>
        <v>100</v>
      </c>
      <c r="V22" s="773" t="s">
        <v>17</v>
      </c>
      <c r="W22" s="774">
        <f>J22</f>
        <v>100</v>
      </c>
      <c r="X22" s="1815"/>
      <c r="Y22" s="324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44"/>
      <c r="Q23" s="1812">
        <f>B23</f>
        <v>111</v>
      </c>
      <c r="R23" s="773" t="s">
        <v>17</v>
      </c>
      <c r="S23" s="774">
        <f>F23</f>
        <v>100</v>
      </c>
      <c r="T23" s="773" t="s">
        <v>17</v>
      </c>
      <c r="U23" s="774">
        <f>H23</f>
        <v>100</v>
      </c>
      <c r="V23" s="773" t="s">
        <v>17</v>
      </c>
      <c r="W23" s="774">
        <f>J23</f>
        <v>100</v>
      </c>
      <c r="X23" s="1815"/>
      <c r="Y23" s="324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44"/>
      <c r="Q24" s="1812">
        <f t="shared" ref="Q24:Q36" si="11">B24</f>
        <v>111</v>
      </c>
      <c r="R24" s="773" t="s">
        <v>17</v>
      </c>
      <c r="S24" s="774">
        <f>F24</f>
        <v>100</v>
      </c>
      <c r="T24" s="773" t="s">
        <v>17</v>
      </c>
      <c r="U24" s="774">
        <f>H24</f>
        <v>100</v>
      </c>
      <c r="V24" s="773" t="s">
        <v>17</v>
      </c>
      <c r="W24" s="774">
        <f>J24</f>
        <v>100</v>
      </c>
      <c r="X24" s="1815"/>
      <c r="Y24" s="324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44"/>
      <c r="Q25" s="1797">
        <f t="shared" si="11"/>
        <v>111</v>
      </c>
      <c r="R25" s="769" t="s">
        <v>17</v>
      </c>
      <c r="S25" s="770">
        <f>F25</f>
        <v>100</v>
      </c>
      <c r="T25" s="769" t="s">
        <v>17</v>
      </c>
      <c r="U25" s="770">
        <f>H25</f>
        <v>100</v>
      </c>
      <c r="V25" s="769" t="s">
        <v>17</v>
      </c>
      <c r="W25" s="770">
        <f>J25</f>
        <v>100</v>
      </c>
      <c r="X25" s="771"/>
      <c r="Y25" s="3244"/>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8"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48"/>
      <c r="Q27" s="775" t="str">
        <f t="shared" si="11"/>
        <v>项目停车位配比</v>
      </c>
      <c r="R27" s="776" t="s">
        <v>17</v>
      </c>
      <c r="S27" s="777">
        <f t="shared" si="12"/>
        <v>100</v>
      </c>
      <c r="T27" s="776" t="s">
        <v>17</v>
      </c>
      <c r="U27" s="777">
        <f t="shared" si="13"/>
        <v>100</v>
      </c>
      <c r="V27" s="776" t="s">
        <v>17</v>
      </c>
      <c r="W27" s="777">
        <f t="shared" si="14"/>
        <v>100</v>
      </c>
      <c r="X27" s="778"/>
      <c r="Y27" s="3248"/>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48"/>
      <c r="Q28" s="1812" t="str">
        <f t="shared" si="11"/>
        <v>公共部分装修</v>
      </c>
      <c r="R28" s="773" t="s">
        <v>17</v>
      </c>
      <c r="S28" s="774">
        <f t="shared" si="12"/>
        <v>100</v>
      </c>
      <c r="T28" s="773" t="s">
        <v>17</v>
      </c>
      <c r="U28" s="774">
        <f t="shared" si="13"/>
        <v>100</v>
      </c>
      <c r="V28" s="773" t="s">
        <v>17</v>
      </c>
      <c r="W28" s="774">
        <f t="shared" si="14"/>
        <v>100</v>
      </c>
      <c r="X28" s="1815"/>
      <c r="Y28" s="3248"/>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48"/>
      <c r="Q29" s="1812" t="str">
        <f t="shared" si="11"/>
        <v>成新率</v>
      </c>
      <c r="R29" s="773" t="s">
        <v>17</v>
      </c>
      <c r="S29" s="774" t="e">
        <f t="shared" si="12"/>
        <v>#N/A</v>
      </c>
      <c r="T29" s="773" t="s">
        <v>17</v>
      </c>
      <c r="U29" s="774" t="e">
        <f t="shared" si="13"/>
        <v>#N/A</v>
      </c>
      <c r="V29" s="773" t="s">
        <v>17</v>
      </c>
      <c r="W29" s="774" t="e">
        <f t="shared" si="14"/>
        <v>#N/A</v>
      </c>
      <c r="X29" s="1815"/>
      <c r="Y29" s="3248"/>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48"/>
      <c r="Q30" s="1812" t="str">
        <f t="shared" si="11"/>
        <v>物业等级</v>
      </c>
      <c r="R30" s="773" t="s">
        <v>17</v>
      </c>
      <c r="S30" s="774">
        <f t="shared" si="12"/>
        <v>100</v>
      </c>
      <c r="T30" s="773" t="s">
        <v>17</v>
      </c>
      <c r="U30" s="774">
        <f t="shared" si="13"/>
        <v>100</v>
      </c>
      <c r="V30" s="773" t="s">
        <v>17</v>
      </c>
      <c r="W30" s="774">
        <f t="shared" si="14"/>
        <v>100</v>
      </c>
      <c r="X30" s="1815"/>
      <c r="Y30" s="3248"/>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48"/>
      <c r="Q31" s="1797" t="str">
        <f t="shared" si="11"/>
        <v>停车位面积</v>
      </c>
      <c r="R31" s="769" t="s">
        <v>17</v>
      </c>
      <c r="S31" s="770" t="e">
        <f t="shared" si="12"/>
        <v>#N/A</v>
      </c>
      <c r="T31" s="769" t="s">
        <v>17</v>
      </c>
      <c r="U31" s="770" t="e">
        <f t="shared" si="13"/>
        <v>#N/A</v>
      </c>
      <c r="V31" s="769" t="s">
        <v>17</v>
      </c>
      <c r="W31" s="770" t="e">
        <f t="shared" si="14"/>
        <v>#N/A</v>
      </c>
      <c r="X31" s="771"/>
      <c r="Y31" s="3248"/>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48" t="s">
        <v>2546</v>
      </c>
      <c r="Q32" s="1812" t="str">
        <f t="shared" si="11"/>
        <v>车位类型</v>
      </c>
      <c r="R32" s="773" t="s">
        <v>17</v>
      </c>
      <c r="S32" s="774">
        <f t="shared" si="12"/>
        <v>100</v>
      </c>
      <c r="T32" s="773" t="s">
        <v>17</v>
      </c>
      <c r="U32" s="774">
        <f t="shared" si="13"/>
        <v>100</v>
      </c>
      <c r="V32" s="773" t="s">
        <v>17</v>
      </c>
      <c r="W32" s="774">
        <f t="shared" si="14"/>
        <v>100</v>
      </c>
      <c r="X32" s="1815"/>
      <c r="Y32" s="3248"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48"/>
      <c r="Q33" s="1812" t="str">
        <f t="shared" si="11"/>
        <v>是否直接入户</v>
      </c>
      <c r="R33" s="773" t="s">
        <v>17</v>
      </c>
      <c r="S33" s="774">
        <f t="shared" si="12"/>
        <v>100</v>
      </c>
      <c r="T33" s="773" t="s">
        <v>17</v>
      </c>
      <c r="U33" s="774">
        <f t="shared" si="13"/>
        <v>100</v>
      </c>
      <c r="V33" s="773" t="s">
        <v>17</v>
      </c>
      <c r="W33" s="774">
        <f t="shared" si="14"/>
        <v>100</v>
      </c>
      <c r="X33" s="1815"/>
      <c r="Y33" s="324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48"/>
      <c r="Q34" s="1812">
        <f t="shared" si="11"/>
        <v>111</v>
      </c>
      <c r="R34" s="773" t="s">
        <v>17</v>
      </c>
      <c r="S34" s="774">
        <f t="shared" si="12"/>
        <v>100</v>
      </c>
      <c r="T34" s="773" t="s">
        <v>17</v>
      </c>
      <c r="U34" s="774">
        <f t="shared" si="13"/>
        <v>100</v>
      </c>
      <c r="V34" s="773" t="s">
        <v>17</v>
      </c>
      <c r="W34" s="774">
        <f t="shared" si="14"/>
        <v>100</v>
      </c>
      <c r="X34" s="1815"/>
      <c r="Y34" s="324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48"/>
      <c r="Q35" s="775">
        <f t="shared" si="11"/>
        <v>111</v>
      </c>
      <c r="R35" s="776" t="s">
        <v>17</v>
      </c>
      <c r="S35" s="777">
        <f t="shared" si="12"/>
        <v>100</v>
      </c>
      <c r="T35" s="776" t="s">
        <v>17</v>
      </c>
      <c r="U35" s="777">
        <f t="shared" si="13"/>
        <v>100</v>
      </c>
      <c r="V35" s="776" t="s">
        <v>17</v>
      </c>
      <c r="W35" s="777">
        <f t="shared" si="14"/>
        <v>100</v>
      </c>
      <c r="X35" s="778"/>
      <c r="Y35" s="324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48"/>
      <c r="Q36" s="1812">
        <f t="shared" si="11"/>
        <v>111</v>
      </c>
      <c r="R36" s="773" t="s">
        <v>17</v>
      </c>
      <c r="S36" s="774">
        <f t="shared" si="12"/>
        <v>100</v>
      </c>
      <c r="T36" s="773" t="s">
        <v>17</v>
      </c>
      <c r="U36" s="774">
        <f t="shared" si="13"/>
        <v>100</v>
      </c>
      <c r="V36" s="773" t="s">
        <v>17</v>
      </c>
      <c r="W36" s="774">
        <f t="shared" si="14"/>
        <v>100</v>
      </c>
      <c r="X36" s="1815"/>
      <c r="Y36" s="3248"/>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50" t="str">
        <f>A37</f>
        <v>成交单价</v>
      </c>
      <c r="Q37" s="3250"/>
      <c r="R37" s="3251">
        <f>E37</f>
        <v>7000</v>
      </c>
      <c r="S37" s="3251"/>
      <c r="T37" s="3251">
        <f>G37</f>
        <v>7000</v>
      </c>
      <c r="U37" s="3251"/>
      <c r="V37" s="3251">
        <f>I37</f>
        <v>7000</v>
      </c>
      <c r="W37" s="3251"/>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82" t="str">
        <f>A39</f>
        <v>估价对象XX用房的比较价值（楼面单价，元/平方米）</v>
      </c>
      <c r="Q39" s="3283"/>
      <c r="R39" s="3284" t="e">
        <f>IF(F1="售价",ROUND(AVERAGE(R38:V38),0),ROUND(AVERAGE(R38:V38),1))</f>
        <v>#DIV/0!</v>
      </c>
      <c r="S39" s="3284"/>
      <c r="T39" s="3284"/>
      <c r="U39" s="3284"/>
      <c r="V39" s="3284"/>
      <c r="W39" s="3284"/>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f ca="1">结果表!H101</f>
        <v>1395</v>
      </c>
      <c r="E5" s="1961"/>
    </row>
    <row r="6" spans="1:5" ht="15.75">
      <c r="A6" s="1961"/>
      <c r="B6" s="3018"/>
      <c r="C6" s="1964" t="s">
        <v>1622</v>
      </c>
      <c r="D6" s="1041" t="str">
        <f ca="1">NUMBERSTRING(INT(D5*10000),2)&amp;"元整"</f>
        <v>壹仟叁佰玖拾伍万元整</v>
      </c>
      <c r="E6" s="1961"/>
    </row>
    <row r="7" spans="1:5" ht="15.75">
      <c r="A7" s="1961"/>
      <c r="B7" s="3023"/>
      <c r="C7" s="1965" t="s">
        <v>1623</v>
      </c>
      <c r="D7" s="1042">
        <f ca="1">结果表!H102</f>
        <v>6111</v>
      </c>
      <c r="E7" s="1961"/>
    </row>
    <row r="8" spans="1:5" ht="15.75">
      <c r="A8" s="1961"/>
      <c r="B8" s="3024" t="str">
        <f>结果表!E103</f>
        <v>2.估价师知悉的法定优先受偿款</v>
      </c>
      <c r="C8" s="1966" t="s">
        <v>1624</v>
      </c>
      <c r="D8" s="1042">
        <f>结果表!H103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结果表!H104</f>
        <v>0</v>
      </c>
      <c r="E10" s="1961"/>
    </row>
    <row r="11" spans="1:5" ht="15">
      <c r="A11" s="1961"/>
      <c r="B11" s="1967" t="s">
        <v>1629</v>
      </c>
      <c r="C11" s="1968" t="s">
        <v>1630</v>
      </c>
      <c r="D11" s="1043">
        <f>结果表!H105</f>
        <v>0</v>
      </c>
      <c r="E11" s="1961"/>
    </row>
    <row r="12" spans="1:5" ht="15">
      <c r="A12" s="1961"/>
      <c r="B12" s="1967" t="s">
        <v>1631</v>
      </c>
      <c r="C12" s="1968" t="s">
        <v>1630</v>
      </c>
      <c r="D12" s="1043">
        <f>结果表!H106</f>
        <v>0</v>
      </c>
      <c r="E12" s="1961"/>
    </row>
    <row r="13" spans="1:5" ht="15.75">
      <c r="A13" s="1961"/>
      <c r="B13" s="3017" t="str">
        <f>结果表!E107</f>
        <v>3.房地产抵押价值</v>
      </c>
      <c r="C13" s="1969" t="s">
        <v>1621</v>
      </c>
      <c r="D13" s="1044">
        <f ca="1">结果表!H107</f>
        <v>1395</v>
      </c>
      <c r="E13" s="1961"/>
    </row>
    <row r="14" spans="1:5" ht="15.75">
      <c r="A14" s="1961"/>
      <c r="B14" s="3018"/>
      <c r="C14" s="1964" t="s">
        <v>1622</v>
      </c>
      <c r="D14" s="1041" t="str">
        <f ca="1">NUMBERSTRING(INT(D13*10000),2)&amp;"元整"</f>
        <v>壹仟叁佰玖拾伍万元整</v>
      </c>
      <c r="E14" s="1961"/>
    </row>
    <row r="15" spans="1:5" ht="15">
      <c r="A15" s="1961"/>
      <c r="B15" s="3023"/>
      <c r="C15" s="1965" t="s">
        <v>1632</v>
      </c>
      <c r="D15" s="1053">
        <f ca="1">结果表!H108</f>
        <v>6111</v>
      </c>
      <c r="E15" s="1961"/>
    </row>
    <row r="16" spans="1:5" ht="15">
      <c r="A16" s="1961"/>
      <c r="B16" s="3024" t="str">
        <f>结果表!E109</f>
        <v>——</v>
      </c>
      <c r="C16" s="1969" t="s">
        <v>1633</v>
      </c>
      <c r="D16" s="1970" t="str">
        <f>结果表!H109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结果表!H110</f>
        <v>——</v>
      </c>
      <c r="E18" s="1961"/>
    </row>
    <row r="19" spans="1:5" ht="15.75">
      <c r="A19" s="1961"/>
      <c r="B19" s="3017" t="str">
        <f>结果表!E111</f>
        <v>——</v>
      </c>
      <c r="C19" s="1969" t="s">
        <v>1621</v>
      </c>
      <c r="D19" s="1042" t="str">
        <f>结果表!H111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09" t="s">
        <v>2530</v>
      </c>
      <c r="Q7" s="3240"/>
      <c r="R7" s="769" t="s">
        <v>17</v>
      </c>
      <c r="S7" s="770">
        <f t="shared" ref="S7:S14" si="0">F7</f>
        <v>0</v>
      </c>
      <c r="T7" s="769" t="s">
        <v>17</v>
      </c>
      <c r="U7" s="770">
        <f t="shared" ref="U7:U14" si="1">H7</f>
        <v>0</v>
      </c>
      <c r="V7" s="769" t="s">
        <v>17</v>
      </c>
      <c r="W7" s="770">
        <f t="shared" ref="W7:W14" si="2">J7</f>
        <v>0</v>
      </c>
      <c r="X7" s="771"/>
      <c r="Y7" s="3209" t="s">
        <v>2530</v>
      </c>
      <c r="Z7" s="3210"/>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50" t="s">
        <v>2536</v>
      </c>
      <c r="Q9" s="1797" t="str">
        <f t="shared" ref="Q9:Q14" si="6">B9</f>
        <v>用途</v>
      </c>
      <c r="R9" s="769" t="s">
        <v>17</v>
      </c>
      <c r="S9" s="770">
        <f t="shared" si="0"/>
        <v>100</v>
      </c>
      <c r="T9" s="769" t="s">
        <v>17</v>
      </c>
      <c r="U9" s="770">
        <f t="shared" si="1"/>
        <v>100</v>
      </c>
      <c r="V9" s="769" t="s">
        <v>17</v>
      </c>
      <c r="W9" s="770">
        <f t="shared" si="2"/>
        <v>100</v>
      </c>
      <c r="X9" s="771"/>
      <c r="Y9" s="3082"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50"/>
      <c r="Q10" s="1797"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50"/>
      <c r="Q11" s="1797">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43" t="s">
        <v>2541</v>
      </c>
      <c r="Q14" s="1812" t="str">
        <f t="shared" si="6"/>
        <v>交通便捷度</v>
      </c>
      <c r="R14" s="773" t="s">
        <v>17</v>
      </c>
      <c r="S14" s="774">
        <f t="shared" si="0"/>
        <v>100</v>
      </c>
      <c r="T14" s="773" t="s">
        <v>17</v>
      </c>
      <c r="U14" s="774">
        <f t="shared" si="1"/>
        <v>100</v>
      </c>
      <c r="V14" s="773" t="s">
        <v>17</v>
      </c>
      <c r="W14" s="774">
        <f t="shared" si="2"/>
        <v>100</v>
      </c>
      <c r="X14" s="1815"/>
      <c r="Y14" s="3243"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44"/>
      <c r="Q15" s="1812"/>
      <c r="R15" s="773"/>
      <c r="S15" s="774"/>
      <c r="T15" s="773"/>
      <c r="U15" s="774"/>
      <c r="V15" s="773"/>
      <c r="W15" s="774"/>
      <c r="X15" s="1815"/>
      <c r="Y15" s="3244"/>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44"/>
      <c r="Q16" s="1812" t="str">
        <f>B16</f>
        <v>公共配套设施</v>
      </c>
      <c r="R16" s="773" t="s">
        <v>17</v>
      </c>
      <c r="S16" s="774">
        <f>F16</f>
        <v>100</v>
      </c>
      <c r="T16" s="773" t="s">
        <v>17</v>
      </c>
      <c r="U16" s="774">
        <f>H16</f>
        <v>100</v>
      </c>
      <c r="V16" s="773" t="s">
        <v>17</v>
      </c>
      <c r="W16" s="774">
        <f>J16</f>
        <v>100</v>
      </c>
      <c r="X16" s="1815"/>
      <c r="Y16" s="3244"/>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44"/>
      <c r="Q17" s="1812"/>
      <c r="R17" s="773"/>
      <c r="S17" s="774"/>
      <c r="T17" s="773"/>
      <c r="U17" s="774"/>
      <c r="V17" s="773"/>
      <c r="W17" s="774"/>
      <c r="X17" s="1815"/>
      <c r="Y17" s="3244"/>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44"/>
      <c r="Q18" s="1812" t="str">
        <f>B18</f>
        <v>基础设施水平</v>
      </c>
      <c r="R18" s="773" t="s">
        <v>17</v>
      </c>
      <c r="S18" s="774">
        <f>F18</f>
        <v>100</v>
      </c>
      <c r="T18" s="773" t="s">
        <v>17</v>
      </c>
      <c r="U18" s="774">
        <f>H18</f>
        <v>100</v>
      </c>
      <c r="V18" s="773" t="s">
        <v>17</v>
      </c>
      <c r="W18" s="774">
        <f>J18</f>
        <v>100</v>
      </c>
      <c r="X18" s="1815"/>
      <c r="Y18" s="3244"/>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44"/>
      <c r="Q19" s="1812"/>
      <c r="R19" s="773"/>
      <c r="S19" s="774"/>
      <c r="T19" s="773"/>
      <c r="U19" s="774"/>
      <c r="V19" s="773"/>
      <c r="W19" s="774"/>
      <c r="X19" s="1815"/>
      <c r="Y19" s="3244"/>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44"/>
      <c r="Q20" s="1812" t="str">
        <f>B20</f>
        <v>自然及人文环境</v>
      </c>
      <c r="R20" s="773" t="s">
        <v>17</v>
      </c>
      <c r="S20" s="774">
        <f>F20</f>
        <v>100</v>
      </c>
      <c r="T20" s="773" t="s">
        <v>17</v>
      </c>
      <c r="U20" s="774">
        <f>H20</f>
        <v>100</v>
      </c>
      <c r="V20" s="773" t="s">
        <v>17</v>
      </c>
      <c r="W20" s="774">
        <f>J20</f>
        <v>100</v>
      </c>
      <c r="X20" s="1815"/>
      <c r="Y20" s="324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44"/>
      <c r="Q21" s="1812"/>
      <c r="R21" s="773"/>
      <c r="S21" s="774"/>
      <c r="T21" s="773"/>
      <c r="U21" s="774"/>
      <c r="V21" s="773"/>
      <c r="W21" s="774"/>
      <c r="X21" s="1815"/>
      <c r="Y21" s="3244"/>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44"/>
      <c r="Q22" s="1812" t="str">
        <f>B22</f>
        <v>楼层</v>
      </c>
      <c r="R22" s="773" t="s">
        <v>17</v>
      </c>
      <c r="S22" s="774">
        <f>F22</f>
        <v>100</v>
      </c>
      <c r="T22" s="773" t="s">
        <v>17</v>
      </c>
      <c r="U22" s="774">
        <f>H22</f>
        <v>100</v>
      </c>
      <c r="V22" s="773" t="s">
        <v>17</v>
      </c>
      <c r="W22" s="774">
        <f>J22</f>
        <v>100</v>
      </c>
      <c r="X22" s="1815"/>
      <c r="Y22" s="3244"/>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44"/>
      <c r="Q23" s="1812">
        <f>B23</f>
        <v>111</v>
      </c>
      <c r="R23" s="773" t="s">
        <v>17</v>
      </c>
      <c r="S23" s="774">
        <f>F23</f>
        <v>100</v>
      </c>
      <c r="T23" s="773" t="s">
        <v>17</v>
      </c>
      <c r="U23" s="774">
        <f>H23</f>
        <v>100</v>
      </c>
      <c r="V23" s="773" t="s">
        <v>17</v>
      </c>
      <c r="W23" s="774">
        <f>J23</f>
        <v>100</v>
      </c>
      <c r="X23" s="1815"/>
      <c r="Y23" s="3244"/>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44"/>
      <c r="Q24" s="1812">
        <f t="shared" ref="Q24:Q34" si="11">B24</f>
        <v>111</v>
      </c>
      <c r="R24" s="773" t="s">
        <v>17</v>
      </c>
      <c r="S24" s="774">
        <f>F24</f>
        <v>100</v>
      </c>
      <c r="T24" s="773" t="s">
        <v>17</v>
      </c>
      <c r="U24" s="774">
        <f>H24</f>
        <v>100</v>
      </c>
      <c r="V24" s="773" t="s">
        <v>17</v>
      </c>
      <c r="W24" s="774">
        <f>J24</f>
        <v>100</v>
      </c>
      <c r="X24" s="1815"/>
      <c r="Y24" s="3244"/>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44"/>
      <c r="Q25" s="1797">
        <f t="shared" si="11"/>
        <v>111</v>
      </c>
      <c r="R25" s="769" t="s">
        <v>17</v>
      </c>
      <c r="S25" s="770">
        <f>F25</f>
        <v>100</v>
      </c>
      <c r="T25" s="769" t="s">
        <v>17</v>
      </c>
      <c r="U25" s="770">
        <f>H25</f>
        <v>100</v>
      </c>
      <c r="V25" s="769" t="s">
        <v>17</v>
      </c>
      <c r="W25" s="770">
        <f>J25</f>
        <v>100</v>
      </c>
      <c r="X25" s="771"/>
      <c r="Y25" s="3244"/>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9"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8"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48"/>
      <c r="Q27" s="775" t="str">
        <f t="shared" si="11"/>
        <v>成新率</v>
      </c>
      <c r="R27" s="776" t="s">
        <v>17</v>
      </c>
      <c r="S27" s="777" t="e">
        <f t="shared" si="12"/>
        <v>#N/A</v>
      </c>
      <c r="T27" s="776" t="s">
        <v>17</v>
      </c>
      <c r="U27" s="777" t="e">
        <f t="shared" si="13"/>
        <v>#N/A</v>
      </c>
      <c r="V27" s="776" t="s">
        <v>17</v>
      </c>
      <c r="W27" s="777" t="e">
        <f t="shared" si="14"/>
        <v>#N/A</v>
      </c>
      <c r="X27" s="778"/>
      <c r="Y27" s="3248"/>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48"/>
      <c r="Q28" s="1812" t="str">
        <f t="shared" si="11"/>
        <v>物业等级</v>
      </c>
      <c r="R28" s="773" t="s">
        <v>17</v>
      </c>
      <c r="S28" s="774">
        <f t="shared" si="12"/>
        <v>100</v>
      </c>
      <c r="T28" s="773" t="s">
        <v>17</v>
      </c>
      <c r="U28" s="774">
        <f t="shared" si="13"/>
        <v>100</v>
      </c>
      <c r="V28" s="773" t="s">
        <v>17</v>
      </c>
      <c r="W28" s="774">
        <f t="shared" si="14"/>
        <v>100</v>
      </c>
      <c r="X28" s="1815"/>
      <c r="Y28" s="3248"/>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48"/>
      <c r="Q29" s="1812" t="str">
        <f t="shared" si="11"/>
        <v>有无电梯</v>
      </c>
      <c r="R29" s="773" t="s">
        <v>17</v>
      </c>
      <c r="S29" s="774">
        <f t="shared" si="12"/>
        <v>100</v>
      </c>
      <c r="T29" s="773" t="s">
        <v>17</v>
      </c>
      <c r="U29" s="774">
        <f t="shared" si="13"/>
        <v>100</v>
      </c>
      <c r="V29" s="773" t="s">
        <v>17</v>
      </c>
      <c r="W29" s="774">
        <f t="shared" si="14"/>
        <v>100</v>
      </c>
      <c r="X29" s="1815"/>
      <c r="Y29" s="3248"/>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48"/>
      <c r="Q30" s="1812" t="str">
        <f t="shared" si="11"/>
        <v>建筑面积</v>
      </c>
      <c r="R30" s="773" t="s">
        <v>17</v>
      </c>
      <c r="S30" s="774" t="e">
        <f t="shared" si="12"/>
        <v>#N/A</v>
      </c>
      <c r="T30" s="773" t="s">
        <v>17</v>
      </c>
      <c r="U30" s="774" t="e">
        <f t="shared" si="13"/>
        <v>#N/A</v>
      </c>
      <c r="V30" s="773" t="s">
        <v>17</v>
      </c>
      <c r="W30" s="774" t="e">
        <f t="shared" si="14"/>
        <v>#N/A</v>
      </c>
      <c r="X30" s="1815"/>
      <c r="Y30" s="3248"/>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48"/>
      <c r="Q31" s="1797" t="str">
        <f t="shared" si="11"/>
        <v>是否封闭</v>
      </c>
      <c r="R31" s="769" t="s">
        <v>17</v>
      </c>
      <c r="S31" s="770">
        <f t="shared" si="12"/>
        <v>100</v>
      </c>
      <c r="T31" s="769" t="s">
        <v>17</v>
      </c>
      <c r="U31" s="770">
        <f t="shared" si="13"/>
        <v>100</v>
      </c>
      <c r="V31" s="769" t="s">
        <v>17</v>
      </c>
      <c r="W31" s="770">
        <f t="shared" si="14"/>
        <v>100</v>
      </c>
      <c r="X31" s="771"/>
      <c r="Y31" s="3248"/>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48" t="s">
        <v>2546</v>
      </c>
      <c r="Q32" s="1812">
        <f t="shared" si="11"/>
        <v>111</v>
      </c>
      <c r="R32" s="773" t="s">
        <v>17</v>
      </c>
      <c r="S32" s="774">
        <f t="shared" si="12"/>
        <v>100</v>
      </c>
      <c r="T32" s="773" t="s">
        <v>17</v>
      </c>
      <c r="U32" s="774">
        <f t="shared" si="13"/>
        <v>100</v>
      </c>
      <c r="V32" s="773" t="s">
        <v>17</v>
      </c>
      <c r="W32" s="774">
        <f t="shared" si="14"/>
        <v>100</v>
      </c>
      <c r="X32" s="1815"/>
      <c r="Y32" s="3248"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48"/>
      <c r="Q33" s="1812">
        <f t="shared" si="11"/>
        <v>111</v>
      </c>
      <c r="R33" s="773" t="s">
        <v>17</v>
      </c>
      <c r="S33" s="774">
        <f t="shared" si="12"/>
        <v>100</v>
      </c>
      <c r="T33" s="773" t="s">
        <v>17</v>
      </c>
      <c r="U33" s="774">
        <f t="shared" si="13"/>
        <v>100</v>
      </c>
      <c r="V33" s="773" t="s">
        <v>17</v>
      </c>
      <c r="W33" s="774">
        <f t="shared" si="14"/>
        <v>100</v>
      </c>
      <c r="X33" s="1815"/>
      <c r="Y33" s="3248"/>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48"/>
      <c r="Q34" s="1812">
        <f t="shared" si="11"/>
        <v>111</v>
      </c>
      <c r="R34" s="773" t="s">
        <v>17</v>
      </c>
      <c r="S34" s="774">
        <f t="shared" si="12"/>
        <v>100</v>
      </c>
      <c r="T34" s="773" t="s">
        <v>17</v>
      </c>
      <c r="U34" s="774">
        <f t="shared" si="13"/>
        <v>100</v>
      </c>
      <c r="V34" s="773" t="s">
        <v>17</v>
      </c>
      <c r="W34" s="774">
        <f t="shared" si="14"/>
        <v>100</v>
      </c>
      <c r="X34" s="1815"/>
      <c r="Y34" s="3248"/>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50" t="str">
        <f>A35</f>
        <v>成交单价（元/平方米）</v>
      </c>
      <c r="Q35" s="3250"/>
      <c r="R35" s="3251">
        <f>E35</f>
        <v>0</v>
      </c>
      <c r="S35" s="3251"/>
      <c r="T35" s="3251">
        <f>G35</f>
        <v>0</v>
      </c>
      <c r="U35" s="3251"/>
      <c r="V35" s="3251">
        <f>I35</f>
        <v>0</v>
      </c>
      <c r="W35" s="3251"/>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82" t="str">
        <f>A37</f>
        <v>估价对象XX用房的比较价值（楼面单价，元/平方米）</v>
      </c>
      <c r="Q37" s="3283"/>
      <c r="R37" s="3284" t="e">
        <f>IF(F1="售价",ROUND(AVERAGE(R36:V36),0),ROUND(AVERAGE(R36:V36),1))</f>
        <v>#DIV/0!</v>
      </c>
      <c r="S37" s="3284"/>
      <c r="T37" s="3284"/>
      <c r="U37" s="3284"/>
      <c r="V37" s="3284"/>
      <c r="W37" s="3284"/>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30"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30" ht="15.75" thickBot="1">
      <c r="A6" s="406"/>
      <c r="B6" s="407"/>
      <c r="C6" s="3274" t="s">
        <v>2527</v>
      </c>
      <c r="D6" s="3275"/>
      <c r="E6" s="3276" t="s">
        <v>2527</v>
      </c>
      <c r="F6" s="3277"/>
      <c r="G6" s="3274" t="s">
        <v>2527</v>
      </c>
      <c r="H6" s="3275"/>
      <c r="I6" s="3274" t="s">
        <v>2527</v>
      </c>
      <c r="J6" s="3275"/>
      <c r="K6" s="610" t="s">
        <v>2528</v>
      </c>
      <c r="L6" s="1131"/>
      <c r="M6" s="1132"/>
      <c r="N6" s="1132"/>
      <c r="O6" s="1132"/>
      <c r="P6" s="3281"/>
      <c r="Q6" s="3234"/>
      <c r="R6" s="3213"/>
      <c r="S6" s="3214"/>
      <c r="T6" s="3235"/>
      <c r="U6" s="3236"/>
      <c r="V6" s="3238"/>
      <c r="W6" s="3238"/>
      <c r="X6" s="1815"/>
      <c r="Y6" s="3235"/>
      <c r="Z6" s="3236"/>
      <c r="AA6" s="3208"/>
      <c r="AB6" s="3208"/>
      <c r="AC6" s="3208"/>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50"/>
      <c r="Q10" s="1797" t="str">
        <f t="shared" si="6"/>
        <v>土地使用年限（年）</v>
      </c>
      <c r="R10" s="769" t="s">
        <v>17</v>
      </c>
      <c r="S10" s="770">
        <f t="shared" si="0"/>
        <v>130</v>
      </c>
      <c r="T10" s="769" t="s">
        <v>17</v>
      </c>
      <c r="U10" s="770">
        <f t="shared" si="1"/>
        <v>130</v>
      </c>
      <c r="V10" s="769" t="s">
        <v>17</v>
      </c>
      <c r="W10" s="770">
        <f t="shared" si="2"/>
        <v>130</v>
      </c>
      <c r="X10" s="771"/>
      <c r="Y10" s="3082"/>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50"/>
      <c r="Q12" s="1797" t="str">
        <f t="shared" si="6"/>
        <v>配建</v>
      </c>
      <c r="R12" s="769" t="s">
        <v>17</v>
      </c>
      <c r="S12" s="770">
        <f t="shared" si="0"/>
        <v>100</v>
      </c>
      <c r="T12" s="769" t="s">
        <v>17</v>
      </c>
      <c r="U12" s="770">
        <f t="shared" si="1"/>
        <v>100</v>
      </c>
      <c r="V12" s="769" t="s">
        <v>17</v>
      </c>
      <c r="W12" s="770">
        <f t="shared" si="2"/>
        <v>100</v>
      </c>
      <c r="X12" s="771"/>
      <c r="Y12" s="3082"/>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43" t="s">
        <v>2541</v>
      </c>
      <c r="Q15" s="1812" t="str">
        <f t="shared" si="6"/>
        <v>居住社区成熟度</v>
      </c>
      <c r="R15" s="773" t="s">
        <v>17</v>
      </c>
      <c r="S15" s="774">
        <f t="shared" si="0"/>
        <v>100</v>
      </c>
      <c r="T15" s="773" t="s">
        <v>17</v>
      </c>
      <c r="U15" s="774">
        <f t="shared" si="1"/>
        <v>100</v>
      </c>
      <c r="V15" s="773" t="s">
        <v>17</v>
      </c>
      <c r="W15" s="774">
        <f t="shared" si="2"/>
        <v>100</v>
      </c>
      <c r="X15" s="1815"/>
      <c r="Y15" s="3243"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44"/>
      <c r="Q17" s="1812" t="str">
        <f>B17</f>
        <v>商业繁华度</v>
      </c>
      <c r="R17" s="773" t="s">
        <v>17</v>
      </c>
      <c r="S17" s="774">
        <f>F17</f>
        <v>100</v>
      </c>
      <c r="T17" s="773" t="s">
        <v>17</v>
      </c>
      <c r="U17" s="774">
        <f>H17</f>
        <v>100</v>
      </c>
      <c r="V17" s="773" t="s">
        <v>17</v>
      </c>
      <c r="W17" s="774">
        <f>J17</f>
        <v>100</v>
      </c>
      <c r="X17" s="1815"/>
      <c r="Y17" s="3244"/>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44"/>
      <c r="Q19" s="1812" t="str">
        <f>B19</f>
        <v>办公集聚程度</v>
      </c>
      <c r="R19" s="773" t="s">
        <v>17</v>
      </c>
      <c r="S19" s="774">
        <f>F19</f>
        <v>100</v>
      </c>
      <c r="T19" s="773" t="s">
        <v>17</v>
      </c>
      <c r="U19" s="774">
        <f>H19</f>
        <v>100</v>
      </c>
      <c r="V19" s="773" t="s">
        <v>17</v>
      </c>
      <c r="W19" s="774">
        <f>J19</f>
        <v>100</v>
      </c>
      <c r="X19" s="1815"/>
      <c r="Y19" s="3244"/>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44"/>
      <c r="Q20" s="1812"/>
      <c r="R20" s="773"/>
      <c r="S20" s="774"/>
      <c r="T20" s="773"/>
      <c r="U20" s="774"/>
      <c r="V20" s="773"/>
      <c r="W20" s="774"/>
      <c r="X20" s="1815"/>
      <c r="Y20" s="3244"/>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44"/>
      <c r="Q21" s="1812" t="str">
        <f>B21</f>
        <v>交通便捷度</v>
      </c>
      <c r="R21" s="773" t="s">
        <v>17</v>
      </c>
      <c r="S21" s="774">
        <f>F21</f>
        <v>100</v>
      </c>
      <c r="T21" s="773" t="s">
        <v>17</v>
      </c>
      <c r="U21" s="774">
        <f>H21</f>
        <v>100</v>
      </c>
      <c r="V21" s="773" t="s">
        <v>17</v>
      </c>
      <c r="W21" s="774">
        <f>J21</f>
        <v>100</v>
      </c>
      <c r="X21" s="1815"/>
      <c r="Y21" s="3244"/>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44"/>
      <c r="Q22" s="1812"/>
      <c r="R22" s="773"/>
      <c r="S22" s="774"/>
      <c r="T22" s="773"/>
      <c r="U22" s="774"/>
      <c r="V22" s="773"/>
      <c r="W22" s="774"/>
      <c r="X22" s="1815"/>
      <c r="Y22" s="3244"/>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44"/>
      <c r="Q23" s="1812" t="str">
        <f t="shared" ref="Q23:Q37" si="8">B23</f>
        <v>区域土地利用方向</v>
      </c>
      <c r="R23" s="773" t="s">
        <v>17</v>
      </c>
      <c r="S23" s="774">
        <f>F23</f>
        <v>100</v>
      </c>
      <c r="T23" s="773" t="s">
        <v>17</v>
      </c>
      <c r="U23" s="774">
        <f>H23</f>
        <v>100</v>
      </c>
      <c r="V23" s="773" t="s">
        <v>17</v>
      </c>
      <c r="W23" s="774">
        <f>J23</f>
        <v>100</v>
      </c>
      <c r="X23" s="1815"/>
      <c r="Y23" s="3244"/>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44"/>
      <c r="Q24" s="1812"/>
      <c r="R24" s="773"/>
      <c r="S24" s="774"/>
      <c r="T24" s="773"/>
      <c r="U24" s="774"/>
      <c r="V24" s="773"/>
      <c r="W24" s="774"/>
      <c r="X24" s="1815"/>
      <c r="Y24" s="3244"/>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44"/>
      <c r="Q25" s="1812" t="str">
        <f t="shared" si="8"/>
        <v>自然及人文环境状况</v>
      </c>
      <c r="R25" s="773" t="s">
        <v>17</v>
      </c>
      <c r="S25" s="774">
        <f>F25</f>
        <v>100</v>
      </c>
      <c r="T25" s="773" t="s">
        <v>17</v>
      </c>
      <c r="U25" s="774">
        <f>H25</f>
        <v>100</v>
      </c>
      <c r="V25" s="773" t="s">
        <v>17</v>
      </c>
      <c r="W25" s="774">
        <f>J25</f>
        <v>100</v>
      </c>
      <c r="X25" s="1815"/>
      <c r="Y25" s="3244"/>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44"/>
      <c r="Q26" s="1812"/>
      <c r="R26" s="773"/>
      <c r="S26" s="774"/>
      <c r="T26" s="773"/>
      <c r="U26" s="774"/>
      <c r="V26" s="773"/>
      <c r="W26" s="774"/>
      <c r="X26" s="1815"/>
      <c r="Y26" s="3244"/>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44"/>
      <c r="Q27" s="1797" t="str">
        <f t="shared" si="8"/>
        <v>公共配套设施</v>
      </c>
      <c r="R27" s="769" t="s">
        <v>17</v>
      </c>
      <c r="S27" s="770">
        <f>F27</f>
        <v>100</v>
      </c>
      <c r="T27" s="769" t="s">
        <v>17</v>
      </c>
      <c r="U27" s="770">
        <f>H27</f>
        <v>100</v>
      </c>
      <c r="V27" s="769" t="s">
        <v>17</v>
      </c>
      <c r="W27" s="770">
        <f>J27</f>
        <v>100</v>
      </c>
      <c r="X27" s="771"/>
      <c r="Y27" s="3244"/>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44"/>
      <c r="Q28" s="1797"/>
      <c r="R28" s="769"/>
      <c r="S28" s="770"/>
      <c r="T28" s="769"/>
      <c r="U28" s="770"/>
      <c r="V28" s="769"/>
      <c r="W28" s="770"/>
      <c r="X28" s="771"/>
      <c r="Y28" s="3244"/>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44"/>
      <c r="Q29" s="1797" t="str">
        <f t="shared" ref="Q29" si="9">B29</f>
        <v>基础设施水平</v>
      </c>
      <c r="R29" s="769" t="s">
        <v>17</v>
      </c>
      <c r="S29" s="770">
        <f>F29</f>
        <v>100</v>
      </c>
      <c r="T29" s="769" t="s">
        <v>17</v>
      </c>
      <c r="U29" s="770">
        <f>H29</f>
        <v>100</v>
      </c>
      <c r="V29" s="769" t="s">
        <v>17</v>
      </c>
      <c r="W29" s="770">
        <f>J29</f>
        <v>100</v>
      </c>
      <c r="X29" s="771"/>
      <c r="Y29" s="3244"/>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44"/>
      <c r="Q30" s="1797"/>
      <c r="R30" s="769"/>
      <c r="S30" s="770"/>
      <c r="T30" s="769"/>
      <c r="U30" s="770"/>
      <c r="V30" s="769"/>
      <c r="W30" s="770"/>
      <c r="X30" s="771"/>
      <c r="Y30" s="3244"/>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4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4"/>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44"/>
      <c r="Q32" s="1812" t="str">
        <f t="shared" si="8"/>
        <v>毗邻道路的类型与等级</v>
      </c>
      <c r="R32" s="773" t="s">
        <v>17</v>
      </c>
      <c r="S32" s="774">
        <f t="shared" si="10"/>
        <v>100</v>
      </c>
      <c r="T32" s="773" t="s">
        <v>17</v>
      </c>
      <c r="U32" s="774">
        <f t="shared" si="11"/>
        <v>100</v>
      </c>
      <c r="V32" s="773" t="s">
        <v>17</v>
      </c>
      <c r="W32" s="774">
        <f t="shared" si="12"/>
        <v>100</v>
      </c>
      <c r="X32" s="1815"/>
      <c r="Y32" s="3244"/>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44"/>
      <c r="Q33" s="1812"/>
      <c r="R33" s="773"/>
      <c r="S33" s="774"/>
      <c r="T33" s="773"/>
      <c r="U33" s="774"/>
      <c r="V33" s="773"/>
      <c r="W33" s="774"/>
      <c r="X33" s="1815"/>
      <c r="Y33" s="3244"/>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44"/>
      <c r="Q34" s="1812" t="str">
        <f t="shared" si="8"/>
        <v>土地级别</v>
      </c>
      <c r="R34" s="773" t="s">
        <v>17</v>
      </c>
      <c r="S34" s="774">
        <f t="shared" si="10"/>
        <v>100</v>
      </c>
      <c r="T34" s="773" t="s">
        <v>17</v>
      </c>
      <c r="U34" s="774">
        <f t="shared" si="11"/>
        <v>100</v>
      </c>
      <c r="V34" s="773" t="s">
        <v>17</v>
      </c>
      <c r="W34" s="774">
        <f t="shared" si="12"/>
        <v>100</v>
      </c>
      <c r="X34" s="1815"/>
      <c r="Y34" s="3244"/>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44"/>
      <c r="Q35" s="1812">
        <f t="shared" si="8"/>
        <v>111</v>
      </c>
      <c r="R35" s="773" t="s">
        <v>17</v>
      </c>
      <c r="S35" s="774">
        <f t="shared" si="10"/>
        <v>100</v>
      </c>
      <c r="T35" s="773" t="s">
        <v>17</v>
      </c>
      <c r="U35" s="774">
        <f t="shared" si="11"/>
        <v>100</v>
      </c>
      <c r="V35" s="773" t="s">
        <v>17</v>
      </c>
      <c r="W35" s="774">
        <f t="shared" si="12"/>
        <v>100</v>
      </c>
      <c r="X35" s="1815"/>
      <c r="Y35" s="3244"/>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2546</v>
      </c>
      <c r="Q36" s="1812">
        <f t="shared" si="8"/>
        <v>111</v>
      </c>
      <c r="R36" s="773" t="s">
        <v>17</v>
      </c>
      <c r="S36" s="774">
        <f t="shared" si="10"/>
        <v>100</v>
      </c>
      <c r="T36" s="773" t="s">
        <v>17</v>
      </c>
      <c r="U36" s="774">
        <f t="shared" si="11"/>
        <v>100</v>
      </c>
      <c r="V36" s="773" t="s">
        <v>17</v>
      </c>
      <c r="W36" s="774">
        <f t="shared" si="12"/>
        <v>100</v>
      </c>
      <c r="X36" s="1815"/>
      <c r="Y36" s="3248"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48"/>
      <c r="Q37" s="1812">
        <f t="shared" si="8"/>
        <v>111</v>
      </c>
      <c r="R37" s="776" t="s">
        <v>17</v>
      </c>
      <c r="S37" s="777">
        <f t="shared" si="10"/>
        <v>100</v>
      </c>
      <c r="T37" s="776" t="s">
        <v>17</v>
      </c>
      <c r="U37" s="777">
        <f t="shared" si="11"/>
        <v>100</v>
      </c>
      <c r="V37" s="776" t="s">
        <v>17</v>
      </c>
      <c r="W37" s="777">
        <f t="shared" si="12"/>
        <v>100</v>
      </c>
      <c r="X37" s="778"/>
      <c r="Y37" s="3248"/>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48"/>
      <c r="Q38" s="1812" t="str">
        <f>B38</f>
        <v>宗地面积</v>
      </c>
      <c r="R38" s="773" t="s">
        <v>17</v>
      </c>
      <c r="S38" s="774" t="e">
        <f t="shared" si="10"/>
        <v>#N/A</v>
      </c>
      <c r="T38" s="773" t="s">
        <v>17</v>
      </c>
      <c r="U38" s="774" t="e">
        <f t="shared" si="11"/>
        <v>#N/A</v>
      </c>
      <c r="V38" s="773" t="s">
        <v>17</v>
      </c>
      <c r="W38" s="774" t="e">
        <f t="shared" si="12"/>
        <v>#N/A</v>
      </c>
      <c r="X38" s="1815"/>
      <c r="Y38" s="3248"/>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48"/>
      <c r="Q39" s="1812" t="str">
        <f t="shared" ref="Q39:Q45" si="14">B39</f>
        <v>宗地形状</v>
      </c>
      <c r="R39" s="773" t="s">
        <v>17</v>
      </c>
      <c r="S39" s="774">
        <f t="shared" si="10"/>
        <v>100</v>
      </c>
      <c r="T39" s="773" t="s">
        <v>17</v>
      </c>
      <c r="U39" s="774">
        <f t="shared" si="11"/>
        <v>100</v>
      </c>
      <c r="V39" s="773" t="s">
        <v>17</v>
      </c>
      <c r="W39" s="774">
        <f t="shared" si="12"/>
        <v>100</v>
      </c>
      <c r="X39" s="1815"/>
      <c r="Y39" s="3248"/>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48"/>
      <c r="Q40" s="1812" t="str">
        <f t="shared" si="14"/>
        <v>临街宽度及深度</v>
      </c>
      <c r="R40" s="773" t="s">
        <v>17</v>
      </c>
      <c r="S40" s="774">
        <f t="shared" si="10"/>
        <v>100</v>
      </c>
      <c r="T40" s="773" t="s">
        <v>17</v>
      </c>
      <c r="U40" s="774">
        <f t="shared" si="11"/>
        <v>100</v>
      </c>
      <c r="V40" s="773" t="s">
        <v>17</v>
      </c>
      <c r="W40" s="774">
        <f t="shared" si="12"/>
        <v>100</v>
      </c>
      <c r="X40" s="1815"/>
      <c r="Y40" s="3248"/>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48"/>
      <c r="Q41" s="1812" t="str">
        <f t="shared" si="14"/>
        <v>宗地开发程度</v>
      </c>
      <c r="R41" s="769" t="s">
        <v>17</v>
      </c>
      <c r="S41" s="770">
        <f t="shared" si="10"/>
        <v>100</v>
      </c>
      <c r="T41" s="769" t="s">
        <v>17</v>
      </c>
      <c r="U41" s="770">
        <f t="shared" si="11"/>
        <v>100</v>
      </c>
      <c r="V41" s="769" t="s">
        <v>17</v>
      </c>
      <c r="W41" s="770">
        <f t="shared" si="12"/>
        <v>100</v>
      </c>
      <c r="X41" s="771"/>
      <c r="Y41" s="3248"/>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48" t="s">
        <v>2546</v>
      </c>
      <c r="Q42" s="1812" t="str">
        <f t="shared" si="14"/>
        <v>工程地质条件</v>
      </c>
      <c r="R42" s="773" t="s">
        <v>17</v>
      </c>
      <c r="S42" s="774">
        <f t="shared" si="10"/>
        <v>100</v>
      </c>
      <c r="T42" s="773" t="s">
        <v>17</v>
      </c>
      <c r="U42" s="774">
        <f t="shared" si="11"/>
        <v>100</v>
      </c>
      <c r="V42" s="773" t="s">
        <v>17</v>
      </c>
      <c r="W42" s="774">
        <f t="shared" si="12"/>
        <v>100</v>
      </c>
      <c r="X42" s="1815"/>
      <c r="Y42" s="3248"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48"/>
      <c r="Q43" s="1812">
        <f t="shared" si="14"/>
        <v>111</v>
      </c>
      <c r="R43" s="773" t="s">
        <v>17</v>
      </c>
      <c r="S43" s="774">
        <f t="shared" si="10"/>
        <v>100</v>
      </c>
      <c r="T43" s="773" t="s">
        <v>17</v>
      </c>
      <c r="U43" s="774">
        <f t="shared" si="11"/>
        <v>100</v>
      </c>
      <c r="V43" s="773" t="s">
        <v>17</v>
      </c>
      <c r="W43" s="774">
        <f t="shared" si="12"/>
        <v>100</v>
      </c>
      <c r="X43" s="1815"/>
      <c r="Y43" s="3248"/>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48"/>
      <c r="Q44" s="1812">
        <f t="shared" si="14"/>
        <v>111</v>
      </c>
      <c r="R44" s="773" t="s">
        <v>17</v>
      </c>
      <c r="S44" s="774">
        <f t="shared" si="10"/>
        <v>100</v>
      </c>
      <c r="T44" s="773" t="s">
        <v>17</v>
      </c>
      <c r="U44" s="774">
        <f t="shared" si="11"/>
        <v>100</v>
      </c>
      <c r="V44" s="773" t="s">
        <v>17</v>
      </c>
      <c r="W44" s="774">
        <f t="shared" si="12"/>
        <v>100</v>
      </c>
      <c r="X44" s="1815"/>
      <c r="Y44" s="3248"/>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48"/>
      <c r="Q45" s="1812">
        <f t="shared" si="14"/>
        <v>111</v>
      </c>
      <c r="R45" s="776" t="s">
        <v>17</v>
      </c>
      <c r="S45" s="777">
        <f t="shared" si="10"/>
        <v>100</v>
      </c>
      <c r="T45" s="776" t="s">
        <v>17</v>
      </c>
      <c r="U45" s="777">
        <f t="shared" si="11"/>
        <v>100</v>
      </c>
      <c r="V45" s="776" t="s">
        <v>17</v>
      </c>
      <c r="W45" s="777">
        <f t="shared" si="12"/>
        <v>100</v>
      </c>
      <c r="X45" s="778"/>
      <c r="Y45" s="3248"/>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50" t="str">
        <f>A46</f>
        <v>成交单价</v>
      </c>
      <c r="Q46" s="3250"/>
      <c r="R46" s="3238">
        <f>E46</f>
        <v>0</v>
      </c>
      <c r="S46" s="3238"/>
      <c r="T46" s="3238">
        <f>G46</f>
        <v>0</v>
      </c>
      <c r="U46" s="3238"/>
      <c r="V46" s="3238">
        <f>I46</f>
        <v>0</v>
      </c>
      <c r="W46" s="3238"/>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50" t="str">
        <f>A47</f>
        <v>比较价值（元/平方米）</v>
      </c>
      <c r="Q47" s="3250"/>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82" t="str">
        <f>A48</f>
        <v>估价对象XX用房的比较价值（楼面单价，元/平方米）</v>
      </c>
      <c r="Q48" s="3283"/>
      <c r="R48" s="3311" t="e">
        <f>ROUND(AVERAGE(R47:V47),0)</f>
        <v>#DIV/0!</v>
      </c>
      <c r="S48" s="3311"/>
      <c r="T48" s="3311"/>
      <c r="U48" s="3311"/>
      <c r="V48" s="3311"/>
      <c r="W48" s="331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5" t="s">
        <v>2745</v>
      </c>
      <c r="H55" s="3312"/>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21"/>
      <c r="H56" s="3250"/>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13"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5" t="s">
        <v>2627</v>
      </c>
      <c r="D4" s="3226"/>
      <c r="E4" s="3227" t="s">
        <v>2628</v>
      </c>
      <c r="F4" s="3228"/>
      <c r="G4" s="3225" t="s">
        <v>2629</v>
      </c>
      <c r="H4" s="3226"/>
      <c r="I4" s="3225" t="s">
        <v>2630</v>
      </c>
      <c r="J4" s="3226"/>
      <c r="K4" s="610" t="s">
        <v>2631</v>
      </c>
      <c r="L4" s="1131"/>
      <c r="M4" s="1132"/>
      <c r="N4" s="1132"/>
      <c r="O4" s="1132"/>
      <c r="P4" s="3278" t="s">
        <v>2632</v>
      </c>
      <c r="Q4" s="3279"/>
      <c r="R4" s="3268" t="s">
        <v>2628</v>
      </c>
      <c r="S4" s="3269"/>
      <c r="T4" s="3268" t="s">
        <v>2629</v>
      </c>
      <c r="U4" s="3269"/>
      <c r="V4" s="3238" t="s">
        <v>2630</v>
      </c>
      <c r="W4" s="3238"/>
      <c r="X4" s="1815"/>
      <c r="Y4" s="3268" t="s">
        <v>2632</v>
      </c>
      <c r="Z4" s="3269"/>
      <c r="AA4" s="3267" t="s">
        <v>2628</v>
      </c>
      <c r="AB4" s="3207" t="s">
        <v>2629</v>
      </c>
      <c r="AC4" s="3267" t="s">
        <v>2630</v>
      </c>
    </row>
    <row r="5" spans="1:29" ht="15">
      <c r="A5" s="404"/>
      <c r="B5" s="405"/>
      <c r="C5" s="3272" t="s">
        <v>2523</v>
      </c>
      <c r="D5" s="3273"/>
      <c r="E5" s="3270" t="s">
        <v>2524</v>
      </c>
      <c r="F5" s="3271"/>
      <c r="G5" s="3272" t="s">
        <v>2525</v>
      </c>
      <c r="H5" s="3273"/>
      <c r="I5" s="3272" t="s">
        <v>2526</v>
      </c>
      <c r="J5" s="3273"/>
      <c r="K5" s="610"/>
      <c r="L5" s="1131"/>
      <c r="M5" s="1132"/>
      <c r="N5" s="1132"/>
      <c r="O5" s="1132"/>
      <c r="P5" s="3280"/>
      <c r="Q5" s="3232"/>
      <c r="R5" s="3213"/>
      <c r="S5" s="3214"/>
      <c r="T5" s="3213"/>
      <c r="U5" s="3214"/>
      <c r="V5" s="3238"/>
      <c r="W5" s="3238"/>
      <c r="X5" s="1815"/>
      <c r="Y5" s="3213"/>
      <c r="Z5" s="3214"/>
      <c r="AA5" s="3207"/>
      <c r="AB5" s="3207"/>
      <c r="AC5" s="3207"/>
    </row>
    <row r="6" spans="1:29" ht="15.75" thickBot="1">
      <c r="A6" s="406"/>
      <c r="B6" s="407"/>
      <c r="C6" s="3219" t="s">
        <v>2778</v>
      </c>
      <c r="D6" s="3220"/>
      <c r="E6" s="3307" t="s">
        <v>2778</v>
      </c>
      <c r="F6" s="3308"/>
      <c r="G6" s="3219" t="s">
        <v>2778</v>
      </c>
      <c r="H6" s="3220"/>
      <c r="I6" s="3219" t="s">
        <v>2778</v>
      </c>
      <c r="J6" s="3220"/>
      <c r="K6" s="610" t="s">
        <v>2528</v>
      </c>
      <c r="L6" s="1131"/>
      <c r="M6" s="1132"/>
      <c r="N6" s="1132"/>
      <c r="O6" s="1132"/>
      <c r="P6" s="3281"/>
      <c r="Q6" s="3234"/>
      <c r="R6" s="3213"/>
      <c r="S6" s="3214"/>
      <c r="T6" s="3235"/>
      <c r="U6" s="3236"/>
      <c r="V6" s="3238"/>
      <c r="W6" s="3238"/>
      <c r="X6" s="1815"/>
      <c r="Y6" s="3235"/>
      <c r="Z6" s="3236"/>
      <c r="AA6" s="3208"/>
      <c r="AB6" s="3208"/>
      <c r="AC6" s="3208"/>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09" t="s">
        <v>2530</v>
      </c>
      <c r="Q7" s="3240"/>
      <c r="R7" s="769" t="s">
        <v>17</v>
      </c>
      <c r="S7" s="770">
        <f t="shared" ref="S7:S15" si="0">F7</f>
        <v>0</v>
      </c>
      <c r="T7" s="769" t="s">
        <v>17</v>
      </c>
      <c r="U7" s="770">
        <f t="shared" ref="U7:U15" si="1">H7</f>
        <v>0</v>
      </c>
      <c r="V7" s="769" t="s">
        <v>17</v>
      </c>
      <c r="W7" s="770">
        <f t="shared" ref="W7:W15" si="2">J7</f>
        <v>0</v>
      </c>
      <c r="X7" s="771"/>
      <c r="Y7" s="3209" t="s">
        <v>2530</v>
      </c>
      <c r="Z7" s="3210"/>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9" t="s">
        <v>2533</v>
      </c>
      <c r="Q8" s="3210"/>
      <c r="R8" s="769" t="s">
        <v>17</v>
      </c>
      <c r="S8" s="770">
        <f t="shared" si="0"/>
        <v>0</v>
      </c>
      <c r="T8" s="769" t="s">
        <v>17</v>
      </c>
      <c r="U8" s="770">
        <f t="shared" si="1"/>
        <v>0</v>
      </c>
      <c r="V8" s="769" t="s">
        <v>17</v>
      </c>
      <c r="W8" s="770">
        <f t="shared" si="2"/>
        <v>0</v>
      </c>
      <c r="X8" s="771"/>
      <c r="Y8" s="3209" t="s">
        <v>2533</v>
      </c>
      <c r="Z8" s="3210"/>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50" t="s">
        <v>2536</v>
      </c>
      <c r="Q9" s="1797" t="str">
        <f t="shared" ref="Q9:Q15" si="6">B9</f>
        <v>用途</v>
      </c>
      <c r="R9" s="769" t="s">
        <v>17</v>
      </c>
      <c r="S9" s="770">
        <f t="shared" si="0"/>
        <v>100</v>
      </c>
      <c r="T9" s="769" t="s">
        <v>17</v>
      </c>
      <c r="U9" s="770">
        <f t="shared" si="1"/>
        <v>100</v>
      </c>
      <c r="V9" s="769" t="s">
        <v>17</v>
      </c>
      <c r="W9" s="770">
        <f t="shared" si="2"/>
        <v>100</v>
      </c>
      <c r="X9" s="771"/>
      <c r="Y9" s="3082"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50"/>
      <c r="Q10" s="1797" t="str">
        <f t="shared" si="6"/>
        <v>土地使用年限（年）</v>
      </c>
      <c r="R10" s="769" t="s">
        <v>17</v>
      </c>
      <c r="S10" s="770">
        <f t="shared" si="0"/>
        <v>130</v>
      </c>
      <c r="T10" s="769" t="s">
        <v>17</v>
      </c>
      <c r="U10" s="770">
        <f t="shared" si="1"/>
        <v>130</v>
      </c>
      <c r="V10" s="769" t="s">
        <v>17</v>
      </c>
      <c r="W10" s="770">
        <f t="shared" si="2"/>
        <v>130</v>
      </c>
      <c r="X10" s="771"/>
      <c r="Y10" s="3082"/>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50"/>
      <c r="Q11" s="1797"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50"/>
      <c r="Q12" s="1797">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50"/>
      <c r="Q13" s="1797">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50"/>
      <c r="Q14" s="1797">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43" t="s">
        <v>2541</v>
      </c>
      <c r="Q15" s="1812" t="str">
        <f t="shared" si="6"/>
        <v>产业集聚程度</v>
      </c>
      <c r="R15" s="773" t="s">
        <v>17</v>
      </c>
      <c r="S15" s="774">
        <f t="shared" si="0"/>
        <v>100</v>
      </c>
      <c r="T15" s="773" t="s">
        <v>17</v>
      </c>
      <c r="U15" s="774">
        <f t="shared" si="1"/>
        <v>100</v>
      </c>
      <c r="V15" s="773" t="s">
        <v>17</v>
      </c>
      <c r="W15" s="774">
        <f t="shared" si="2"/>
        <v>100</v>
      </c>
      <c r="X15" s="1815"/>
      <c r="Y15" s="3243"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44"/>
      <c r="Q16" s="1812"/>
      <c r="R16" s="773"/>
      <c r="S16" s="774"/>
      <c r="T16" s="773"/>
      <c r="U16" s="774"/>
      <c r="V16" s="773"/>
      <c r="W16" s="774"/>
      <c r="X16" s="1815"/>
      <c r="Y16" s="3244"/>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44"/>
      <c r="Q17" s="1812" t="str">
        <f>B17</f>
        <v>交通便捷度</v>
      </c>
      <c r="R17" s="773" t="s">
        <v>17</v>
      </c>
      <c r="S17" s="774">
        <f>F17</f>
        <v>100</v>
      </c>
      <c r="T17" s="773" t="s">
        <v>17</v>
      </c>
      <c r="U17" s="774">
        <f>H17</f>
        <v>100</v>
      </c>
      <c r="V17" s="773" t="s">
        <v>17</v>
      </c>
      <c r="W17" s="774">
        <f>J17</f>
        <v>100</v>
      </c>
      <c r="X17" s="1815"/>
      <c r="Y17" s="3244"/>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44"/>
      <c r="Q18" s="1812"/>
      <c r="R18" s="773"/>
      <c r="S18" s="774"/>
      <c r="T18" s="773"/>
      <c r="U18" s="774"/>
      <c r="V18" s="773"/>
      <c r="W18" s="774"/>
      <c r="X18" s="1815"/>
      <c r="Y18" s="3244"/>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44"/>
      <c r="Q19" s="1812" t="str">
        <f t="shared" ref="Q19:Q33" si="8">B19</f>
        <v>区域土地利用方向</v>
      </c>
      <c r="R19" s="773" t="s">
        <v>17</v>
      </c>
      <c r="S19" s="774">
        <f>F19</f>
        <v>100</v>
      </c>
      <c r="T19" s="773" t="s">
        <v>17</v>
      </c>
      <c r="U19" s="774">
        <f>H19</f>
        <v>100</v>
      </c>
      <c r="V19" s="773" t="s">
        <v>17</v>
      </c>
      <c r="W19" s="774">
        <f>J19</f>
        <v>100</v>
      </c>
      <c r="X19" s="1815"/>
      <c r="Y19" s="3244"/>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44"/>
      <c r="Q20" s="1812"/>
      <c r="R20" s="773"/>
      <c r="S20" s="774"/>
      <c r="T20" s="773"/>
      <c r="U20" s="774"/>
      <c r="V20" s="773"/>
      <c r="W20" s="774"/>
      <c r="X20" s="1815"/>
      <c r="Y20" s="3244"/>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44"/>
      <c r="Q21" s="1812" t="str">
        <f t="shared" si="8"/>
        <v>环境状况</v>
      </c>
      <c r="R21" s="773" t="s">
        <v>17</v>
      </c>
      <c r="S21" s="774">
        <f>F21</f>
        <v>100</v>
      </c>
      <c r="T21" s="773" t="s">
        <v>17</v>
      </c>
      <c r="U21" s="774">
        <f>H21</f>
        <v>100</v>
      </c>
      <c r="V21" s="773" t="s">
        <v>17</v>
      </c>
      <c r="W21" s="774">
        <f>J21</f>
        <v>100</v>
      </c>
      <c r="X21" s="1815"/>
      <c r="Y21" s="3244"/>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44"/>
      <c r="Q22" s="1812"/>
      <c r="R22" s="773"/>
      <c r="S22" s="774"/>
      <c r="T22" s="773"/>
      <c r="U22" s="774"/>
      <c r="V22" s="773"/>
      <c r="W22" s="774"/>
      <c r="X22" s="1815"/>
      <c r="Y22" s="3244"/>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44"/>
      <c r="Q23" s="1797" t="str">
        <f t="shared" si="8"/>
        <v>公共配套设施</v>
      </c>
      <c r="R23" s="769" t="s">
        <v>17</v>
      </c>
      <c r="S23" s="770">
        <f>F23</f>
        <v>100</v>
      </c>
      <c r="T23" s="769" t="s">
        <v>17</v>
      </c>
      <c r="U23" s="770">
        <f>H23</f>
        <v>100</v>
      </c>
      <c r="V23" s="769" t="s">
        <v>17</v>
      </c>
      <c r="W23" s="770">
        <f>J23</f>
        <v>100</v>
      </c>
      <c r="X23" s="771"/>
      <c r="Y23" s="3244"/>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44"/>
      <c r="Q24" s="1797"/>
      <c r="R24" s="769"/>
      <c r="S24" s="770"/>
      <c r="T24" s="769"/>
      <c r="U24" s="770"/>
      <c r="V24" s="769"/>
      <c r="W24" s="770"/>
      <c r="X24" s="771"/>
      <c r="Y24" s="3244"/>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44"/>
      <c r="Q25" s="1797" t="str">
        <f t="shared" ref="Q25" si="9">B25</f>
        <v>基础设施水平</v>
      </c>
      <c r="R25" s="769" t="s">
        <v>17</v>
      </c>
      <c r="S25" s="770">
        <f>F25</f>
        <v>100</v>
      </c>
      <c r="T25" s="769" t="s">
        <v>17</v>
      </c>
      <c r="U25" s="770">
        <f>H25</f>
        <v>100</v>
      </c>
      <c r="V25" s="769" t="s">
        <v>17</v>
      </c>
      <c r="W25" s="770">
        <f>J25</f>
        <v>100</v>
      </c>
      <c r="X25" s="771"/>
      <c r="Y25" s="3244"/>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44"/>
      <c r="Q26" s="1797"/>
      <c r="R26" s="769"/>
      <c r="S26" s="770"/>
      <c r="T26" s="769"/>
      <c r="U26" s="770"/>
      <c r="V26" s="769"/>
      <c r="W26" s="770"/>
      <c r="X26" s="771"/>
      <c r="Y26" s="3244"/>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4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4"/>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44"/>
      <c r="Q28" s="1812" t="str">
        <f t="shared" si="8"/>
        <v>毗邻道路的类型与等级</v>
      </c>
      <c r="R28" s="773" t="s">
        <v>17</v>
      </c>
      <c r="S28" s="774">
        <f t="shared" si="10"/>
        <v>100</v>
      </c>
      <c r="T28" s="773" t="s">
        <v>17</v>
      </c>
      <c r="U28" s="774">
        <f t="shared" si="11"/>
        <v>100</v>
      </c>
      <c r="V28" s="773" t="s">
        <v>17</v>
      </c>
      <c r="W28" s="774">
        <f t="shared" si="12"/>
        <v>100</v>
      </c>
      <c r="X28" s="1815"/>
      <c r="Y28" s="3244"/>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44"/>
      <c r="Q29" s="1812"/>
      <c r="R29" s="773"/>
      <c r="S29" s="774"/>
      <c r="T29" s="773"/>
      <c r="U29" s="774"/>
      <c r="V29" s="773"/>
      <c r="W29" s="774"/>
      <c r="X29" s="1815"/>
      <c r="Y29" s="3244"/>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44"/>
      <c r="Q30" s="1812" t="str">
        <f t="shared" si="8"/>
        <v>土地级别</v>
      </c>
      <c r="R30" s="773" t="s">
        <v>17</v>
      </c>
      <c r="S30" s="774">
        <f t="shared" si="10"/>
        <v>100</v>
      </c>
      <c r="T30" s="773" t="s">
        <v>17</v>
      </c>
      <c r="U30" s="774">
        <f t="shared" si="11"/>
        <v>100</v>
      </c>
      <c r="V30" s="773" t="s">
        <v>17</v>
      </c>
      <c r="W30" s="774">
        <f t="shared" si="12"/>
        <v>100</v>
      </c>
      <c r="X30" s="1815"/>
      <c r="Y30" s="3244"/>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44"/>
      <c r="Q31" s="1812">
        <f t="shared" si="8"/>
        <v>111</v>
      </c>
      <c r="R31" s="773" t="s">
        <v>17</v>
      </c>
      <c r="S31" s="774">
        <f t="shared" si="10"/>
        <v>100</v>
      </c>
      <c r="T31" s="773" t="s">
        <v>17</v>
      </c>
      <c r="U31" s="774">
        <f t="shared" si="11"/>
        <v>100</v>
      </c>
      <c r="V31" s="773" t="s">
        <v>17</v>
      </c>
      <c r="W31" s="774">
        <f t="shared" si="12"/>
        <v>100</v>
      </c>
      <c r="X31" s="1815"/>
      <c r="Y31" s="3244"/>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2546</v>
      </c>
      <c r="Q32" s="1812">
        <f t="shared" si="8"/>
        <v>111</v>
      </c>
      <c r="R32" s="773" t="s">
        <v>17</v>
      </c>
      <c r="S32" s="774">
        <f t="shared" si="10"/>
        <v>100</v>
      </c>
      <c r="T32" s="773" t="s">
        <v>17</v>
      </c>
      <c r="U32" s="774">
        <f t="shared" si="11"/>
        <v>100</v>
      </c>
      <c r="V32" s="773" t="s">
        <v>17</v>
      </c>
      <c r="W32" s="774">
        <f t="shared" si="12"/>
        <v>100</v>
      </c>
      <c r="X32" s="1815"/>
      <c r="Y32" s="3248"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48"/>
      <c r="Q33" s="1812">
        <f t="shared" si="8"/>
        <v>111</v>
      </c>
      <c r="R33" s="776" t="s">
        <v>17</v>
      </c>
      <c r="S33" s="777">
        <f t="shared" si="10"/>
        <v>100</v>
      </c>
      <c r="T33" s="776" t="s">
        <v>17</v>
      </c>
      <c r="U33" s="777">
        <f t="shared" si="11"/>
        <v>100</v>
      </c>
      <c r="V33" s="776" t="s">
        <v>17</v>
      </c>
      <c r="W33" s="777">
        <f t="shared" si="12"/>
        <v>100</v>
      </c>
      <c r="X33" s="778"/>
      <c r="Y33" s="3248"/>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48"/>
      <c r="Q34" s="1812" t="str">
        <f>B34</f>
        <v>宗地面积</v>
      </c>
      <c r="R34" s="773" t="s">
        <v>17</v>
      </c>
      <c r="S34" s="774" t="e">
        <f t="shared" si="10"/>
        <v>#N/A</v>
      </c>
      <c r="T34" s="773" t="s">
        <v>17</v>
      </c>
      <c r="U34" s="774" t="e">
        <f t="shared" si="11"/>
        <v>#N/A</v>
      </c>
      <c r="V34" s="773" t="s">
        <v>17</v>
      </c>
      <c r="W34" s="774" t="e">
        <f t="shared" si="12"/>
        <v>#N/A</v>
      </c>
      <c r="X34" s="1815"/>
      <c r="Y34" s="3248"/>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48"/>
      <c r="Q35" s="1812" t="str">
        <f t="shared" ref="Q35:Q40" si="14">B35</f>
        <v>宗地形状</v>
      </c>
      <c r="R35" s="773" t="s">
        <v>17</v>
      </c>
      <c r="S35" s="774">
        <f t="shared" si="10"/>
        <v>100</v>
      </c>
      <c r="T35" s="773" t="s">
        <v>17</v>
      </c>
      <c r="U35" s="774">
        <f t="shared" si="11"/>
        <v>100</v>
      </c>
      <c r="V35" s="773" t="s">
        <v>17</v>
      </c>
      <c r="W35" s="774">
        <f t="shared" si="12"/>
        <v>100</v>
      </c>
      <c r="X35" s="1815"/>
      <c r="Y35" s="3248"/>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48"/>
      <c r="Q36" s="1812" t="str">
        <f t="shared" si="14"/>
        <v>宗地开发程度</v>
      </c>
      <c r="R36" s="769" t="s">
        <v>17</v>
      </c>
      <c r="S36" s="770">
        <f t="shared" si="10"/>
        <v>100</v>
      </c>
      <c r="T36" s="769" t="s">
        <v>17</v>
      </c>
      <c r="U36" s="770">
        <f t="shared" si="11"/>
        <v>100</v>
      </c>
      <c r="V36" s="769" t="s">
        <v>17</v>
      </c>
      <c r="W36" s="770">
        <f t="shared" si="12"/>
        <v>100</v>
      </c>
      <c r="X36" s="771"/>
      <c r="Y36" s="3248"/>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48" t="s">
        <v>2546</v>
      </c>
      <c r="Q37" s="1812" t="str">
        <f t="shared" si="14"/>
        <v>工程地质条件</v>
      </c>
      <c r="R37" s="773" t="s">
        <v>17</v>
      </c>
      <c r="S37" s="774">
        <f t="shared" si="10"/>
        <v>100</v>
      </c>
      <c r="T37" s="773" t="s">
        <v>17</v>
      </c>
      <c r="U37" s="774">
        <f t="shared" si="11"/>
        <v>100</v>
      </c>
      <c r="V37" s="773" t="s">
        <v>17</v>
      </c>
      <c r="W37" s="774">
        <f t="shared" si="12"/>
        <v>100</v>
      </c>
      <c r="X37" s="1815"/>
      <c r="Y37" s="3248"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48"/>
      <c r="Q38" s="1812">
        <f t="shared" si="14"/>
        <v>111</v>
      </c>
      <c r="R38" s="773" t="s">
        <v>17</v>
      </c>
      <c r="S38" s="774">
        <f t="shared" si="10"/>
        <v>100</v>
      </c>
      <c r="T38" s="773" t="s">
        <v>17</v>
      </c>
      <c r="U38" s="774">
        <f t="shared" si="11"/>
        <v>100</v>
      </c>
      <c r="V38" s="773" t="s">
        <v>17</v>
      </c>
      <c r="W38" s="774">
        <f t="shared" si="12"/>
        <v>100</v>
      </c>
      <c r="X38" s="1815"/>
      <c r="Y38" s="3248"/>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48"/>
      <c r="Q39" s="1812">
        <f t="shared" si="14"/>
        <v>111</v>
      </c>
      <c r="R39" s="773" t="s">
        <v>17</v>
      </c>
      <c r="S39" s="774">
        <f t="shared" si="10"/>
        <v>100</v>
      </c>
      <c r="T39" s="773" t="s">
        <v>17</v>
      </c>
      <c r="U39" s="774">
        <f t="shared" si="11"/>
        <v>100</v>
      </c>
      <c r="V39" s="773" t="s">
        <v>17</v>
      </c>
      <c r="W39" s="774">
        <f t="shared" si="12"/>
        <v>100</v>
      </c>
      <c r="X39" s="1815"/>
      <c r="Y39" s="3248"/>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48"/>
      <c r="Q40" s="1812">
        <f t="shared" si="14"/>
        <v>111</v>
      </c>
      <c r="R40" s="776" t="s">
        <v>17</v>
      </c>
      <c r="S40" s="777">
        <f t="shared" si="10"/>
        <v>100</v>
      </c>
      <c r="T40" s="776" t="s">
        <v>17</v>
      </c>
      <c r="U40" s="777">
        <f t="shared" si="11"/>
        <v>100</v>
      </c>
      <c r="V40" s="776" t="s">
        <v>17</v>
      </c>
      <c r="W40" s="777">
        <f t="shared" si="12"/>
        <v>100</v>
      </c>
      <c r="X40" s="778"/>
      <c r="Y40" s="3248"/>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50" t="str">
        <f>A41</f>
        <v>成交单价</v>
      </c>
      <c r="Q41" s="3250"/>
      <c r="R41" s="3238">
        <f>E41</f>
        <v>0</v>
      </c>
      <c r="S41" s="3238"/>
      <c r="T41" s="3238">
        <f>G41</f>
        <v>0</v>
      </c>
      <c r="U41" s="3238"/>
      <c r="V41" s="3238">
        <f>I41</f>
        <v>0</v>
      </c>
      <c r="W41" s="3238"/>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50" t="str">
        <f>A42</f>
        <v>比较价值（元/平方米）</v>
      </c>
      <c r="Q42" s="3250"/>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82" t="str">
        <f>A43</f>
        <v>估价对象XX用房的比较价值（楼面单价，元/平方米）</v>
      </c>
      <c r="Q43" s="3283"/>
      <c r="R43" s="3311" t="e">
        <f>ROUND(AVERAGE(R42:V42),0)</f>
        <v>#DIV/0!</v>
      </c>
      <c r="S43" s="3311"/>
      <c r="T43" s="3311"/>
      <c r="U43" s="3311"/>
      <c r="V43" s="3311"/>
      <c r="W43" s="331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5" t="s">
        <v>2745</v>
      </c>
      <c r="H50" s="3312"/>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21"/>
      <c r="H51" s="3250"/>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13"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8"/>
      <c r="B4" s="3329"/>
      <c r="C4" s="3329"/>
      <c r="D4" s="3330"/>
      <c r="E4" s="3330"/>
      <c r="F4" s="3330"/>
      <c r="G4" s="3330"/>
      <c r="H4" s="3330"/>
      <c r="I4" s="3330"/>
      <c r="J4" s="3331"/>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14"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15"/>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25" t="s">
        <v>2821</v>
      </c>
      <c r="X8" s="3326"/>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15"/>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27"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5"/>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2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5"/>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27"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14"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27"/>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2"/>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27"/>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32"/>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3"/>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4"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5"/>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22"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3"/>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3"/>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4"/>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16" t="s">
        <v>2955</v>
      </c>
      <c r="B90" s="3316"/>
      <c r="C90" s="3316"/>
      <c r="D90" s="3316"/>
      <c r="E90" s="3316"/>
      <c r="F90" s="3316"/>
      <c r="G90" s="3316"/>
      <c r="H90" s="3316"/>
      <c r="I90" s="3316"/>
      <c r="J90" s="3316"/>
      <c r="K90" s="2889"/>
      <c r="L90" s="2889"/>
      <c r="M90" s="2889"/>
      <c r="N90" s="2889"/>
    </row>
    <row r="91" spans="1:37">
      <c r="A91" s="3318" t="s">
        <v>2956</v>
      </c>
      <c r="B91" s="3318" t="s">
        <v>2957</v>
      </c>
      <c r="C91" s="2843" t="s">
        <v>2958</v>
      </c>
      <c r="D91" s="2844"/>
      <c r="E91" s="2844"/>
      <c r="F91" s="2844"/>
      <c r="G91" s="2844"/>
      <c r="H91" s="2844"/>
      <c r="I91" s="2844"/>
      <c r="J91" s="2890"/>
      <c r="K91" s="2891"/>
      <c r="L91" s="2891"/>
      <c r="M91" s="2891"/>
      <c r="N91" s="2891"/>
    </row>
    <row r="92" spans="1:37">
      <c r="A92" s="3318"/>
      <c r="B92" s="3318"/>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19"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0"/>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9"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0"/>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0"/>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0"/>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0"/>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0"/>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0"/>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0"/>
      <c r="B108" s="3166"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1"/>
      <c r="B109" s="3167"/>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17" t="s">
        <v>2963</v>
      </c>
      <c r="B110" s="3317"/>
      <c r="C110" s="3317"/>
      <c r="D110" s="3317"/>
      <c r="E110" s="3317"/>
      <c r="F110" s="3317"/>
      <c r="G110" s="3317"/>
      <c r="H110" s="3317"/>
      <c r="I110" s="3317"/>
      <c r="J110" s="3317"/>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0" t="s">
        <v>1146</v>
      </c>
      <c r="C1" s="3340"/>
      <c r="D1" s="3340"/>
      <c r="E1" s="3340"/>
      <c r="F1" s="3340"/>
      <c r="G1" s="3336" t="s">
        <v>1147</v>
      </c>
      <c r="H1" s="3336"/>
      <c r="I1" s="3336"/>
      <c r="J1" s="3336"/>
      <c r="K1" s="3336"/>
      <c r="L1" s="3336"/>
      <c r="N1" s="3336" t="s">
        <v>1148</v>
      </c>
      <c r="O1" s="3336"/>
      <c r="P1" s="3336"/>
      <c r="Q1" s="3336"/>
      <c r="R1" s="1447"/>
      <c r="S1" s="3336" t="s">
        <v>1149</v>
      </c>
      <c r="T1" s="3336"/>
      <c r="U1" s="3336"/>
      <c r="V1" s="3336"/>
      <c r="X1" s="3335" t="s">
        <v>1150</v>
      </c>
      <c r="Y1" s="3336"/>
      <c r="Z1" s="3336"/>
      <c r="AA1" s="3336"/>
      <c r="AB1" s="3336"/>
      <c r="AD1" s="3335" t="s">
        <v>1151</v>
      </c>
      <c r="AE1" s="3336"/>
      <c r="AF1" s="3336"/>
      <c r="AG1" s="3336"/>
      <c r="AH1" s="3336"/>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7">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8">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8">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9">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7">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8">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8">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5" t="s">
        <v>3031</v>
      </c>
      <c r="B1" s="3345"/>
      <c r="C1" s="3345"/>
      <c r="D1" s="3345"/>
      <c r="E1" s="3345"/>
      <c r="F1" s="3345"/>
      <c r="G1" s="3345"/>
      <c r="H1" s="3345"/>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6" t="s">
        <v>3097</v>
      </c>
      <c r="B19" s="3346"/>
      <c r="C19" s="2970">
        <f>SUM(C3:C18)</f>
        <v>1224.24</v>
      </c>
      <c r="D19" s="2970">
        <f>SUM(D3:D18)</f>
        <v>14731</v>
      </c>
      <c r="E19" s="2970"/>
      <c r="F19" s="2970"/>
      <c r="G19" s="2970"/>
      <c r="H19" s="2970"/>
      <c r="I19" s="2970"/>
      <c r="J19" s="2972"/>
    </row>
    <row r="23" spans="1:10">
      <c r="C23" s="3005" t="s">
        <v>3186</v>
      </c>
      <c r="E23" s="2973" t="s">
        <v>3099</v>
      </c>
      <c r="F23">
        <v>7</v>
      </c>
    </row>
    <row r="24" spans="1:10">
      <c r="E24" s="2973" t="s">
        <v>3100</v>
      </c>
      <c r="F24">
        <v>8</v>
      </c>
    </row>
    <row r="25" spans="1:10">
      <c r="E25" s="2973" t="s">
        <v>3098</v>
      </c>
      <c r="F25">
        <v>8</v>
      </c>
    </row>
    <row r="27" spans="1:10">
      <c r="E27">
        <f>1.8*1.03^5</f>
        <v>2.08669333374</v>
      </c>
    </row>
    <row r="30" spans="1:10">
      <c r="C30" t="s">
        <v>3184</v>
      </c>
      <c r="D30">
        <v>24464</v>
      </c>
    </row>
    <row r="31" spans="1:10">
      <c r="C31" s="2973" t="s">
        <v>3185</v>
      </c>
      <c r="D31">
        <v>2033.12</v>
      </c>
    </row>
    <row r="39" spans="3:6">
      <c r="C39" s="2973" t="s">
        <v>3194</v>
      </c>
      <c r="D39">
        <v>275</v>
      </c>
      <c r="E39">
        <f>9*1.03^4</f>
        <v>10.129579289999999</v>
      </c>
    </row>
    <row r="40" spans="3:6">
      <c r="C40" s="2973" t="s">
        <v>3195</v>
      </c>
      <c r="D40">
        <v>395</v>
      </c>
      <c r="E40">
        <f>13.5*1.03^2</f>
        <v>14.322149999999999</v>
      </c>
      <c r="F40">
        <f>(E39*D39+E40*D40)/(D40+D39)</f>
        <v>12.601318738432834</v>
      </c>
    </row>
    <row r="41" spans="3:6">
      <c r="C41" s="2973" t="s">
        <v>3192</v>
      </c>
      <c r="D41">
        <v>258</v>
      </c>
      <c r="E41" s="2973">
        <f>6*1.03^1</f>
        <v>6.18</v>
      </c>
    </row>
    <row r="42" spans="3:6">
      <c r="C42" s="2973" t="s">
        <v>3196</v>
      </c>
      <c r="D42">
        <v>5200</v>
      </c>
    </row>
    <row r="43" spans="3:6">
      <c r="C43" s="2973" t="s">
        <v>3197</v>
      </c>
      <c r="D43">
        <v>1770</v>
      </c>
      <c r="E43">
        <f>2</f>
        <v>2</v>
      </c>
    </row>
    <row r="46" spans="3:6">
      <c r="C46" s="2973" t="s">
        <v>3190</v>
      </c>
      <c r="D46" s="2973" t="s">
        <v>3191</v>
      </c>
      <c r="E46">
        <v>275</v>
      </c>
      <c r="F46">
        <v>12.6</v>
      </c>
    </row>
    <row r="47" spans="3:6">
      <c r="D47" s="2973" t="s">
        <v>3192</v>
      </c>
      <c r="E47">
        <v>258</v>
      </c>
      <c r="F47">
        <v>6.18</v>
      </c>
    </row>
    <row r="48" spans="3:6">
      <c r="D48" s="2973" t="s">
        <v>3193</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26587</v>
      </c>
      <c r="C2" s="2" t="s">
        <v>133</v>
      </c>
      <c r="D2" s="243"/>
      <c r="E2" s="243"/>
      <c r="F2" s="243"/>
      <c r="G2" s="243"/>
    </row>
    <row r="3" spans="1:7" s="244" customFormat="1" ht="18" customHeight="1" thickBot="1">
      <c r="A3" s="247" t="s">
        <v>85</v>
      </c>
      <c r="B3" s="248">
        <f ca="1">ROUND(B2*10000/'数据-汇总表'!E3,0)</f>
        <v>116476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501</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457</v>
      </c>
      <c r="D34" s="261"/>
      <c r="E34" s="264"/>
      <c r="F34" s="301">
        <f>IF('数据-取费表'!B24=0,1,'数据-取费表'!N16)</f>
        <v>1</v>
      </c>
      <c r="G34" s="263" t="s">
        <v>116</v>
      </c>
    </row>
    <row r="35" spans="1:7" ht="13.5" customHeight="1">
      <c r="A35" s="952" t="s">
        <v>795</v>
      </c>
      <c r="B35" s="259" t="s">
        <v>60</v>
      </c>
      <c r="C35" s="264">
        <f>ROUND(C34*F35,0)</f>
        <v>14</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7</v>
      </c>
      <c r="D38" s="264"/>
      <c r="E38" s="264"/>
      <c r="F38" s="303">
        <f>'数据-取费表'!B36</f>
        <v>1.4999999999999999E-2</v>
      </c>
      <c r="G38" s="263" t="s">
        <v>117</v>
      </c>
    </row>
    <row r="39" spans="1:7" s="258" customFormat="1" ht="13.5" customHeight="1">
      <c r="A39" s="949" t="s">
        <v>782</v>
      </c>
      <c r="B39" s="254" t="s">
        <v>104</v>
      </c>
      <c r="C39" s="276">
        <f>ROUND(C33*F20,0)</f>
        <v>10</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11</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11</v>
      </c>
      <c r="D42" s="282"/>
      <c r="E42" s="282"/>
      <c r="F42" s="283"/>
      <c r="G42" s="3264" t="s">
        <v>121</v>
      </c>
    </row>
    <row r="43" spans="1:7" ht="13.5" customHeight="1">
      <c r="A43" s="952" t="s">
        <v>791</v>
      </c>
      <c r="B43" s="259" t="s">
        <v>1063</v>
      </c>
      <c r="C43" s="282">
        <f ca="1">ROUND(IF('数据-取费表'!B22&lt;=1,C39*F22*'数据-取费表'!B21/2,C39*(POWER((1+F22),'数据-取费表'!B21/2)-1)),0)</f>
        <v>0</v>
      </c>
      <c r="D43" s="282"/>
      <c r="E43" s="282"/>
      <c r="F43" s="283"/>
      <c r="G43" s="3265"/>
    </row>
    <row r="44" spans="1:7" ht="13.5" customHeight="1">
      <c r="A44" s="952" t="s">
        <v>792</v>
      </c>
      <c r="B44" s="259" t="s">
        <v>1065</v>
      </c>
      <c r="C44" s="282">
        <f ca="1">ROUND(IF('数据-取费表'!B22&lt;=1,C40*F22*'数据-取费表'!B21/2,C40*(POWER((1+F22),'数据-取费表'!B21/2)-1)),4)</f>
        <v>4.0000000000000002E-4</v>
      </c>
      <c r="D44" s="282"/>
      <c r="E44" s="282"/>
      <c r="F44" s="283"/>
      <c r="G44" s="3266"/>
    </row>
    <row r="45" spans="1:7" s="258" customFormat="1" ht="13.5" customHeight="1">
      <c r="A45" s="949" t="s">
        <v>785</v>
      </c>
      <c r="B45" s="288" t="s">
        <v>112</v>
      </c>
      <c r="C45" s="289">
        <f>C46</f>
        <v>51</v>
      </c>
      <c r="D45" s="279">
        <f>C47</f>
        <v>2E-3</v>
      </c>
      <c r="E45" s="280" t="s">
        <v>129</v>
      </c>
      <c r="F45" s="290"/>
      <c r="G45" s="291" t="s">
        <v>1071</v>
      </c>
    </row>
    <row r="46" spans="1:7" s="258" customFormat="1" ht="13.5" customHeight="1">
      <c r="A46" s="952" t="s">
        <v>793</v>
      </c>
      <c r="B46" s="292" t="s">
        <v>1064</v>
      </c>
      <c r="C46" s="293">
        <f>ROUND((C33+C39)*F27,0)</f>
        <v>51</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620</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558</v>
      </c>
      <c r="D51" s="276"/>
      <c r="E51" s="276"/>
      <c r="F51" s="308"/>
      <c r="G51" s="278" t="s">
        <v>64</v>
      </c>
    </row>
    <row r="52" spans="1:7" s="252" customFormat="1" ht="16.5" thickBot="1">
      <c r="A52" s="309" t="s">
        <v>65</v>
      </c>
      <c r="B52" s="310"/>
      <c r="C52" s="311">
        <f ca="1">C31+C51</f>
        <v>26587</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7" t="str">
        <f>IF(项目基本情况!B9="房地产市场价值","估价结果一览表","结果表-2")</f>
        <v>估价结果一览表</v>
      </c>
      <c r="B1" s="3027"/>
      <c r="C1" s="3027"/>
      <c r="D1" s="3027"/>
      <c r="E1" s="3027"/>
      <c r="F1" s="3027"/>
      <c r="G1" s="3027"/>
      <c r="H1" s="3027"/>
      <c r="I1" s="3027"/>
    </row>
    <row r="2" spans="1:9" ht="30" customHeight="1" thickTop="1">
      <c r="A2" s="3028" t="s">
        <v>1639</v>
      </c>
      <c r="B2" s="3028" t="s">
        <v>1640</v>
      </c>
      <c r="C2" s="3028" t="s">
        <v>1641</v>
      </c>
      <c r="D2" s="3028" t="str">
        <f>结果表!D116</f>
        <v>出让国有建设用地使用权价值</v>
      </c>
      <c r="E2" s="3028"/>
      <c r="F2" s="3028" t="str">
        <f>结果表!F116</f>
        <v>在建建筑物价值</v>
      </c>
      <c r="G2" s="3028"/>
      <c r="H2" s="3028" t="str">
        <f>IF(项目基本情况!B9="房地产市场价值","房地产市场价值","房地产价值")</f>
        <v>房地产市场价值</v>
      </c>
      <c r="I2" s="3028"/>
    </row>
    <row r="3" spans="1:9" ht="15">
      <c r="A3" s="3029"/>
      <c r="B3" s="3029"/>
      <c r="C3" s="3029"/>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结果表!D118</f>
        <v>#REF!</v>
      </c>
      <c r="E4" s="1045" t="e">
        <f ca="1">结果表!E118</f>
        <v>#REF!</v>
      </c>
      <c r="F4" s="1045" t="e">
        <f ca="1">结果表!F118</f>
        <v>#REF!</v>
      </c>
      <c r="G4" s="1045" t="e">
        <f ca="1">结果表!G118</f>
        <v>#REF!</v>
      </c>
      <c r="H4" s="1045">
        <f ca="1">结果表!H118</f>
        <v>1395</v>
      </c>
      <c r="I4" s="1045">
        <f ca="1">结果表!I118</f>
        <v>6111</v>
      </c>
    </row>
    <row r="5" spans="1:9" ht="30" customHeight="1">
      <c r="A5" s="3029" t="s">
        <v>1638</v>
      </c>
      <c r="B5" s="3029"/>
      <c r="C5" s="3029"/>
      <c r="D5" s="3030" t="e">
        <f ca="1">结果表!D119</f>
        <v>#REF!</v>
      </c>
      <c r="E5" s="3030"/>
      <c r="F5" s="3030" t="e">
        <f ca="1">结果表!F119</f>
        <v>#REF!</v>
      </c>
      <c r="G5" s="3030"/>
      <c r="H5" s="3030" t="str">
        <f ca="1">结果表!H119</f>
        <v>壹仟叁佰玖拾伍万元整</v>
      </c>
      <c r="I5" s="3030"/>
    </row>
    <row r="6" spans="1:9" ht="15.75">
      <c r="A6" s="3031" t="str">
        <f>结果表!A120</f>
        <v/>
      </c>
      <c r="B6" s="3031"/>
      <c r="C6" s="3031"/>
      <c r="D6" s="3031">
        <f>结果表!D120</f>
        <v>0</v>
      </c>
      <c r="E6" s="3031"/>
      <c r="F6" s="3031"/>
      <c r="G6" s="3031"/>
      <c r="H6" s="3031"/>
      <c r="I6" s="3031"/>
    </row>
    <row r="7" spans="1:9" ht="15">
      <c r="A7" s="3029" t="s">
        <v>1638</v>
      </c>
      <c r="B7" s="3029"/>
      <c r="C7" s="3029"/>
      <c r="D7" s="3032" t="str">
        <f>结果表!D121</f>
        <v>零元整</v>
      </c>
      <c r="E7" s="3033"/>
      <c r="F7" s="3033"/>
      <c r="G7" s="3033"/>
      <c r="H7" s="3033"/>
      <c r="I7" s="3034"/>
    </row>
    <row r="8" spans="1:9" ht="15.75">
      <c r="A8" s="3031" t="str">
        <f>结果表!A122</f>
        <v/>
      </c>
      <c r="B8" s="3031"/>
      <c r="C8" s="3031"/>
      <c r="D8" s="3031">
        <f ca="1">结果表!D122</f>
        <v>1395</v>
      </c>
      <c r="E8" s="3031"/>
      <c r="F8" s="3031"/>
      <c r="G8" s="3031"/>
      <c r="H8" s="3031"/>
      <c r="I8" s="3031"/>
    </row>
    <row r="9" spans="1:9" ht="15">
      <c r="A9" s="3029" t="s">
        <v>1638</v>
      </c>
      <c r="B9" s="3029"/>
      <c r="C9" s="3029"/>
      <c r="D9" s="3030" t="str">
        <f ca="1">结果表!D123</f>
        <v>壹仟叁佰玖拾伍万元整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1638</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1638</v>
      </c>
      <c r="B13" s="3035"/>
      <c r="C13" s="3035"/>
      <c r="D13" s="3036" t="e">
        <f>结果表!D127</f>
        <v>#VALUE!</v>
      </c>
      <c r="E13" s="3036"/>
      <c r="F13" s="3036"/>
      <c r="G13" s="3036"/>
      <c r="H13" s="3036"/>
      <c r="I13" s="3036"/>
    </row>
    <row r="14" spans="1:9" ht="15" thickTop="1">
      <c r="A14" s="3037" t="s">
        <v>1643</v>
      </c>
      <c r="B14" s="3037"/>
      <c r="C14" s="3037"/>
      <c r="D14" s="3037"/>
      <c r="E14" s="3037"/>
      <c r="F14" s="3037"/>
      <c r="G14" s="3037"/>
      <c r="H14" s="3037"/>
      <c r="I14" s="3037"/>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870</v>
      </c>
      <c r="B1" s="3347"/>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8" t="s">
        <v>1660</v>
      </c>
      <c r="B1" s="3038"/>
      <c r="C1" s="3038"/>
      <c r="D1" s="3038"/>
    </row>
    <row r="2" spans="1:4" ht="18">
      <c r="A2" s="3039" t="s">
        <v>1644</v>
      </c>
      <c r="B2" s="3039"/>
      <c r="C2" s="3039"/>
      <c r="D2" s="3039"/>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39" t="s">
        <v>1650</v>
      </c>
      <c r="B6" s="3039"/>
      <c r="C6" s="3039"/>
      <c r="D6" s="3039"/>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0" t="s">
        <v>1653</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2"/>
      <c r="C12" s="3042"/>
      <c r="D12" s="3042"/>
    </row>
    <row r="13" spans="1:4" ht="30" customHeight="1">
      <c r="A13" s="3041" t="str">
        <f>IF(项目基本情况!B8="抵押","3.抵押双方在办理抵押登记手续时，应使用本公司出具的正式《房地产评估报告》，特提醒报告使用者注意。","——")</f>
        <v>——</v>
      </c>
      <c r="B13" s="3042"/>
      <c r="C13" s="3042"/>
      <c r="D13" s="3042"/>
    </row>
    <row r="14" spans="1:4" ht="15.75" customHeight="1">
      <c r="A14" s="3041" t="str">
        <f>IF(项目基本情况!B8="抵押","4.本次评估估价师所知悉的法定优先受偿款情况说明如下：","——")</f>
        <v>——</v>
      </c>
      <c r="B14" s="3042"/>
      <c r="C14" s="3042"/>
      <c r="D14" s="3042"/>
    </row>
    <row r="15" spans="1:4" ht="42" customHeight="1">
      <c r="A15" s="3041" t="str">
        <f>IF(项目基本情况!B8="抵押","（1）"&amp;CONCATENATE(项目基本情况!L20,项目基本情况!L21,项目基本情况!L22),"——")</f>
        <v>——</v>
      </c>
      <c r="B15" s="3041"/>
      <c r="C15" s="3041"/>
      <c r="D15" s="3041"/>
    </row>
    <row r="16" spans="1:4" ht="30" customHeight="1">
      <c r="A16" s="3044" t="s">
        <v>1654</v>
      </c>
      <c r="B16" s="3044"/>
      <c r="C16" s="3044"/>
      <c r="D16" s="3044"/>
    </row>
    <row r="17" spans="1:4" ht="144" customHeight="1">
      <c r="A17" s="3044" t="s">
        <v>1655</v>
      </c>
      <c r="B17" s="3044"/>
      <c r="C17" s="3044"/>
      <c r="D17" s="3044"/>
    </row>
    <row r="18" spans="1:4" ht="15.75" customHeight="1">
      <c r="A18" s="3041" t="str">
        <f>IF(项目基本情况!B8="抵押",结果表!K120,"——")</f>
        <v>——</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1656</v>
      </c>
      <c r="B22" s="3046"/>
      <c r="C22" s="3046"/>
      <c r="D22" s="3046"/>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43357</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t="str">
        <f ca="1">IF(C22&lt;B2,"已过期",1120020033)</f>
        <v>已过期</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结果表</vt:lpstr>
      <vt:lpstr>比较法-办公</vt:lpstr>
      <vt:lpstr>收益法（办公）</vt:lpstr>
      <vt:lpstr>信息</vt:lpstr>
      <vt:lpstr>Sheet1</vt:lpstr>
      <vt:lpstr>典型户型修正（办公）</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2018-09-14T07:12:22Z</dcterms:modified>
</cp:coreProperties>
</file>