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79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44" i="6" l="1"/>
  <c r="AD13" i="3"/>
  <c r="L14" i="1" l="1"/>
  <c r="L8" i="1"/>
  <c r="AA25" i="73"/>
  <c r="G17" i="4"/>
  <c r="C28" i="9" l="1"/>
  <c r="C38" i="9" s="1"/>
  <c r="E38" i="9" s="1"/>
  <c r="D28" i="9" s="1"/>
  <c r="C27" i="9"/>
  <c r="C37" i="9" s="1"/>
  <c r="E37" i="9" s="1"/>
  <c r="I46" i="73"/>
  <c r="K46" i="73" s="1"/>
  <c r="I45" i="73"/>
  <c r="I47" i="73" s="1"/>
  <c r="B28" i="9"/>
  <c r="B27" i="9"/>
  <c r="AL9" i="73"/>
  <c r="C106" i="9" s="1"/>
  <c r="I27" i="36"/>
  <c r="G27" i="36"/>
  <c r="I8" i="1"/>
  <c r="I7" i="1"/>
  <c r="H7" i="1"/>
  <c r="H8" i="1" s="1"/>
  <c r="AA28" i="73"/>
  <c r="AT13" i="3" s="1"/>
  <c r="AJ13" i="3"/>
  <c r="AH13" i="3"/>
  <c r="M13" i="3"/>
  <c r="G21" i="6" s="1"/>
  <c r="K13" i="3"/>
  <c r="G20" i="6" s="1"/>
  <c r="I13" i="3"/>
  <c r="AN13" i="3"/>
  <c r="J47" i="73" l="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F68" i="36" s="1"/>
  <c r="G68" i="36" s="1"/>
  <c r="D66" i="36"/>
  <c r="E66" i="36" s="1"/>
  <c r="F66" i="36" s="1"/>
  <c r="G66" i="36" s="1"/>
  <c r="D64" i="36"/>
  <c r="E64" i="36" s="1"/>
  <c r="F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H34" i="36"/>
  <c r="AB34" i="36" s="1"/>
  <c r="F34" i="36"/>
  <c r="S34" i="36" s="1"/>
  <c r="Q33" i="36"/>
  <c r="Z33" i="36" s="1"/>
  <c r="H33" i="36"/>
  <c r="Q32" i="36"/>
  <c r="Z32" i="36" s="1"/>
  <c r="J32" i="36"/>
  <c r="W32" i="36" s="1"/>
  <c r="H32" i="36"/>
  <c r="AB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H27" i="36"/>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H16" i="36"/>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B61" i="35"/>
  <c r="B59" i="35"/>
  <c r="B57" i="35"/>
  <c r="C53" i="35"/>
  <c r="I44" i="35"/>
  <c r="J44" i="35" s="1"/>
  <c r="G44" i="35"/>
  <c r="H44" i="35" s="1"/>
  <c r="E44" i="35"/>
  <c r="F44" i="35" s="1"/>
  <c r="P39" i="35"/>
  <c r="P38" i="35"/>
  <c r="K38" i="35"/>
  <c r="V37" i="35"/>
  <c r="T37" i="35"/>
  <c r="R37" i="35"/>
  <c r="P37" i="35"/>
  <c r="Q36" i="35"/>
  <c r="Z36" i="35" s="1"/>
  <c r="J36" i="35"/>
  <c r="AC36" i="35" s="1"/>
  <c r="Q35" i="35"/>
  <c r="Z35" i="35" s="1"/>
  <c r="Q34" i="35"/>
  <c r="Z34" i="35" s="1"/>
  <c r="F34" i="35"/>
  <c r="AA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J24" i="35"/>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J14" i="35"/>
  <c r="AC14" i="35" s="1"/>
  <c r="F14" i="35"/>
  <c r="AA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9" i="35"/>
  <c r="AC9" i="35" s="1"/>
  <c r="J8" i="35"/>
  <c r="H8" i="35"/>
  <c r="AB8" i="35" s="1"/>
  <c r="F8" i="35"/>
  <c r="S8"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D79" i="37"/>
  <c r="E79" i="37" s="1"/>
  <c r="F79" i="37" s="1"/>
  <c r="G79" i="37" s="1"/>
  <c r="D77" i="37"/>
  <c r="E77" i="37" s="1"/>
  <c r="F77" i="37" s="1"/>
  <c r="G77" i="37" s="1"/>
  <c r="E75" i="37"/>
  <c r="F75" i="37" s="1"/>
  <c r="G75" i="37" s="1"/>
  <c r="D75" i="37"/>
  <c r="E73" i="37"/>
  <c r="F73" i="37" s="1"/>
  <c r="G73" i="37" s="1"/>
  <c r="D73" i="37"/>
  <c r="D71" i="37"/>
  <c r="E71" i="37" s="1"/>
  <c r="F71" i="37" s="1"/>
  <c r="G71" i="37" s="1"/>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F40" i="37"/>
  <c r="Q39" i="37"/>
  <c r="Z39" i="37" s="1"/>
  <c r="H39" i="37"/>
  <c r="AB39" i="37" s="1"/>
  <c r="Q38" i="37"/>
  <c r="Z38" i="37" s="1"/>
  <c r="AB37" i="37"/>
  <c r="Q37" i="37"/>
  <c r="Z37" i="37" s="1"/>
  <c r="J37" i="37"/>
  <c r="AC37" i="37" s="1"/>
  <c r="H37" i="37"/>
  <c r="U37" i="37" s="1"/>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H27" i="37"/>
  <c r="Q26" i="37"/>
  <c r="Z26" i="37" s="1"/>
  <c r="Q25" i="37"/>
  <c r="Z25" i="37" s="1"/>
  <c r="H25" i="37"/>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J14" i="37"/>
  <c r="W14" i="37" s="1"/>
  <c r="F14" i="37"/>
  <c r="Q13" i="37"/>
  <c r="Z13" i="37" s="1"/>
  <c r="J13" i="37"/>
  <c r="AC13" i="37" s="1"/>
  <c r="Q12" i="37"/>
  <c r="Z12" i="37" s="1"/>
  <c r="J12" i="37"/>
  <c r="AC12" i="37" s="1"/>
  <c r="F12" i="37"/>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B127" i="34"/>
  <c r="D126" i="34"/>
  <c r="E126" i="34" s="1"/>
  <c r="F126" i="34" s="1"/>
  <c r="G126" i="34" s="1"/>
  <c r="J124" i="34"/>
  <c r="K124" i="34" s="1"/>
  <c r="L124" i="34" s="1"/>
  <c r="M124" i="34" s="1"/>
  <c r="D124" i="34"/>
  <c r="E124" i="34" s="1"/>
  <c r="F124" i="34" s="1"/>
  <c r="G124" i="34" s="1"/>
  <c r="H124" i="34" s="1"/>
  <c r="I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H46" i="34"/>
  <c r="AB46" i="34" s="1"/>
  <c r="F46" i="34"/>
  <c r="AA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F30" i="34"/>
  <c r="AA30" i="34" s="1"/>
  <c r="Q29" i="34"/>
  <c r="Z29" i="34" s="1"/>
  <c r="H29" i="34"/>
  <c r="AB29" i="34" s="1"/>
  <c r="Q28" i="34"/>
  <c r="Z28" i="34" s="1"/>
  <c r="J28" i="34"/>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F14" i="34"/>
  <c r="AA14" i="34" s="1"/>
  <c r="Q13" i="34"/>
  <c r="Z13" i="34" s="1"/>
  <c r="Q12" i="34"/>
  <c r="Z12" i="34" s="1"/>
  <c r="J12" i="34"/>
  <c r="AC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AB39" i="33"/>
  <c r="Q39" i="33"/>
  <c r="Z39" i="33" s="1"/>
  <c r="J39" i="33"/>
  <c r="AC39" i="33" s="1"/>
  <c r="H39" i="33"/>
  <c r="U39" i="33" s="1"/>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H31" i="33"/>
  <c r="U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F14" i="33"/>
  <c r="S14" i="33" s="1"/>
  <c r="Q13" i="33"/>
  <c r="Z13" i="33" s="1"/>
  <c r="H13" i="33"/>
  <c r="Q12" i="33"/>
  <c r="Z12" i="33" s="1"/>
  <c r="J12" i="33"/>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F81" i="21" s="1"/>
  <c r="D79" i="21"/>
  <c r="E79" i="21" s="1"/>
  <c r="F79" i="21" s="1"/>
  <c r="G79" i="21" s="1"/>
  <c r="D77" i="21"/>
  <c r="E77" i="21" s="1"/>
  <c r="B74" i="21"/>
  <c r="B72" i="21"/>
  <c r="H13" i="21" s="1"/>
  <c r="AB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Q45" i="21"/>
  <c r="Z45" i="21" s="1"/>
  <c r="F45" i="2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J23" i="21"/>
  <c r="AC23" i="21" s="1"/>
  <c r="F23" i="21"/>
  <c r="AA23" i="21" s="1"/>
  <c r="C23" i="21"/>
  <c r="Q21" i="21"/>
  <c r="Z21" i="21" s="1"/>
  <c r="J21" i="21"/>
  <c r="AC21" i="21" s="1"/>
  <c r="H21" i="21"/>
  <c r="AB21" i="21" s="1"/>
  <c r="F21" i="21"/>
  <c r="AA21" i="21" s="1"/>
  <c r="C21" i="21"/>
  <c r="Q19" i="21"/>
  <c r="Z19" i="21" s="1"/>
  <c r="J19" i="21"/>
  <c r="AC19" i="21" s="1"/>
  <c r="F19" i="21"/>
  <c r="AA19" i="21" s="1"/>
  <c r="C19" i="21"/>
  <c r="Q17" i="21"/>
  <c r="Z17" i="21" s="1"/>
  <c r="J17" i="21"/>
  <c r="AC17" i="21" s="1"/>
  <c r="H17" i="21"/>
  <c r="AB17" i="21" s="1"/>
  <c r="F17" i="21"/>
  <c r="AA17" i="21" s="1"/>
  <c r="C17" i="21"/>
  <c r="Q15" i="21"/>
  <c r="Z15" i="21" s="1"/>
  <c r="J15" i="21"/>
  <c r="AC15" i="21" s="1"/>
  <c r="F15" i="21"/>
  <c r="AA15" i="21" s="1"/>
  <c r="C15" i="21"/>
  <c r="Q14" i="21"/>
  <c r="Z14" i="21" s="1"/>
  <c r="Q13" i="21"/>
  <c r="Z13" i="21" s="1"/>
  <c r="J13" i="21"/>
  <c r="AC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U9" i="21"/>
  <c r="Q9" i="21"/>
  <c r="Z9" i="21" s="1"/>
  <c r="J9" i="21"/>
  <c r="AC9" i="21" s="1"/>
  <c r="F9" i="21"/>
  <c r="AA9" i="21" s="1"/>
  <c r="J8" i="21"/>
  <c r="W8" i="21" s="1"/>
  <c r="H8" i="21"/>
  <c r="AB8" i="21" s="1"/>
  <c r="F8" i="21"/>
  <c r="S8" i="21" s="1"/>
  <c r="G17" i="11"/>
  <c r="C16" i="11"/>
  <c r="C15" i="11"/>
  <c r="C14" i="11"/>
  <c r="E13" i="11"/>
  <c r="E12" i="11"/>
  <c r="C11" i="11"/>
  <c r="C10" i="11" s="1"/>
  <c r="C9" i="11"/>
  <c r="C8" i="11"/>
  <c r="R43" i="68"/>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R7" i="70" s="1"/>
  <c r="I7" i="70"/>
  <c r="AC6" i="70"/>
  <c r="AB6" i="70"/>
  <c r="AA6" i="70"/>
  <c r="AD6" i="70" s="1"/>
  <c r="Z6" i="70"/>
  <c r="Y6" i="70"/>
  <c r="O6" i="70"/>
  <c r="N6" i="70"/>
  <c r="M6" i="70"/>
  <c r="L6" i="70"/>
  <c r="K6" i="70"/>
  <c r="I6" i="70"/>
  <c r="AC5" i="70"/>
  <c r="AB5" i="70"/>
  <c r="AA5" i="70"/>
  <c r="Z5" i="70"/>
  <c r="Y5" i="70"/>
  <c r="O5" i="70"/>
  <c r="V5" i="70" s="1"/>
  <c r="N5" i="70"/>
  <c r="M5" i="70"/>
  <c r="L5" i="70"/>
  <c r="K5" i="70"/>
  <c r="I5" i="70"/>
  <c r="Z3"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U77" i="59" s="1"/>
  <c r="C77" i="59"/>
  <c r="B77" i="59"/>
  <c r="Q76" i="59"/>
  <c r="P76" i="59"/>
  <c r="O76" i="59"/>
  <c r="N76" i="59"/>
  <c r="E76" i="59"/>
  <c r="E75" i="59" s="1"/>
  <c r="Q75" i="59"/>
  <c r="P75" i="59"/>
  <c r="O75" i="59"/>
  <c r="N75" i="59"/>
  <c r="Q74" i="59"/>
  <c r="P74" i="59"/>
  <c r="O74" i="59"/>
  <c r="N74" i="59"/>
  <c r="D74" i="59"/>
  <c r="Q73" i="59"/>
  <c r="P73" i="59"/>
  <c r="O73" i="59"/>
  <c r="N73" i="59"/>
  <c r="F73" i="59"/>
  <c r="F72" i="59" s="1"/>
  <c r="F71" i="59" s="1"/>
  <c r="E73" i="59"/>
  <c r="U73" i="59" s="1"/>
  <c r="C73" i="59"/>
  <c r="B73" i="59"/>
  <c r="Q72" i="59"/>
  <c r="P72" i="59"/>
  <c r="O72" i="59"/>
  <c r="N72" i="59"/>
  <c r="E72" i="59"/>
  <c r="E71" i="59" s="1"/>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Q39" i="59"/>
  <c r="P39" i="59"/>
  <c r="AA39" i="59" s="1"/>
  <c r="O39" i="59"/>
  <c r="N39" i="59"/>
  <c r="X39" i="59" s="1"/>
  <c r="AH38" i="59"/>
  <c r="AG38" i="59"/>
  <c r="AE38" i="59"/>
  <c r="AF38" i="59" s="1"/>
  <c r="AD38" i="59"/>
  <c r="Q38" i="59"/>
  <c r="F39" i="59" s="1"/>
  <c r="F40" i="59" s="1"/>
  <c r="P38" i="59"/>
  <c r="O38" i="59"/>
  <c r="C39" i="59" s="1"/>
  <c r="C40" i="59" s="1"/>
  <c r="N38" i="59"/>
  <c r="D38" i="59"/>
  <c r="AH37" i="59"/>
  <c r="AG37" i="59"/>
  <c r="AE37" i="59"/>
  <c r="AF37" i="59" s="1"/>
  <c r="AD37" i="59"/>
  <c r="Q37" i="59"/>
  <c r="P37" i="59"/>
  <c r="O37" i="59"/>
  <c r="Y37" i="59" s="1"/>
  <c r="Z37" i="59" s="1"/>
  <c r="N37" i="59"/>
  <c r="X37" i="59" s="1"/>
  <c r="AH36" i="59"/>
  <c r="AG36" i="59"/>
  <c r="AE36" i="59"/>
  <c r="AF36" i="59" s="1"/>
  <c r="AD36" i="59"/>
  <c r="Q36" i="59"/>
  <c r="AB36" i="59" s="1"/>
  <c r="P36" i="59"/>
  <c r="O36" i="59"/>
  <c r="Y36" i="59" s="1"/>
  <c r="Z36" i="59" s="1"/>
  <c r="N36" i="59"/>
  <c r="AH35" i="59"/>
  <c r="AG35" i="59"/>
  <c r="AF35" i="59"/>
  <c r="AE35" i="59"/>
  <c r="AD35" i="59"/>
  <c r="Q35" i="59"/>
  <c r="P35" i="59"/>
  <c r="AA35" i="59" s="1"/>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AB30" i="59" s="1"/>
  <c r="P32" i="59"/>
  <c r="O32" i="59"/>
  <c r="Y32" i="59" s="1"/>
  <c r="Z32" i="59" s="1"/>
  <c r="N32" i="59"/>
  <c r="AH31" i="59"/>
  <c r="AG31" i="59"/>
  <c r="AF31" i="59"/>
  <c r="AE31" i="59"/>
  <c r="AD31" i="59"/>
  <c r="Q31" i="59"/>
  <c r="P31" i="59"/>
  <c r="O31" i="59"/>
  <c r="N31" i="59"/>
  <c r="AH30" i="59"/>
  <c r="AG30" i="59"/>
  <c r="AE30" i="59"/>
  <c r="AF30" i="59" s="1"/>
  <c r="AD30" i="59"/>
  <c r="Q30" i="59"/>
  <c r="F31" i="59" s="1"/>
  <c r="F32" i="59" s="1"/>
  <c r="F33" i="59" s="1"/>
  <c r="V33" i="59" s="1"/>
  <c r="P30" i="59"/>
  <c r="O30" i="59"/>
  <c r="C31" i="59" s="1"/>
  <c r="N30" i="59"/>
  <c r="D30" i="59"/>
  <c r="AH29" i="59"/>
  <c r="AG29" i="59"/>
  <c r="AF29" i="59"/>
  <c r="AE29" i="59"/>
  <c r="AD29" i="59"/>
  <c r="Q29" i="59"/>
  <c r="P29" i="59"/>
  <c r="O29" i="59"/>
  <c r="C29" i="59" s="1"/>
  <c r="T29" i="59" s="1"/>
  <c r="N29" i="59"/>
  <c r="F29" i="59"/>
  <c r="E29" i="59"/>
  <c r="U29" i="59" s="1"/>
  <c r="D29" i="59"/>
  <c r="B29" i="59"/>
  <c r="AH28" i="59"/>
  <c r="AG28" i="59"/>
  <c r="AE28" i="59"/>
  <c r="AF28" i="59" s="1"/>
  <c r="AD28" i="59"/>
  <c r="Q28" i="59"/>
  <c r="AB26" i="59" s="1"/>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F25" i="59"/>
  <c r="AE25" i="59"/>
  <c r="AD25" i="59"/>
  <c r="Q25" i="59"/>
  <c r="P25" i="59"/>
  <c r="O25" i="59"/>
  <c r="C25" i="59" s="1"/>
  <c r="T25" i="59" s="1"/>
  <c r="N25" i="59"/>
  <c r="F25" i="59"/>
  <c r="E25" i="59"/>
  <c r="U25" i="59" s="1"/>
  <c r="D25" i="59"/>
  <c r="B25" i="59"/>
  <c r="AH24" i="59"/>
  <c r="AG24" i="59"/>
  <c r="AE24" i="59"/>
  <c r="AF24" i="59" s="1"/>
  <c r="AD24" i="59"/>
  <c r="Q24" i="59"/>
  <c r="AB24" i="59" s="1"/>
  <c r="P24" i="59"/>
  <c r="O24" i="59"/>
  <c r="Y24" i="59" s="1"/>
  <c r="Z24" i="59" s="1"/>
  <c r="N24" i="59"/>
  <c r="E24" i="59"/>
  <c r="E23" i="59" s="1"/>
  <c r="E22" i="59" s="1"/>
  <c r="E21" i="59" s="1"/>
  <c r="AH23" i="59"/>
  <c r="AG23" i="59"/>
  <c r="AE23" i="59"/>
  <c r="AF23" i="59" s="1"/>
  <c r="AD23" i="59"/>
  <c r="Q23" i="59"/>
  <c r="P23" i="59"/>
  <c r="O23" i="59"/>
  <c r="N23" i="59"/>
  <c r="AH22" i="59"/>
  <c r="AG22" i="59"/>
  <c r="AE22" i="59"/>
  <c r="AF22" i="59" s="1"/>
  <c r="AD22" i="59"/>
  <c r="Q22" i="59"/>
  <c r="P22" i="59"/>
  <c r="O22" i="59"/>
  <c r="N22" i="59"/>
  <c r="AH21" i="59"/>
  <c r="AG21" i="59"/>
  <c r="AF21" i="59"/>
  <c r="AE21" i="59"/>
  <c r="AD21" i="59"/>
  <c r="Q21" i="59"/>
  <c r="P21" i="59"/>
  <c r="O21" i="59"/>
  <c r="N21" i="59"/>
  <c r="AH20" i="59"/>
  <c r="AG20" i="59"/>
  <c r="AE20" i="59"/>
  <c r="AF20" i="59" s="1"/>
  <c r="AD20" i="59"/>
  <c r="Q20" i="59"/>
  <c r="P20" i="59"/>
  <c r="O20" i="59"/>
  <c r="N20" i="59"/>
  <c r="AH19" i="59"/>
  <c r="AG19" i="59"/>
  <c r="AE19" i="59"/>
  <c r="AF19" i="59" s="1"/>
  <c r="AD19" i="59"/>
  <c r="Q19" i="59"/>
  <c r="P19" i="59"/>
  <c r="O19" i="59"/>
  <c r="Y19" i="59" s="1"/>
  <c r="Z19" i="59" s="1"/>
  <c r="N19" i="59"/>
  <c r="AH18" i="59"/>
  <c r="AG18" i="59"/>
  <c r="AE18" i="59"/>
  <c r="AF18" i="59" s="1"/>
  <c r="AD18" i="59"/>
  <c r="Q18" i="59"/>
  <c r="AB18" i="59" s="1"/>
  <c r="P18" i="59"/>
  <c r="O18" i="59"/>
  <c r="N18" i="59"/>
  <c r="AH17" i="59"/>
  <c r="AG17" i="59"/>
  <c r="AF17" i="59"/>
  <c r="AE17" i="59"/>
  <c r="AD17" i="59"/>
  <c r="Q17" i="59"/>
  <c r="P17" i="59"/>
  <c r="AA17" i="59" s="1"/>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Y11" i="59" s="1"/>
  <c r="Z11" i="59" s="1"/>
  <c r="N11" i="59"/>
  <c r="AH10" i="59"/>
  <c r="AG10" i="59"/>
  <c r="AE10" i="59"/>
  <c r="AF10" i="59" s="1"/>
  <c r="AD10" i="59"/>
  <c r="Q10" i="59"/>
  <c r="AB10" i="59" s="1"/>
  <c r="P10" i="59"/>
  <c r="O10" i="59"/>
  <c r="N10" i="59"/>
  <c r="AH9" i="59"/>
  <c r="AG9" i="59"/>
  <c r="AF9" i="59"/>
  <c r="AE9" i="59"/>
  <c r="AD9" i="59"/>
  <c r="Q9" i="59"/>
  <c r="P9" i="59"/>
  <c r="O9" i="59"/>
  <c r="N9" i="59"/>
  <c r="AH8" i="59"/>
  <c r="AG8" i="59"/>
  <c r="AE8" i="59"/>
  <c r="AF8" i="59" s="1"/>
  <c r="AD8" i="59"/>
  <c r="Q8" i="59"/>
  <c r="P8" i="59"/>
  <c r="O8" i="59"/>
  <c r="N8" i="59"/>
  <c r="X8" i="59" s="1"/>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N84" i="46"/>
  <c r="M84" i="46"/>
  <c r="K84" i="46"/>
  <c r="J84" i="46" s="1"/>
  <c r="D84" i="46"/>
  <c r="M83" i="46"/>
  <c r="N83" i="46" s="1"/>
  <c r="K83" i="46"/>
  <c r="J83" i="46"/>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S3" i="46"/>
  <c r="G3" i="46"/>
  <c r="I2" i="46"/>
  <c r="M11" i="46" s="1"/>
  <c r="G2" i="46"/>
  <c r="N21" i="46" s="1"/>
  <c r="M1" i="46"/>
  <c r="D1" i="46"/>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H34" i="40" s="1"/>
  <c r="AB34" i="40" s="1"/>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E87" i="40"/>
  <c r="F87" i="40" s="1"/>
  <c r="G87" i="40" s="1"/>
  <c r="D87" i="40"/>
  <c r="E85" i="40"/>
  <c r="F85" i="40" s="1"/>
  <c r="G85" i="40" s="1"/>
  <c r="D85" i="40"/>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H41" i="40"/>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J34" i="40"/>
  <c r="AC34" i="40" s="1"/>
  <c r="Q33" i="40"/>
  <c r="Z33" i="40" s="1"/>
  <c r="Q32" i="40"/>
  <c r="Z32" i="40" s="1"/>
  <c r="C32" i="40"/>
  <c r="J32" i="40" s="1"/>
  <c r="Q30" i="40"/>
  <c r="Z30" i="40" s="1"/>
  <c r="J30" i="40"/>
  <c r="H30" i="40"/>
  <c r="AB30" i="40" s="1"/>
  <c r="F30" i="40"/>
  <c r="AA30" i="40" s="1"/>
  <c r="C30" i="40"/>
  <c r="Q29" i="40"/>
  <c r="Z29" i="40" s="1"/>
  <c r="AB27" i="40"/>
  <c r="Q27" i="40"/>
  <c r="Z27" i="40" s="1"/>
  <c r="J27" i="40"/>
  <c r="AC27" i="40" s="1"/>
  <c r="H27" i="40"/>
  <c r="U27" i="40" s="1"/>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J15" i="40"/>
  <c r="AC15" i="40" s="1"/>
  <c r="H15" i="40"/>
  <c r="AB15" i="40" s="1"/>
  <c r="F15" i="40"/>
  <c r="AA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D100" i="39"/>
  <c r="E100" i="39" s="1"/>
  <c r="F100" i="39" s="1"/>
  <c r="G100" i="39" s="1"/>
  <c r="D98" i="39"/>
  <c r="D96" i="39"/>
  <c r="E96" i="39" s="1"/>
  <c r="F96" i="39" s="1"/>
  <c r="G96" i="39" s="1"/>
  <c r="D94" i="39"/>
  <c r="E94" i="39" s="1"/>
  <c r="F94" i="39" s="1"/>
  <c r="G94" i="39" s="1"/>
  <c r="D92" i="39"/>
  <c r="E92" i="39" s="1"/>
  <c r="F92" i="39" s="1"/>
  <c r="G92" i="39" s="1"/>
  <c r="D90" i="39"/>
  <c r="E90" i="39" s="1"/>
  <c r="B87" i="39"/>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J37" i="39"/>
  <c r="W37" i="39" s="1"/>
  <c r="Q36" i="39"/>
  <c r="Z36" i="39" s="1"/>
  <c r="J36" i="39"/>
  <c r="AC36" i="39" s="1"/>
  <c r="H36" i="39"/>
  <c r="AB36" i="39" s="1"/>
  <c r="F36" i="39"/>
  <c r="AA36" i="39" s="1"/>
  <c r="Q34" i="39"/>
  <c r="Z34" i="39" s="1"/>
  <c r="J34" i="39"/>
  <c r="AC34" i="39" s="1"/>
  <c r="H34" i="39"/>
  <c r="AB34" i="39" s="1"/>
  <c r="F34" i="39"/>
  <c r="AA34" i="39" s="1"/>
  <c r="Q33" i="39"/>
  <c r="Z33" i="39" s="1"/>
  <c r="F33" i="39"/>
  <c r="AA33" i="39" s="1"/>
  <c r="Q31" i="39"/>
  <c r="Z31" i="39" s="1"/>
  <c r="J31" i="39"/>
  <c r="AC31" i="39" s="1"/>
  <c r="H31" i="39"/>
  <c r="AB31" i="39" s="1"/>
  <c r="F31" i="39"/>
  <c r="AA31" i="39" s="1"/>
  <c r="Q29" i="39"/>
  <c r="Z29" i="39" s="1"/>
  <c r="J29" i="39"/>
  <c r="AC29" i="39" s="1"/>
  <c r="F29" i="39"/>
  <c r="AA29" i="39" s="1"/>
  <c r="Q27" i="39"/>
  <c r="Z27" i="39" s="1"/>
  <c r="J27" i="39"/>
  <c r="AC27" i="39" s="1"/>
  <c r="H27" i="39"/>
  <c r="AB27" i="39" s="1"/>
  <c r="F27" i="39"/>
  <c r="AA27" i="39" s="1"/>
  <c r="Q25" i="39"/>
  <c r="Z25" i="39" s="1"/>
  <c r="J25" i="39"/>
  <c r="AC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BT13" i="3"/>
  <c r="BT5" i="3" s="1"/>
  <c r="BS13" i="3"/>
  <c r="BR13" i="3"/>
  <c r="BR5" i="3" s="1"/>
  <c r="G28" i="6" s="1"/>
  <c r="BQ13" i="3"/>
  <c r="BQ5" i="3" s="1"/>
  <c r="BP13" i="3"/>
  <c r="BP5" i="3" s="1"/>
  <c r="BO13" i="3"/>
  <c r="BN13" i="3"/>
  <c r="BN5" i="3" s="1"/>
  <c r="BM13" i="3"/>
  <c r="BK13" i="3"/>
  <c r="BJ13" i="3"/>
  <c r="BI13" i="3"/>
  <c r="BH13" i="3"/>
  <c r="BG13" i="3"/>
  <c r="BF13" i="3"/>
  <c r="BE13" i="3"/>
  <c r="BD13" i="3"/>
  <c r="BC13" i="3"/>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O5" i="3"/>
  <c r="BM5" i="3"/>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E25" i="69"/>
  <c r="E24" i="69"/>
  <c r="F23" i="69"/>
  <c r="F24" i="69" s="1"/>
  <c r="F25" i="69" s="1"/>
  <c r="E23" i="69"/>
  <c r="E22" i="69"/>
  <c r="G22" i="69" s="1"/>
  <c r="F12" i="69"/>
  <c r="F11" i="69"/>
  <c r="B3" i="69"/>
  <c r="C7" i="69" s="1"/>
  <c r="D7" i="69" s="1"/>
  <c r="C57" i="10"/>
  <c r="C56" i="10"/>
  <c r="C55" i="10"/>
  <c r="C54" i="10"/>
  <c r="D51" i="10"/>
  <c r="B51" i="10"/>
  <c r="B2" i="52"/>
  <c r="B15" i="52" s="1"/>
  <c r="B21" i="55"/>
  <c r="A21" i="55"/>
  <c r="B71" i="63" s="1"/>
  <c r="A20" i="55"/>
  <c r="B69" i="63" s="1"/>
  <c r="A16" i="55"/>
  <c r="A15" i="55"/>
  <c r="A14" i="55"/>
  <c r="A11" i="55"/>
  <c r="A10" i="55"/>
  <c r="A9" i="55"/>
  <c r="A8" i="55"/>
  <c r="A4" i="55"/>
  <c r="B57" i="63" s="1"/>
  <c r="A2" i="55"/>
  <c r="A8" i="54"/>
  <c r="B53" i="63" s="1"/>
  <c r="A7" i="54"/>
  <c r="A6" i="54"/>
  <c r="B49" i="63" s="1"/>
  <c r="M5" i="54"/>
  <c r="G5" i="54"/>
  <c r="B34" i="63" s="1"/>
  <c r="E5" i="54"/>
  <c r="N3" i="54"/>
  <c r="B42" i="63" s="1"/>
  <c r="R2" i="54"/>
  <c r="K2" i="54"/>
  <c r="B23" i="63" s="1"/>
  <c r="A30" i="64"/>
  <c r="A28" i="64"/>
  <c r="A27" i="64"/>
  <c r="A26" i="64"/>
  <c r="A21" i="64"/>
  <c r="B75" i="63" s="1"/>
  <c r="A15" i="64"/>
  <c r="A14" i="64"/>
  <c r="A11" i="64"/>
  <c r="A4" i="64"/>
  <c r="A3" i="64"/>
  <c r="A30" i="51"/>
  <c r="B22" i="63" s="1"/>
  <c r="A28" i="51"/>
  <c r="B21" i="63" s="1"/>
  <c r="A27" i="51"/>
  <c r="A26" i="51"/>
  <c r="B19" i="63" s="1"/>
  <c r="A23" i="51"/>
  <c r="B17" i="63" s="1"/>
  <c r="A15" i="51"/>
  <c r="A14" i="51"/>
  <c r="B11" i="63" s="1"/>
  <c r="A11" i="51"/>
  <c r="B10" i="63" s="1"/>
  <c r="A4" i="51"/>
  <c r="A3" i="51"/>
  <c r="B49" i="50"/>
  <c r="B5" i="63" s="1"/>
  <c r="B46" i="50"/>
  <c r="B4" i="63" s="1"/>
  <c r="B40" i="50"/>
  <c r="B37" i="50"/>
  <c r="B2" i="63" s="1"/>
  <c r="B76" i="63"/>
  <c r="B73" i="63"/>
  <c r="B72" i="63"/>
  <c r="B68" i="63"/>
  <c r="B67" i="63"/>
  <c r="B66" i="63"/>
  <c r="B65" i="63"/>
  <c r="B64" i="63"/>
  <c r="B63" i="63"/>
  <c r="B62" i="63"/>
  <c r="B61" i="63"/>
  <c r="B60" i="63"/>
  <c r="B59" i="63"/>
  <c r="B58" i="63"/>
  <c r="B55" i="63"/>
  <c r="B51" i="63"/>
  <c r="B44" i="63"/>
  <c r="B41" i="63"/>
  <c r="B40" i="63"/>
  <c r="B37" i="63"/>
  <c r="B36" i="63"/>
  <c r="B35" i="63"/>
  <c r="B33" i="63"/>
  <c r="B32" i="63"/>
  <c r="B31" i="63"/>
  <c r="B30" i="63"/>
  <c r="B29" i="63"/>
  <c r="B28" i="63"/>
  <c r="B27" i="63"/>
  <c r="B26" i="63"/>
  <c r="B25" i="63"/>
  <c r="B24" i="63"/>
  <c r="B20" i="63"/>
  <c r="B12" i="63"/>
  <c r="B8" i="63"/>
  <c r="B6" i="63"/>
  <c r="N4" i="63"/>
  <c r="B3" i="63"/>
  <c r="E9" i="67"/>
  <c r="F12" i="67"/>
  <c r="B13" i="67"/>
  <c r="F10" i="67"/>
  <c r="E10" i="67"/>
  <c r="F13" i="67"/>
  <c r="E14" i="67"/>
  <c r="E12" i="67"/>
  <c r="E7" i="67"/>
  <c r="F8" i="67"/>
  <c r="F7" i="67"/>
  <c r="B11" i="67"/>
  <c r="F14" i="67"/>
  <c r="B7" i="67"/>
  <c r="E13" i="67"/>
  <c r="B14" i="67"/>
  <c r="B9" i="67"/>
  <c r="E8" i="67"/>
  <c r="E11" i="67"/>
  <c r="B8" i="67"/>
  <c r="B10" i="67"/>
  <c r="B12" i="67"/>
  <c r="F11" i="67"/>
  <c r="F9" i="67"/>
  <c r="D24" i="44" l="1"/>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AZ303" i="3" s="1"/>
  <c r="BL303" i="3"/>
  <c r="G304" i="3"/>
  <c r="G307" i="3"/>
  <c r="BL308" i="3"/>
  <c r="BA310" i="3"/>
  <c r="AZ310" i="3" s="1"/>
  <c r="BA311" i="3"/>
  <c r="AZ311" i="3" s="1"/>
  <c r="BL311" i="3"/>
  <c r="G312" i="3"/>
  <c r="G315" i="3"/>
  <c r="BL316" i="3"/>
  <c r="BA318" i="3"/>
  <c r="AZ318" i="3" s="1"/>
  <c r="BA319" i="3"/>
  <c r="AZ319" i="3" s="1"/>
  <c r="BL319" i="3"/>
  <c r="G320" i="3"/>
  <c r="G323" i="3"/>
  <c r="BL324" i="3"/>
  <c r="BA326" i="3"/>
  <c r="AZ326" i="3" s="1"/>
  <c r="BA327" i="3"/>
  <c r="AZ327" i="3" s="1"/>
  <c r="BL327" i="3"/>
  <c r="G328" i="3"/>
  <c r="G331" i="3"/>
  <c r="BL332" i="3"/>
  <c r="BL334" i="3"/>
  <c r="BL336" i="3"/>
  <c r="BA338" i="3"/>
  <c r="AZ338" i="3" s="1"/>
  <c r="BA339" i="3"/>
  <c r="BL339" i="3"/>
  <c r="G340" i="3"/>
  <c r="G343" i="3"/>
  <c r="BL344" i="3"/>
  <c r="BA346" i="3"/>
  <c r="AZ346" i="3" s="1"/>
  <c r="BA347" i="3"/>
  <c r="AZ347" i="3" s="1"/>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K15" i="1" s="1"/>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J4" i="65"/>
  <c r="N6" i="65"/>
  <c r="N7" i="65"/>
  <c r="I4" i="65"/>
  <c r="N3" i="65"/>
  <c r="J3" i="65"/>
  <c r="J7" i="65"/>
  <c r="I3" i="65"/>
  <c r="N5" i="65"/>
  <c r="I6" i="65"/>
  <c r="I7" i="65"/>
  <c r="J5" i="65"/>
  <c r="J6" i="65"/>
  <c r="I5" i="65"/>
  <c r="N4" i="65"/>
  <c r="C19" i="44"/>
  <c r="W35" i="35" l="1"/>
  <c r="B119" i="46"/>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5" i="68"/>
  <c r="U5" i="68" s="1"/>
  <c r="R25" i="68"/>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M26" i="15"/>
  <c r="F8" i="44"/>
  <c r="F38" i="15"/>
  <c r="M31" i="44"/>
  <c r="F6" i="15"/>
  <c r="F9" i="15"/>
  <c r="M8" i="15"/>
  <c r="F18" i="44"/>
  <c r="F43" i="44"/>
  <c r="F11" i="44"/>
  <c r="M29" i="15"/>
  <c r="F42" i="15"/>
  <c r="M27" i="15"/>
  <c r="M23" i="15"/>
  <c r="F10" i="44"/>
  <c r="J36" i="15"/>
  <c r="M29" i="44"/>
  <c r="F37" i="15"/>
  <c r="M28" i="44"/>
  <c r="F7" i="15"/>
  <c r="F39" i="44"/>
  <c r="F36" i="15"/>
  <c r="L49" i="44"/>
  <c r="E2" i="65"/>
  <c r="M28" i="15"/>
  <c r="F40" i="44"/>
  <c r="F16" i="15"/>
  <c r="F38" i="44"/>
  <c r="F37" i="44"/>
  <c r="M30" i="44"/>
  <c r="L47" i="15"/>
  <c r="M24" i="44"/>
  <c r="F26" i="15"/>
  <c r="F46" i="44"/>
  <c r="M8" i="44"/>
  <c r="F43" i="15"/>
  <c r="L48" i="44"/>
  <c r="F15" i="44"/>
  <c r="M11" i="44"/>
  <c r="M6" i="15"/>
  <c r="E3" i="65"/>
  <c r="F9" i="44"/>
  <c r="F28" i="44"/>
  <c r="M23" i="44"/>
  <c r="M26" i="44"/>
  <c r="F13" i="15"/>
  <c r="M24" i="15"/>
  <c r="M22" i="15"/>
  <c r="J17" i="44"/>
  <c r="M25" i="44"/>
  <c r="F8" i="15"/>
  <c r="F45" i="44"/>
  <c r="F40" i="15"/>
  <c r="L48" i="15"/>
  <c r="M10" i="44"/>
  <c r="J15" i="15"/>
  <c r="M9" i="15"/>
  <c r="E113" i="3" l="1"/>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AC7" i="34"/>
  <c r="V49" i="34" s="1"/>
  <c r="I49" i="34"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32" i="68" s="1"/>
  <c r="E29" i="68"/>
  <c r="E38" i="68"/>
  <c r="E39" i="68" s="1"/>
  <c r="C40" i="68" s="1"/>
  <c r="F11" i="15"/>
  <c r="M13" i="44"/>
  <c r="J12" i="44" s="1"/>
  <c r="M11" i="15"/>
  <c r="J10" i="15" s="1"/>
  <c r="F13" i="44"/>
  <c r="C12" i="44" s="1"/>
  <c r="C16" i="15"/>
  <c r="C18" i="44"/>
  <c r="F24" i="15" l="1"/>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1" i="6"/>
  <c r="R8" i="1" s="1"/>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M21" i="15"/>
  <c r="F35"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4" i="15"/>
  <c r="C16" i="44"/>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20" i="9"/>
  <c r="D19"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<sst xmlns="http://schemas.openxmlformats.org/spreadsheetml/2006/main" count="7909" uniqueCount="2724">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</sst>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00_);[Red]\(0.0000\)"/>
    <numFmt numFmtId="178" formatCode="yyyy&quot;年&quot;m&quot;月&quot;;@"/>
    <numFmt numFmtId="179" formatCode="yyyy/m/d;@"/>
    <numFmt numFmtId="180" formatCode="[DBNum1][$-804]yyyy&quot;年&quot;m&quot;月&quot;d&quot;日&quot;;@"/>
    <numFmt numFmtId="181" formatCode="0_ "/>
    <numFmt numFmtId="182" formatCode="0.000%"/>
    <numFmt numFmtId="183" formatCode="0.00_);[Red]\(0.00\)"/>
    <numFmt numFmtId="184" formatCode="0_);[Red]\(0\)"/>
    <numFmt numFmtId="185" formatCode="0.00_ "/>
    <numFmt numFmtId="186" formatCode="0.0_);[Red]\(0.0\)"/>
    <numFmt numFmtId="187" formatCode="0.0%"/>
    <numFmt numFmtId="188" formatCode="[$-F800]dddd\,\ mmmm\ dd\,\ yyyy"/>
    <numFmt numFmtId="189" formatCode="0_ ;[Red]\-0\ "/>
    <numFmt numFmtId="190" formatCode="yyyy&quot;年&quot;m&quot;月&quot;d&quot;日&quot;;@"/>
    <numFmt numFmtId="191" formatCode="0.000_);[Red]\(0.000\)"/>
    <numFmt numFmtId="192" formatCode="0.000_ "/>
    <numFmt numFmtId="193" formatCode="0.0_ "/>
    <numFmt numFmtId="194" formatCode="0.0000_ "/>
    <numFmt numFmtId="195"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80"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1"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9"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5"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6" fontId="34" fillId="0" borderId="0" xfId="0" applyNumberFormat="1" applyFont="1" applyFill="1" applyAlignment="1" applyProtection="1">
      <alignment horizontal="center" vertical="center"/>
    </xf>
    <xf numFmtId="187"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90"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90"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90"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7"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7" fontId="34" fillId="2" borderId="10" xfId="0" applyNumberFormat="1" applyFont="1" applyFill="1" applyBorder="1" applyAlignment="1" applyProtection="1">
      <alignment horizontal="center" vertical="center"/>
    </xf>
    <xf numFmtId="187"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8" fontId="30" fillId="2" borderId="56" xfId="0" applyNumberFormat="1" applyFont="1" applyFill="1" applyBorder="1" applyAlignment="1" applyProtection="1">
      <alignment horizontal="center" vertical="center" wrapText="1"/>
    </xf>
    <xf numFmtId="17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6" fontId="36" fillId="2" borderId="54" xfId="0" applyNumberFormat="1" applyFont="1" applyFill="1" applyBorder="1" applyAlignment="1" applyProtection="1">
      <alignment horizontal="center" vertical="center"/>
    </xf>
    <xf numFmtId="187"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6"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7"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7"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7"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6" fontId="34" fillId="2" borderId="11" xfId="0" applyNumberFormat="1" applyFont="1" applyFill="1" applyBorder="1" applyAlignment="1" applyProtection="1">
      <alignment horizontal="center" vertical="center"/>
    </xf>
    <xf numFmtId="187" fontId="34" fillId="2" borderId="0" xfId="0" applyNumberFormat="1" applyFont="1" applyFill="1" applyBorder="1" applyAlignment="1" applyProtection="1">
      <alignment vertical="center" wrapText="1"/>
      <protection locked="0"/>
    </xf>
    <xf numFmtId="183" fontId="34" fillId="8" borderId="46" xfId="0" applyNumberFormat="1" applyFont="1" applyFill="1" applyBorder="1" applyAlignment="1" applyProtection="1">
      <alignment horizontal="left" vertical="center" wrapText="1"/>
    </xf>
    <xf numFmtId="186"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6" fontId="34" fillId="9"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6" fontId="33" fillId="9"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6" fontId="34" fillId="2" borderId="0" xfId="0" applyNumberFormat="1" applyFont="1" applyFill="1" applyBorder="1" applyAlignment="1" applyProtection="1">
      <alignment horizontal="center"/>
    </xf>
    <xf numFmtId="187"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6" fontId="34" fillId="0" borderId="0" xfId="0" applyNumberFormat="1" applyFont="1" applyFill="1" applyAlignment="1" applyProtection="1">
      <alignment horizontal="center" vertical="center"/>
      <protection locked="0"/>
    </xf>
    <xf numFmtId="187"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6" fontId="34" fillId="2" borderId="0" xfId="0" applyNumberFormat="1" applyFont="1" applyFill="1" applyBorder="1" applyAlignment="1" applyProtection="1">
      <alignment horizontal="center"/>
      <protection locked="0"/>
    </xf>
    <xf numFmtId="187"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6" fontId="38" fillId="2" borderId="0" xfId="0" applyNumberFormat="1" applyFont="1" applyFill="1" applyBorder="1" applyAlignment="1" applyProtection="1">
      <alignment horizontal="center" vertical="center"/>
      <protection locked="0"/>
    </xf>
    <xf numFmtId="187"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6" fontId="30" fillId="2" borderId="44" xfId="0" applyNumberFormat="1" applyFont="1" applyFill="1" applyBorder="1" applyAlignment="1" applyProtection="1">
      <alignment horizontal="center" vertical="center" wrapText="1"/>
    </xf>
    <xf numFmtId="186"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6" fontId="34" fillId="2" borderId="46" xfId="0" applyNumberFormat="1" applyFont="1" applyFill="1" applyBorder="1" applyAlignment="1" applyProtection="1">
      <alignment horizontal="center" vertical="center"/>
    </xf>
    <xf numFmtId="186"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6"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4"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3" fontId="48" fillId="2" borderId="14" xfId="0" applyNumberFormat="1" applyFont="1" applyFill="1" applyBorder="1" applyAlignment="1" applyProtection="1">
      <alignment horizontal="center" vertical="center"/>
    </xf>
    <xf numFmtId="193"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3"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1"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1"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1"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5"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1" fontId="19" fillId="2" borderId="1" xfId="13" applyNumberFormat="1" applyFont="1" applyFill="1" applyBorder="1" applyAlignment="1" applyProtection="1">
      <alignment horizontal="center" vertical="center"/>
    </xf>
    <xf numFmtId="181"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1"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1"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1" fontId="22" fillId="2" borderId="8" xfId="13" applyNumberFormat="1" applyFont="1" applyFill="1" applyBorder="1" applyAlignment="1" applyProtection="1">
      <alignment horizontal="center" vertical="center"/>
    </xf>
    <xf numFmtId="185"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4"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4"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4" fontId="22" fillId="2" borderId="66" xfId="15" applyNumberFormat="1" applyFont="1" applyFill="1" applyBorder="1" applyAlignment="1">
      <alignment horizontal="left" vertical="center"/>
    </xf>
    <xf numFmtId="184"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4"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7"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4" fontId="19" fillId="2" borderId="1" xfId="15" applyNumberFormat="1" applyFont="1" applyFill="1" applyBorder="1" applyAlignment="1">
      <alignment horizontal="left" vertical="center"/>
    </xf>
    <xf numFmtId="187"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3" fontId="19" fillId="0" borderId="1" xfId="15" applyNumberFormat="1" applyFont="1" applyFill="1" applyBorder="1" applyAlignment="1" applyProtection="1">
      <alignment horizontal="left" vertical="center"/>
      <protection locked="0"/>
    </xf>
    <xf numFmtId="187" fontId="19" fillId="2" borderId="11" xfId="15" applyNumberFormat="1" applyFont="1" applyFill="1" applyBorder="1" applyAlignment="1">
      <alignment horizontal="right" vertical="center"/>
    </xf>
    <xf numFmtId="181" fontId="19" fillId="0" borderId="1" xfId="15" applyNumberFormat="1" applyFont="1" applyFill="1" applyBorder="1" applyAlignment="1" applyProtection="1">
      <alignment horizontal="left" vertical="center"/>
      <protection locked="0"/>
    </xf>
    <xf numFmtId="184" fontId="19" fillId="0" borderId="1" xfId="15" applyNumberFormat="1" applyFont="1" applyFill="1" applyBorder="1" applyAlignment="1" applyProtection="1">
      <alignment horizontal="left" vertical="center"/>
      <protection locked="0"/>
    </xf>
    <xf numFmtId="187"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4" fontId="22" fillId="2" borderId="8" xfId="15" applyNumberFormat="1" applyFont="1" applyFill="1" applyBorder="1" applyAlignment="1">
      <alignment horizontal="left" vertical="center"/>
    </xf>
    <xf numFmtId="187"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4" fontId="22" fillId="2" borderId="89" xfId="15" applyNumberFormat="1" applyFont="1" applyFill="1" applyBorder="1" applyAlignment="1">
      <alignment horizontal="left" vertical="center"/>
    </xf>
    <xf numFmtId="187"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4" fontId="19" fillId="2" borderId="10" xfId="15" applyNumberFormat="1" applyFont="1" applyFill="1" applyBorder="1" applyAlignment="1">
      <alignment horizontal="left" vertical="center"/>
    </xf>
    <xf numFmtId="184" fontId="19" fillId="2" borderId="101" xfId="15" applyNumberFormat="1" applyFont="1" applyFill="1" applyBorder="1" applyAlignment="1">
      <alignment horizontal="left" vertical="center"/>
    </xf>
    <xf numFmtId="184"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4" fontId="19" fillId="2" borderId="10" xfId="15" applyNumberFormat="1" applyFont="1" applyFill="1" applyBorder="1" applyAlignment="1">
      <alignment horizontal="right" vertical="center"/>
    </xf>
    <xf numFmtId="187" fontId="19" fillId="0" borderId="101" xfId="15" applyNumberFormat="1" applyFont="1" applyFill="1" applyBorder="1" applyAlignment="1" applyProtection="1">
      <alignment horizontal="right" vertical="center"/>
      <protection locked="0"/>
    </xf>
    <xf numFmtId="187"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7"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7" fontId="19" fillId="2" borderId="101" xfId="15" applyNumberFormat="1" applyFont="1" applyFill="1" applyBorder="1" applyAlignment="1">
      <alignment horizontal="right" vertical="center"/>
    </xf>
    <xf numFmtId="187"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7" fontId="19" fillId="0" borderId="10" xfId="15" applyNumberFormat="1" applyFont="1" applyFill="1" applyBorder="1" applyAlignment="1" applyProtection="1">
      <alignment horizontal="left" vertical="center"/>
      <protection locked="0"/>
    </xf>
    <xf numFmtId="187" fontId="19" fillId="0" borderId="101" xfId="15" applyNumberFormat="1" applyFont="1" applyFill="1" applyBorder="1" applyAlignment="1" applyProtection="1">
      <alignment horizontal="left" vertical="center"/>
      <protection locked="0"/>
    </xf>
    <xf numFmtId="187" fontId="19" fillId="0" borderId="11" xfId="15" applyNumberFormat="1" applyFont="1" applyFill="1" applyBorder="1" applyAlignment="1" applyProtection="1">
      <alignment horizontal="left" vertical="center"/>
      <protection locked="0"/>
    </xf>
    <xf numFmtId="183"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3" fontId="19" fillId="0" borderId="42" xfId="15" applyNumberFormat="1" applyFont="1" applyFill="1" applyBorder="1" applyAlignment="1" applyProtection="1">
      <alignment horizontal="left" vertical="center"/>
      <protection locked="0"/>
    </xf>
    <xf numFmtId="183" fontId="19" fillId="0" borderId="102" xfId="15" applyNumberFormat="1" applyFont="1" applyFill="1" applyBorder="1" applyAlignment="1" applyProtection="1">
      <alignment horizontal="left" vertical="center"/>
      <protection locked="0"/>
    </xf>
    <xf numFmtId="183" fontId="19" fillId="0" borderId="97" xfId="15" applyNumberFormat="1" applyFont="1" applyFill="1" applyBorder="1" applyAlignment="1" applyProtection="1">
      <alignment horizontal="left" vertical="center"/>
      <protection locked="0"/>
    </xf>
    <xf numFmtId="183"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4"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4"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1"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1"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1" fontId="67" fillId="0" borderId="14" xfId="13" applyNumberFormat="1" applyFont="1" applyBorder="1" applyAlignment="1" applyProtection="1">
      <alignment horizontal="left" vertical="center"/>
      <protection locked="0" hidden="1"/>
    </xf>
    <xf numFmtId="181"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1" fontId="22" fillId="2" borderId="1" xfId="15" applyNumberFormat="1" applyFont="1" applyFill="1" applyBorder="1" applyAlignment="1" applyProtection="1">
      <alignment horizontal="left" vertical="center"/>
      <protection locked="0"/>
    </xf>
    <xf numFmtId="181"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7"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1"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1"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7"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7"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7"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7"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7"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5"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7"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7"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7"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7"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2"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5"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5"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5"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7" fontId="23" fillId="0" borderId="14" xfId="0" applyNumberFormat="1" applyFont="1" applyFill="1" applyBorder="1" applyAlignment="1" applyProtection="1">
      <alignment horizontal="center" vertical="center"/>
      <protection locked="0"/>
    </xf>
    <xf numFmtId="187"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7"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7"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7"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5"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5"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7"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7" fontId="19" fillId="2" borderId="1" xfId="0" applyNumberFormat="1" applyFont="1" applyFill="1" applyBorder="1" applyAlignment="1" applyProtection="1">
      <alignment horizontal="center"/>
    </xf>
    <xf numFmtId="0" fontId="18" fillId="2" borderId="1" xfId="0" applyFont="1" applyFill="1" applyBorder="1" applyAlignment="1" applyProtection="1"/>
    <xf numFmtId="187"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9"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7"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7"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9"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1"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1"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7"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76"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7"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4"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4" fontId="28" fillId="12" borderId="133" xfId="9" applyNumberFormat="1" applyFont="1" applyFill="1" applyBorder="1" applyAlignment="1" applyProtection="1">
      <alignment horizontal="left" vertical="center" wrapText="1"/>
    </xf>
    <xf numFmtId="184"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4" fontId="28" fillId="12" borderId="133" xfId="9" applyNumberFormat="1" applyFont="1" applyFill="1" applyBorder="1" applyAlignment="1">
      <alignment horizontal="left" vertical="center" wrapText="1"/>
    </xf>
    <xf numFmtId="184" fontId="28" fillId="12" borderId="134" xfId="9" applyNumberFormat="1" applyFont="1" applyFill="1" applyBorder="1" applyAlignment="1">
      <alignment horizontal="left" vertical="center" wrapText="1"/>
    </xf>
    <xf numFmtId="184" fontId="28" fillId="12" borderId="133" xfId="5" applyNumberFormat="1" applyFont="1" applyFill="1" applyBorder="1" applyAlignment="1">
      <alignment horizontal="left" vertical="center" wrapText="1"/>
    </xf>
    <xf numFmtId="184"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4" fontId="28" fillId="12" borderId="117" xfId="5" applyNumberFormat="1" applyFont="1" applyFill="1" applyBorder="1" applyAlignment="1">
      <alignment horizontal="left" vertical="center" wrapText="1"/>
    </xf>
    <xf numFmtId="184"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4"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4" fontId="28" fillId="12" borderId="139" xfId="5" applyNumberFormat="1" applyFont="1" applyFill="1" applyBorder="1" applyAlignment="1">
      <alignment horizontal="left" vertical="center" wrapText="1"/>
    </xf>
    <xf numFmtId="184" fontId="28" fillId="12" borderId="140" xfId="5" applyNumberFormat="1" applyFont="1" applyFill="1" applyBorder="1" applyAlignment="1">
      <alignment horizontal="left" vertical="center" wrapText="1"/>
    </xf>
    <xf numFmtId="184"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1" fontId="67" fillId="0" borderId="0" xfId="5" applyNumberFormat="1" applyFont="1" applyAlignment="1">
      <alignment horizontal="left" vertical="center"/>
    </xf>
    <xf numFmtId="187" fontId="67" fillId="0" borderId="115" xfId="5" applyNumberFormat="1" applyFont="1" applyBorder="1" applyAlignment="1">
      <alignment horizontal="left" vertical="center"/>
    </xf>
    <xf numFmtId="187" fontId="67" fillId="0" borderId="0" xfId="5" applyNumberFormat="1" applyFont="1" applyAlignment="1">
      <alignment horizontal="left" vertical="center"/>
    </xf>
    <xf numFmtId="181"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4"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1"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2" fontId="67" fillId="0" borderId="0" xfId="5" applyNumberFormat="1" applyFont="1" applyAlignment="1">
      <alignment horizontal="left" vertical="center"/>
    </xf>
    <xf numFmtId="192" fontId="67" fillId="0" borderId="115" xfId="5" applyNumberFormat="1" applyFont="1" applyBorder="1" applyAlignment="1">
      <alignment horizontal="left" vertical="center"/>
    </xf>
    <xf numFmtId="192"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2" fontId="90" fillId="0" borderId="0" xfId="5" applyNumberFormat="1" applyFont="1" applyAlignment="1">
      <alignment horizontal="left" vertical="center"/>
    </xf>
    <xf numFmtId="192" fontId="90" fillId="0" borderId="115" xfId="5" applyNumberFormat="1" applyFont="1" applyBorder="1" applyAlignment="1">
      <alignment horizontal="left" vertical="center"/>
    </xf>
    <xf numFmtId="181" fontId="67" fillId="0" borderId="17" xfId="5" applyNumberFormat="1" applyFont="1" applyBorder="1" applyAlignment="1">
      <alignment horizontal="left" vertical="center"/>
    </xf>
    <xf numFmtId="193" fontId="67" fillId="0" borderId="0" xfId="5" applyNumberFormat="1" applyFont="1" applyAlignment="1">
      <alignment horizontal="left" vertical="center"/>
    </xf>
    <xf numFmtId="193" fontId="67" fillId="0" borderId="17" xfId="5" applyNumberFormat="1" applyFont="1" applyBorder="1" applyAlignment="1">
      <alignment horizontal="left" vertical="center"/>
    </xf>
    <xf numFmtId="193"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80"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5" fontId="1" fillId="0" borderId="0" xfId="10" applyNumberFormat="1" applyProtection="1">
      <alignment vertical="center"/>
    </xf>
    <xf numFmtId="0" fontId="1" fillId="0" borderId="0" xfId="10" applyNumberFormat="1" applyProtection="1">
      <alignment vertical="center"/>
    </xf>
    <xf numFmtId="183"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5"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5"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3"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3"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3" fontId="0" fillId="2" borderId="13"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35"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5"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4"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4"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7"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4" fontId="19" fillId="2" borderId="35" xfId="11" applyNumberFormat="1" applyFont="1" applyFill="1" applyBorder="1" applyAlignment="1" applyProtection="1">
      <alignment horizontal="center" vertical="center" wrapText="1"/>
    </xf>
    <xf numFmtId="194"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4"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7"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4"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1"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4"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5"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1" fontId="90" fillId="0" borderId="1" xfId="11" applyNumberFormat="1" applyFont="1" applyFill="1" applyBorder="1" applyAlignment="1" applyProtection="1">
      <alignment horizontal="center" vertical="center"/>
      <protection locked="0"/>
    </xf>
    <xf numFmtId="181" fontId="90" fillId="2" borderId="1" xfId="11" applyNumberFormat="1" applyFont="1" applyFill="1" applyBorder="1" applyAlignment="1" applyProtection="1">
      <alignment horizontal="center" vertical="center"/>
    </xf>
    <xf numFmtId="194"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4" fontId="125" fillId="2" borderId="1" xfId="11" applyNumberFormat="1" applyFont="1" applyFill="1" applyBorder="1" applyAlignment="1" applyProtection="1">
      <alignment horizontal="center" vertical="center"/>
    </xf>
    <xf numFmtId="194" fontId="125" fillId="2" borderId="1" xfId="11" applyNumberFormat="1" applyFont="1" applyFill="1" applyBorder="1" applyAlignment="1" applyProtection="1">
      <alignment horizontal="center" vertical="center"/>
    </xf>
    <xf numFmtId="181" fontId="139" fillId="2" borderId="1" xfId="11" applyNumberFormat="1" applyFont="1" applyFill="1" applyBorder="1" applyAlignment="1" applyProtection="1">
      <alignment horizontal="center" vertical="center"/>
    </xf>
    <xf numFmtId="194"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5"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1"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3"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1"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5"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5"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1"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3"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6" fontId="142" fillId="2" borderId="54" xfId="0" applyNumberFormat="1" applyFont="1" applyFill="1" applyBorder="1" applyAlignment="1" applyProtection="1">
      <alignment horizontal="center" vertical="center"/>
    </xf>
    <xf numFmtId="186"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6" fontId="34" fillId="7" borderId="11" xfId="0" applyNumberFormat="1" applyFont="1" applyFill="1" applyBorder="1" applyAlignment="1" applyProtection="1">
      <alignment horizontal="center" vertical="center"/>
    </xf>
    <xf numFmtId="183" fontId="34" fillId="2" borderId="46" xfId="0" applyNumberFormat="1" applyFont="1" applyFill="1" applyBorder="1" applyAlignment="1" applyProtection="1">
      <alignment horizontal="left" vertical="center" wrapText="1"/>
    </xf>
    <xf numFmtId="186"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1" fontId="30" fillId="0" borderId="43" xfId="0" applyNumberFormat="1" applyFont="1" applyFill="1" applyBorder="1" applyAlignment="1" applyProtection="1">
      <alignment horizontal="center" vertical="center" wrapText="1"/>
      <protection locked="0"/>
    </xf>
    <xf numFmtId="193"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90"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1"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xf>
    <xf numFmtId="187"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1"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3"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1" fontId="18" fillId="2" borderId="1" xfId="0" applyNumberFormat="1" applyFont="1" applyFill="1" applyBorder="1" applyAlignment="1" applyProtection="1">
      <alignment horizontal="center" vertical="center"/>
    </xf>
    <xf numFmtId="185" fontId="18" fillId="2" borderId="1" xfId="13" applyNumberFormat="1" applyFont="1" applyFill="1" applyBorder="1" applyAlignment="1" applyProtection="1">
      <alignment horizontal="center"/>
    </xf>
    <xf numFmtId="187"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1" fontId="18" fillId="2" borderId="1" xfId="13" applyNumberFormat="1" applyFont="1" applyFill="1" applyBorder="1" applyAlignment="1" applyProtection="1">
      <alignment horizontal="center"/>
    </xf>
    <xf numFmtId="181"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1"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1"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1"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1"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4" fontId="147" fillId="2" borderId="1" xfId="0" applyNumberFormat="1" applyFont="1" applyFill="1" applyBorder="1" applyAlignment="1" applyProtection="1">
      <alignment horizontal="center" vertical="center"/>
    </xf>
    <xf numFmtId="181"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4" fontId="23" fillId="2" borderId="9" xfId="0" applyNumberFormat="1" applyFont="1" applyFill="1" applyBorder="1" applyAlignment="1" applyProtection="1">
      <alignment horizontal="center"/>
    </xf>
    <xf numFmtId="194" fontId="147" fillId="2" borderId="9" xfId="0" applyNumberFormat="1" applyFont="1" applyFill="1" applyBorder="1" applyAlignment="1" applyProtection="1">
      <alignment horizontal="center" vertical="center"/>
    </xf>
    <xf numFmtId="181"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94" fontId="147" fillId="2" borderId="106" xfId="0" applyNumberFormat="1" applyFont="1" applyFill="1" applyBorder="1" applyAlignment="1" applyProtection="1">
      <alignment horizontal="center" vertical="center"/>
    </xf>
    <xf numFmtId="181"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3"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1"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5"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7"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1"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1"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5"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1" fontId="18" fillId="2" borderId="12" xfId="13" applyNumberFormat="1" applyFont="1" applyFill="1" applyBorder="1" applyAlignment="1" applyProtection="1">
      <alignment vertical="center"/>
    </xf>
    <xf numFmtId="181"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1"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1"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4" fontId="18" fillId="2" borderId="11" xfId="0" applyNumberFormat="1" applyFont="1" applyFill="1" applyBorder="1" applyAlignment="1" applyProtection="1">
      <alignment horizontal="center" vertical="center"/>
    </xf>
    <xf numFmtId="194"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1"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4"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1" fontId="18" fillId="2" borderId="8" xfId="0" applyNumberFormat="1" applyFont="1" applyFill="1" applyBorder="1" applyAlignment="1" applyProtection="1">
      <alignment horizontal="center" vertical="center" wrapText="1"/>
    </xf>
    <xf numFmtId="194" fontId="18" fillId="2" borderId="8" xfId="0" applyNumberFormat="1" applyFont="1" applyFill="1" applyBorder="1" applyAlignment="1" applyProtection="1">
      <alignment horizontal="center" vertical="center"/>
    </xf>
    <xf numFmtId="181"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5"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7"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5"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5"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1"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1"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1"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1"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1"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1"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1"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7"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8"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7"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7"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5"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5"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5"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5"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2"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181" fontId="146" fillId="2" borderId="6" xfId="13" applyNumberFormat="1" applyFont="1" applyFill="1" applyBorder="1" applyAlignment="1" applyProtection="1">
      <alignment horizontal="left" vertical="center"/>
    </xf>
    <xf numFmtId="181" fontId="44" fillId="2" borderId="1" xfId="13" applyNumberFormat="1" applyFont="1" applyFill="1" applyBorder="1" applyAlignment="1" applyProtection="1">
      <alignment vertical="center"/>
    </xf>
    <xf numFmtId="181" fontId="30" fillId="5" borderId="10" xfId="13" applyNumberFormat="1" applyFont="1" applyFill="1" applyBorder="1" applyAlignment="1" applyProtection="1">
      <alignment vertical="center"/>
      <protection locked="0"/>
    </xf>
    <xf numFmtId="181" fontId="30" fillId="2" borderId="6" xfId="13" applyNumberFormat="1"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185" fontId="34" fillId="2" borderId="1" xfId="13" applyNumberFormat="1" applyFont="1" applyFill="1" applyBorder="1" applyAlignment="1" applyProtection="1">
      <alignment horizontal="center" vertical="center"/>
    </xf>
    <xf numFmtId="192" fontId="34" fillId="2" borderId="1" xfId="13" applyNumberFormat="1" applyFont="1" applyFill="1" applyBorder="1" applyAlignment="1" applyProtection="1">
      <alignment horizontal="center" vertical="center"/>
    </xf>
    <xf numFmtId="187" fontId="67" fillId="0" borderId="1" xfId="0" applyNumberFormat="1" applyFont="1" applyFill="1" applyBorder="1" applyAlignment="1" applyProtection="1">
      <alignment horizontal="center" vertical="center"/>
      <protection locked="0"/>
    </xf>
    <xf numFmtId="187" fontId="30" fillId="0" borderId="1" xfId="0" applyNumberFormat="1" applyFont="1" applyFill="1" applyBorder="1" applyAlignment="1" applyProtection="1">
      <alignment horizontal="center" vertical="center"/>
      <protection locked="0"/>
    </xf>
    <xf numFmtId="181" fontId="30" fillId="2" borderId="6" xfId="13" applyNumberFormat="1" applyFont="1" applyFill="1" applyBorder="1" applyAlignment="1" applyProtection="1">
      <alignment horizontal="left" vertical="center" wrapText="1"/>
    </xf>
    <xf numFmtId="181" fontId="30" fillId="2" borderId="1" xfId="13" applyNumberFormat="1" applyFont="1" applyFill="1" applyBorder="1" applyAlignment="1" applyProtection="1">
      <alignment vertical="center"/>
    </xf>
    <xf numFmtId="181" fontId="30" fillId="2" borderId="10" xfId="13" applyNumberFormat="1"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81"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7"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5"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5" fontId="30" fillId="9" borderId="0" xfId="0" applyNumberFormat="1" applyFont="1" applyFill="1" applyAlignment="1" applyProtection="1">
      <alignment vertical="center"/>
      <protection locked="0"/>
    </xf>
    <xf numFmtId="183" fontId="34" fillId="2" borderId="4" xfId="13" applyNumberFormat="1" applyFont="1" applyFill="1" applyBorder="1" applyAlignment="1" applyProtection="1">
      <alignment vertical="center" wrapText="1"/>
    </xf>
    <xf numFmtId="183"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3" fontId="34" fillId="2" borderId="6" xfId="13" applyNumberFormat="1" applyFont="1" applyFill="1" applyBorder="1" applyAlignment="1" applyProtection="1">
      <alignment vertical="center" wrapText="1"/>
    </xf>
    <xf numFmtId="183" fontId="30" fillId="0" borderId="14" xfId="13" applyNumberFormat="1" applyFont="1" applyFill="1" applyBorder="1" applyAlignment="1" applyProtection="1">
      <alignment horizontal="center" vertical="center"/>
      <protection locked="0"/>
    </xf>
    <xf numFmtId="183" fontId="30" fillId="2" borderId="6" xfId="13" applyNumberFormat="1" applyFont="1" applyFill="1" applyBorder="1" applyAlignment="1" applyProtection="1">
      <alignment vertical="center" wrapText="1"/>
    </xf>
    <xf numFmtId="183" fontId="34" fillId="2" borderId="14" xfId="13" applyNumberFormat="1" applyFont="1" applyFill="1" applyBorder="1" applyAlignment="1" applyProtection="1">
      <alignment horizontal="center" vertical="center"/>
    </xf>
    <xf numFmtId="183" fontId="34" fillId="2" borderId="7" xfId="13" applyNumberFormat="1" applyFont="1" applyFill="1" applyBorder="1" applyAlignment="1" applyProtection="1">
      <alignment vertical="center" wrapText="1"/>
    </xf>
    <xf numFmtId="183"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5"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7"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7" fontId="18" fillId="0" borderId="14" xfId="0" applyNumberFormat="1" applyFont="1" applyFill="1" applyBorder="1" applyAlignment="1" applyProtection="1">
      <alignment horizontal="center" vertical="center"/>
      <protection locked="0"/>
    </xf>
    <xf numFmtId="185" fontId="152" fillId="9" borderId="0" xfId="0" applyNumberFormat="1" applyFont="1" applyFill="1" applyAlignment="1" applyProtection="1">
      <alignment vertical="center"/>
    </xf>
    <xf numFmtId="187" fontId="18" fillId="0" borderId="15" xfId="0" applyNumberFormat="1" applyFont="1" applyFill="1" applyBorder="1" applyAlignment="1" applyProtection="1">
      <alignment horizontal="center" vertical="center"/>
      <protection locked="0"/>
    </xf>
    <xf numFmtId="187"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7" fontId="49" fillId="9" borderId="0" xfId="0" applyNumberFormat="1" applyFont="1" applyFill="1" applyAlignment="1" applyProtection="1">
      <alignment horizontal="center" vertical="center"/>
    </xf>
    <xf numFmtId="182"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3"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5"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5"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1"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5"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5" fontId="30" fillId="2" borderId="6" xfId="13" applyNumberFormat="1" applyFont="1" applyFill="1" applyBorder="1" applyAlignment="1" applyProtection="1">
      <alignment horizontal="center" vertical="center"/>
    </xf>
    <xf numFmtId="181"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1"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1"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5"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7" fontId="30" fillId="0" borderId="1" xfId="0" applyNumberFormat="1" applyFont="1" applyBorder="1" applyAlignment="1" applyProtection="1">
      <alignment vertical="center"/>
      <protection locked="0"/>
    </xf>
    <xf numFmtId="187"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7"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7"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5" fontId="30" fillId="2" borderId="7" xfId="13" applyNumberFormat="1" applyFont="1" applyFill="1" applyBorder="1" applyAlignment="1" applyProtection="1">
      <alignment horizontal="center" vertical="center"/>
    </xf>
    <xf numFmtId="185"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7"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7"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7"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2" fontId="30" fillId="0" borderId="1" xfId="0" applyNumberFormat="1" applyFont="1" applyBorder="1" applyAlignment="1" applyProtection="1">
      <alignment horizontal="center" vertical="center"/>
      <protection locked="0"/>
    </xf>
    <xf numFmtId="187"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7"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187"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3"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3"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3"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3"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3" fontId="39" fillId="2" borderId="39" xfId="13" applyNumberFormat="1" applyFont="1" applyFill="1" applyBorder="1" applyAlignment="1" applyProtection="1">
      <alignment horizontal="center" vertical="center"/>
    </xf>
    <xf numFmtId="183" fontId="39" fillId="2" borderId="78" xfId="13" applyNumberFormat="1" applyFont="1" applyFill="1" applyBorder="1" applyAlignment="1" applyProtection="1">
      <alignment horizontal="center" vertical="center"/>
    </xf>
    <xf numFmtId="183"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3"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1" fontId="26" fillId="0" borderId="1" xfId="13" applyNumberFormat="1" applyFont="1" applyFill="1" applyBorder="1" applyAlignment="1" applyProtection="1">
      <alignment vertical="center"/>
      <protection locked="0" hidden="1"/>
    </xf>
    <xf numFmtId="183"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1"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1" fontId="30" fillId="0" borderId="11" xfId="13" applyNumberFormat="1" applyFont="1" applyFill="1" applyBorder="1" applyAlignment="1" applyProtection="1">
      <alignment vertical="center"/>
      <protection locked="0"/>
    </xf>
    <xf numFmtId="183" fontId="30" fillId="2" borderId="1" xfId="0" applyNumberFormat="1" applyFont="1" applyFill="1" applyBorder="1" applyAlignment="1" applyProtection="1">
      <alignment horizontal="center" vertical="center"/>
    </xf>
    <xf numFmtId="183"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5" fontId="41" fillId="2" borderId="97" xfId="0" applyNumberFormat="1" applyFont="1" applyFill="1" applyBorder="1" applyAlignment="1" applyProtection="1">
      <alignment vertical="center"/>
    </xf>
    <xf numFmtId="185" fontId="41" fillId="2" borderId="8" xfId="0" applyNumberFormat="1" applyFont="1" applyFill="1" applyBorder="1" applyAlignment="1" applyProtection="1">
      <alignment vertical="center"/>
    </xf>
    <xf numFmtId="185"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3"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5" fontId="41" fillId="5" borderId="14" xfId="0" applyNumberFormat="1" applyFont="1" applyFill="1" applyBorder="1" applyAlignment="1" applyProtection="1">
      <alignment horizontal="center" vertical="center"/>
      <protection locked="0"/>
    </xf>
    <xf numFmtId="185"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3"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3"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3"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5" fontId="18" fillId="0" borderId="1" xfId="0" applyNumberFormat="1" applyFont="1" applyBorder="1" applyAlignment="1" applyProtection="1">
      <alignment horizontal="center" vertical="center" wrapText="1"/>
      <protection locked="0"/>
    </xf>
    <xf numFmtId="185"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wrapText="1"/>
    </xf>
    <xf numFmtId="185" fontId="20" fillId="2" borderId="0" xfId="0" applyNumberFormat="1" applyFont="1" applyFill="1" applyBorder="1" applyAlignment="1" applyProtection="1">
      <alignment horizontal="center" vertical="center" wrapText="1"/>
    </xf>
    <xf numFmtId="183" fontId="18" fillId="2" borderId="1" xfId="0" applyNumberFormat="1" applyFont="1" applyFill="1" applyBorder="1" applyAlignment="1" applyProtection="1">
      <alignment horizontal="center" vertical="center" wrapText="1"/>
    </xf>
    <xf numFmtId="183" fontId="18" fillId="2" borderId="12" xfId="0" applyNumberFormat="1" applyFont="1" applyFill="1" applyBorder="1" applyAlignment="1" applyProtection="1">
      <alignment horizontal="center" vertical="center" wrapText="1"/>
    </xf>
    <xf numFmtId="183" fontId="18" fillId="2" borderId="11" xfId="0" applyNumberFormat="1" applyFont="1" applyFill="1" applyBorder="1" applyAlignment="1" applyProtection="1">
      <alignment horizontal="center" vertical="center" wrapText="1"/>
    </xf>
    <xf numFmtId="183"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5" fontId="18" fillId="2" borderId="10" xfId="0" applyNumberFormat="1"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xf>
    <xf numFmtId="185"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3" fontId="18" fillId="0" borderId="3" xfId="0" applyNumberFormat="1" applyFont="1" applyFill="1" applyBorder="1" applyAlignment="1" applyProtection="1">
      <alignment horizontal="center" vertical="center" wrapText="1"/>
      <protection locked="0"/>
    </xf>
    <xf numFmtId="183"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3" fontId="30" fillId="2" borderId="1" xfId="0" applyNumberFormat="1" applyFont="1" applyFill="1" applyBorder="1" applyAlignment="1" applyProtection="1">
      <alignment horizontal="center" vertical="center" wrapText="1"/>
    </xf>
    <xf numFmtId="183" fontId="30" fillId="0" borderId="3" xfId="0" applyNumberFormat="1" applyFont="1" applyFill="1" applyBorder="1" applyAlignment="1" applyProtection="1">
      <alignment horizontal="center" vertical="center" wrapText="1"/>
      <protection locked="0"/>
    </xf>
    <xf numFmtId="183" fontId="30" fillId="2" borderId="3" xfId="0" applyNumberFormat="1" applyFont="1" applyFill="1" applyBorder="1" applyAlignment="1" applyProtection="1">
      <alignment horizontal="center" vertical="center" wrapText="1"/>
    </xf>
    <xf numFmtId="183"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3" fontId="26" fillId="0" borderId="1" xfId="0" applyNumberFormat="1" applyFont="1" applyBorder="1" applyAlignment="1" applyProtection="1">
      <alignment vertical="center" wrapText="1"/>
      <protection locked="0"/>
    </xf>
    <xf numFmtId="183" fontId="18" fillId="0" borderId="1" xfId="0" applyNumberFormat="1" applyFont="1" applyBorder="1" applyAlignment="1" applyProtection="1">
      <alignment vertical="center" wrapText="1"/>
      <protection locked="0"/>
    </xf>
    <xf numFmtId="183"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5"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5"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5" fontId="18" fillId="2" borderId="3" xfId="0" applyNumberFormat="1" applyFont="1" applyFill="1" applyBorder="1" applyAlignment="1" applyProtection="1">
      <alignment horizontal="center" vertical="center" wrapText="1"/>
    </xf>
    <xf numFmtId="183" fontId="26" fillId="0" borderId="1" xfId="0" applyNumberFormat="1" applyFont="1" applyBorder="1" applyAlignment="1" applyProtection="1">
      <alignment horizontal="center" vertical="center" wrapText="1"/>
      <protection locked="0"/>
    </xf>
    <xf numFmtId="183"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3"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5" fontId="18" fillId="2" borderId="34" xfId="0" applyNumberFormat="1" applyFont="1" applyFill="1" applyBorder="1" applyAlignment="1" applyProtection="1">
      <alignment horizontal="center" vertical="center" wrapText="1"/>
    </xf>
    <xf numFmtId="183"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3"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3" fontId="18" fillId="0" borderId="1" xfId="0" applyNumberFormat="1" applyFont="1" applyFill="1" applyBorder="1" applyAlignment="1" applyProtection="1">
      <alignment horizontal="center" vertical="center" wrapText="1"/>
      <protection locked="0"/>
    </xf>
    <xf numFmtId="183"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3" fontId="18" fillId="2" borderId="5" xfId="0" applyNumberFormat="1" applyFont="1" applyFill="1" applyBorder="1" applyAlignment="1" applyProtection="1">
      <alignment horizontal="center" vertical="center" wrapText="1"/>
    </xf>
    <xf numFmtId="183" fontId="18" fillId="2" borderId="6" xfId="0" applyNumberFormat="1" applyFont="1" applyFill="1" applyBorder="1" applyAlignment="1" applyProtection="1">
      <alignment horizontal="center" vertical="center" wrapText="1"/>
    </xf>
    <xf numFmtId="185"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5"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xf>
    <xf numFmtId="183" fontId="18" fillId="2" borderId="13" xfId="0" applyNumberFormat="1" applyFont="1" applyFill="1" applyBorder="1" applyAlignment="1" applyProtection="1">
      <alignment horizontal="center" vertical="center" wrapText="1"/>
    </xf>
    <xf numFmtId="183"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3" fontId="30" fillId="2" borderId="14" xfId="0" applyNumberFormat="1" applyFont="1" applyFill="1" applyBorder="1" applyAlignment="1" applyProtection="1">
      <alignment horizontal="center" vertical="center" wrapText="1"/>
    </xf>
    <xf numFmtId="183"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3"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1" fontId="181" fillId="3" borderId="1" xfId="13" applyNumberFormat="1" applyFont="1" applyFill="1" applyBorder="1" applyAlignment="1" applyProtection="1">
      <alignment horizontal="center" vertical="center"/>
      <protection locked="0"/>
    </xf>
    <xf numFmtId="185" fontId="181" fillId="2" borderId="9" xfId="0" applyNumberFormat="1" applyFont="1" applyFill="1" applyBorder="1" applyAlignment="1" applyProtection="1">
      <alignment horizontal="center" vertical="center" wrapText="1"/>
    </xf>
    <xf numFmtId="185"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90"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90"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3"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8"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90"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8"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90"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90"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3"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8"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90"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90"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8"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1"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5"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76" fillId="9" borderId="0" xfId="0" applyFont="1" applyFill="1" applyAlignment="1" applyProtection="1">
      <alignment horizontal="center" vertical="center"/>
      <protection locked="0"/>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185" fontId="181" fillId="6" borderId="10" xfId="0" applyNumberFormat="1" applyFont="1" applyFill="1" applyBorder="1" applyAlignment="1" applyProtection="1">
      <alignment horizontal="center" vertical="center" wrapText="1"/>
      <protection locked="0"/>
    </xf>
    <xf numFmtId="185" fontId="181" fillId="6" borderId="12" xfId="0" applyNumberFormat="1" applyFont="1" applyFill="1" applyBorder="1" applyAlignment="1" applyProtection="1">
      <alignment horizontal="center" vertical="center" wrapText="1"/>
      <protection locked="0"/>
    </xf>
    <xf numFmtId="185"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34167</v>
      </c>
    </row>
    <row r="47" spans="1:2">
      <c r="A47" s="3609" t="s">
        <v>47</v>
      </c>
      <c r="B47" s="3611">
        <f ca="1">'预评函-2'!Q5</f>
        <v>9935</v>
      </c>
    </row>
    <row r="48" spans="1:2">
      <c r="A48" s="3609" t="s">
        <v>48</v>
      </c>
      <c r="B48" s="3611">
        <f ca="1">'预评函-2'!R5</f>
        <v>188725</v>
      </c>
    </row>
    <row r="49" spans="1:2">
      <c r="A49" s="3609" t="s">
        <v>49</v>
      </c>
      <c r="B49" s="3611" t="str">
        <f>'预评函-2'!A6</f>
        <v>抵押价格</v>
      </c>
    </row>
    <row r="50" spans="1:2">
      <c r="A50" s="3609" t="s">
        <v>50</v>
      </c>
      <c r="B50" s="3611">
        <f ca="1">'预评函-2'!R6</f>
        <v>188725</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178745</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684" t="str">
        <f>IF(B10="北京市","北京市",C10)&amp;F10&amp;A17&amp;"国有建设用地使用权"&amp;B9&amp;"预评估"</f>
        <v>北京市出让国有建设用地使用权抵押价格预评估</v>
      </c>
      <c r="C1" s="3685"/>
      <c r="D1" s="3685"/>
      <c r="E1" s="3685"/>
      <c r="F1" s="3685"/>
      <c r="G1" s="3685"/>
      <c r="H1" s="3685"/>
      <c r="I1" s="3686"/>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693"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694"/>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687"/>
      <c r="C12" s="3688"/>
      <c r="D12" s="3689"/>
      <c r="E12" s="3306" t="s">
        <v>430</v>
      </c>
      <c r="F12" s="3690" t="s">
        <v>431</v>
      </c>
      <c r="G12" s="3691"/>
      <c r="H12" s="3691"/>
      <c r="I12" s="3692"/>
      <c r="J12" s="3267"/>
      <c r="K12" s="3395"/>
      <c r="L12" s="3391"/>
      <c r="M12" s="3391"/>
      <c r="N12" s="3392"/>
      <c r="O12" s="3393"/>
      <c r="P12" s="3392"/>
      <c r="Q12" s="3392"/>
      <c r="R12" s="3392"/>
      <c r="S12" s="3392"/>
      <c r="T12" s="3392"/>
      <c r="U12" s="3392"/>
    </row>
    <row r="13" spans="1:21">
      <c r="A13" s="3307" t="s">
        <v>432</v>
      </c>
      <c r="B13" s="3687"/>
      <c r="C13" s="3688"/>
      <c r="D13" s="3689"/>
      <c r="E13" s="3306" t="s">
        <v>430</v>
      </c>
      <c r="F13" s="3690" t="s">
        <v>433</v>
      </c>
      <c r="G13" s="3691"/>
      <c r="H13" s="3691"/>
      <c r="I13" s="3692"/>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695"/>
      <c r="E20" s="3696"/>
      <c r="F20" s="3696"/>
      <c r="G20" s="3696"/>
      <c r="H20" s="3696"/>
      <c r="I20" s="3697"/>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698" t="s">
        <v>446</v>
      </c>
      <c r="F21" s="3699"/>
      <c r="G21" s="3699"/>
      <c r="H21" s="3699"/>
      <c r="I21" s="3700"/>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698" t="s">
        <v>431</v>
      </c>
      <c r="F22" s="3699"/>
      <c r="G22" s="3699"/>
      <c r="H22" s="3699"/>
      <c r="I22" s="3700"/>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01" t="s">
        <v>451</v>
      </c>
      <c r="C24" s="3702"/>
      <c r="D24" s="3703" t="s">
        <v>452</v>
      </c>
      <c r="E24" s="3704"/>
      <c r="F24" s="3339" t="s">
        <v>453</v>
      </c>
      <c r="G24" s="3267"/>
      <c r="H24" s="3267"/>
      <c r="I24" s="3397"/>
      <c r="J24" s="3267"/>
      <c r="K24" s="3705"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705"/>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705"/>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708" t="s">
        <v>464</v>
      </c>
      <c r="B31" s="3327" t="s">
        <v>465</v>
      </c>
      <c r="C31" s="3714"/>
      <c r="D31" s="3715"/>
      <c r="E31" s="3267"/>
      <c r="F31" s="3267"/>
      <c r="G31" s="3267"/>
      <c r="H31" s="3267"/>
      <c r="I31" s="3397"/>
      <c r="J31" s="3267"/>
      <c r="K31" s="3404"/>
      <c r="L31" s="3392"/>
      <c r="M31" s="3392"/>
      <c r="N31" s="3392"/>
      <c r="O31" s="3392"/>
      <c r="P31" s="3392"/>
      <c r="Q31" s="3392"/>
      <c r="R31" s="3392"/>
      <c r="S31" s="3392"/>
      <c r="T31" s="3392"/>
      <c r="U31" s="3392"/>
    </row>
    <row r="32" spans="1:21">
      <c r="A32" s="3708"/>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708"/>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709"/>
      <c r="B34" s="3269" t="s">
        <v>468</v>
      </c>
      <c r="C34" s="3716"/>
      <c r="D34" s="3717"/>
      <c r="E34" s="3267"/>
      <c r="F34" s="3267"/>
      <c r="G34" s="3267"/>
      <c r="H34" s="3267"/>
      <c r="I34" s="3397"/>
      <c r="J34" s="3267"/>
      <c r="K34" s="3404"/>
      <c r="L34" s="3392"/>
      <c r="M34" s="3392"/>
      <c r="N34" s="3392"/>
      <c r="O34" s="3392"/>
      <c r="P34" s="3392"/>
      <c r="Q34" s="3392"/>
      <c r="R34" s="3392"/>
      <c r="S34" s="3392"/>
      <c r="T34" s="3392"/>
      <c r="U34" s="3392"/>
    </row>
    <row r="35" spans="1:28">
      <c r="A35" s="3710" t="s">
        <v>469</v>
      </c>
      <c r="B35" s="3316"/>
      <c r="C35" s="3367" t="str">
        <f>IF(B35="场地平整","——","具体情况：")</f>
        <v>具体情况：</v>
      </c>
      <c r="D35" s="3718"/>
      <c r="E35" s="3719"/>
      <c r="F35" s="3719"/>
      <c r="G35" s="3719"/>
      <c r="H35" s="3719"/>
      <c r="I35" s="3720"/>
      <c r="J35" s="3267"/>
      <c r="K35" s="3405"/>
      <c r="L35" s="3391"/>
      <c r="M35" s="3391"/>
      <c r="N35" s="3392"/>
      <c r="O35" s="3393"/>
      <c r="P35" s="3392"/>
      <c r="Q35" s="3392"/>
      <c r="R35" s="3392"/>
      <c r="S35" s="3392"/>
      <c r="T35" s="3392"/>
      <c r="U35" s="3392"/>
    </row>
    <row r="36" spans="1:28">
      <c r="A36" s="3708"/>
      <c r="B36" s="3721" t="s">
        <v>470</v>
      </c>
      <c r="C36" s="3722"/>
      <c r="D36" s="3368"/>
      <c r="E36" s="3723"/>
      <c r="F36" s="3723"/>
      <c r="G36" s="3307" t="str">
        <f>IF(B35="场地未平整","估价结果处理","")</f>
        <v/>
      </c>
      <c r="H36" s="3724"/>
      <c r="I36" s="3724"/>
      <c r="J36" s="3267"/>
      <c r="K36" s="3405"/>
      <c r="L36" s="3391"/>
      <c r="M36" s="3391"/>
      <c r="N36" s="3392"/>
      <c r="O36" s="3393"/>
      <c r="P36" s="3392"/>
      <c r="Q36" s="3392"/>
      <c r="R36" s="3392"/>
      <c r="S36" s="3392"/>
      <c r="T36" s="3392"/>
      <c r="U36" s="3392"/>
    </row>
    <row r="37" spans="1:28" ht="28.5">
      <c r="A37" s="3708"/>
      <c r="B37" s="3711"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708"/>
      <c r="B38" s="3712"/>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709"/>
      <c r="B39" s="3713"/>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706" t="s">
        <v>379</v>
      </c>
      <c r="T40" s="3306" t="str">
        <f>NUMBERSTRING(7-K40,1)&amp;"通"</f>
        <v>七通</v>
      </c>
      <c r="U40" s="3392"/>
    </row>
    <row r="41" spans="1:28">
      <c r="A41" s="3279"/>
      <c r="B41" s="3707" t="s">
        <v>425</v>
      </c>
      <c r="C41" s="3707"/>
      <c r="D41" s="3707"/>
      <c r="E41" s="3707"/>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706"/>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K34" sqref="AK34"/>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hidden="1" customWidth="1"/>
    <col min="18" max="18" width="9.25" style="3147" hidden="1" customWidth="1"/>
    <col min="19" max="19" width="10.875" style="3147" hidden="1" customWidth="1"/>
    <col min="20" max="21" width="10.75" style="3147" hidden="1" customWidth="1"/>
    <col min="22" max="22" width="10.875" style="3147" hidden="1" customWidth="1"/>
    <col min="23" max="27" width="10.75" style="3147" hidden="1" customWidth="1"/>
    <col min="28" max="28" width="10.875" style="3147" hidden="1"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764</v>
      </c>
      <c r="AE5" s="3157">
        <f t="shared" si="0"/>
        <v>0</v>
      </c>
      <c r="AF5" s="3157">
        <f t="shared" si="0"/>
        <v>4711</v>
      </c>
      <c r="AG5" s="3157">
        <f t="shared" si="0"/>
        <v>0</v>
      </c>
      <c r="AH5" s="3157">
        <f t="shared" si="0"/>
        <v>100</v>
      </c>
      <c r="AI5" s="3157">
        <f t="shared" si="0"/>
        <v>0</v>
      </c>
      <c r="AJ5" s="3157">
        <f t="shared" si="0"/>
        <v>50</v>
      </c>
      <c r="AK5" s="3157">
        <f t="shared" si="0"/>
        <v>0</v>
      </c>
      <c r="AL5" s="3157">
        <f t="shared" si="0"/>
        <v>0</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764</v>
      </c>
      <c r="BN5" s="3238">
        <f t="shared" si="1"/>
        <v>4711</v>
      </c>
      <c r="BO5" s="3238">
        <f t="shared" si="1"/>
        <v>100</v>
      </c>
      <c r="BP5" s="3238">
        <f t="shared" si="1"/>
        <v>50</v>
      </c>
      <c r="BQ5" s="3238">
        <f t="shared" si="1"/>
        <v>0</v>
      </c>
      <c r="BR5" s="3238">
        <f t="shared" si="1"/>
        <v>5552</v>
      </c>
      <c r="BS5" s="3238">
        <f t="shared" si="1"/>
        <v>0</v>
      </c>
      <c r="BT5" s="3247">
        <f t="shared" si="1"/>
        <v>0</v>
      </c>
    </row>
    <row r="6" spans="1:72" s="3144" customFormat="1" ht="12.75">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222.16</v>
      </c>
      <c r="AE6" s="3157">
        <f t="shared" si="3"/>
        <v>0</v>
      </c>
      <c r="AF6" s="3157">
        <f t="shared" si="3"/>
        <v>1369.88</v>
      </c>
      <c r="AG6" s="3157">
        <f t="shared" si="3"/>
        <v>0</v>
      </c>
      <c r="AH6" s="3157">
        <f t="shared" si="3"/>
        <v>29.08</v>
      </c>
      <c r="AI6" s="3157">
        <f t="shared" si="3"/>
        <v>0</v>
      </c>
      <c r="AJ6" s="3157">
        <f t="shared" si="3"/>
        <v>14.54</v>
      </c>
      <c r="AK6" s="3157">
        <f t="shared" si="3"/>
        <v>0</v>
      </c>
      <c r="AL6" s="3157">
        <f t="shared" si="3"/>
        <v>0</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222.16</v>
      </c>
      <c r="BN6" s="3157">
        <f t="shared" si="5"/>
        <v>1369.88</v>
      </c>
      <c r="BO6" s="3157">
        <f t="shared" si="5"/>
        <v>29.08</v>
      </c>
      <c r="BP6" s="3157">
        <f t="shared" si="5"/>
        <v>14.54</v>
      </c>
      <c r="BQ6" s="3157">
        <f t="shared" si="5"/>
        <v>0</v>
      </c>
      <c r="BR6" s="3157">
        <f t="shared" si="5"/>
        <v>1614.43</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f>指标!AA19</f>
        <v>764</v>
      </c>
      <c r="AE13" s="3207"/>
      <c r="AF13" s="3207">
        <f>指标!AA25</f>
        <v>4711</v>
      </c>
      <c r="AG13" s="3207"/>
      <c r="AH13" s="3207">
        <f>指标!AA18</f>
        <v>100</v>
      </c>
      <c r="AI13" s="3207"/>
      <c r="AJ13" s="3207">
        <f>指标!AA24</f>
        <v>50</v>
      </c>
      <c r="AK13" s="3207"/>
      <c r="AL13" s="3207"/>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764</v>
      </c>
      <c r="BN13" s="3157">
        <f t="shared" ref="BN13:BN20" si="26">IF($D13="是",AF13-AG13,0)</f>
        <v>4711</v>
      </c>
      <c r="BO13" s="3157">
        <f t="shared" ref="BO13:BO20" si="27">IF($D13="是",AH13-AI13,0)</f>
        <v>100</v>
      </c>
      <c r="BP13" s="3157">
        <f t="shared" ref="BP13:BP20" si="28">IF($D13="是",AJ13-AK13,0)</f>
        <v>50</v>
      </c>
      <c r="BQ13" s="3157">
        <f t="shared" ref="BQ13:BQ20" si="29">IF($D13="是",AL13-AM13,0)</f>
        <v>0</v>
      </c>
      <c r="BR13" s="3157">
        <f t="shared" ref="BR13:BR20" si="30">IF($D13="是",AN13-AO13,0)</f>
        <v>5552</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70" zoomScaleSheetLayoutView="70" workbookViewId="0">
      <selection activeCell="F45" sqref="F45"/>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4" t="s">
        <v>540</v>
      </c>
      <c r="B2" s="3734"/>
      <c r="C2" s="3734"/>
      <c r="D2" s="2363" t="s">
        <v>541</v>
      </c>
      <c r="E2" s="3057" t="s">
        <v>542</v>
      </c>
      <c r="F2" s="3058"/>
      <c r="G2" s="3059"/>
      <c r="H2" s="3060"/>
      <c r="I2" s="3117" t="s">
        <v>543</v>
      </c>
      <c r="J2" s="3058"/>
      <c r="K2" s="3058"/>
      <c r="L2" s="3058"/>
      <c r="M2" s="3058"/>
      <c r="N2" s="3058"/>
      <c r="O2" s="3058"/>
      <c r="P2" s="3058"/>
    </row>
    <row r="3" spans="1:16" ht="15">
      <c r="A3" s="3735" t="s">
        <v>544</v>
      </c>
      <c r="B3" s="3735"/>
      <c r="C3" s="3735"/>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5">
      <c r="A4" s="3736"/>
      <c r="B4" s="3737"/>
      <c r="C4" s="3738"/>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9" t="s">
        <v>241</v>
      </c>
      <c r="C5" s="3739"/>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c r="A6" s="3068"/>
      <c r="B6" s="3739" t="s">
        <v>550</v>
      </c>
      <c r="C6" s="3739"/>
      <c r="D6" s="3066">
        <f>ROUND($D$3*E6/$E$3,2)</f>
        <v>17463.87</v>
      </c>
      <c r="E6" s="3067">
        <f>E3-E5</f>
        <v>60058</v>
      </c>
      <c r="F6" s="3058"/>
      <c r="G6" s="3064"/>
      <c r="H6" s="2459" t="s">
        <v>547</v>
      </c>
      <c r="I6" s="481">
        <f>ROUND(F31/D31,2)</f>
        <v>2.37</v>
      </c>
      <c r="J6" s="3058"/>
      <c r="K6" s="3058"/>
      <c r="L6" s="3058"/>
      <c r="M6" s="3058"/>
      <c r="N6" s="3058"/>
      <c r="O6" s="3058"/>
      <c r="P6" s="3058"/>
    </row>
    <row r="7" spans="1:16" ht="15">
      <c r="A7" s="3725"/>
      <c r="B7" s="3726"/>
      <c r="C7" s="3727"/>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52001.08</v>
      </c>
      <c r="E16" s="3079">
        <f>SUM(E8:E15)</f>
        <v>178831</v>
      </c>
      <c r="F16" s="3058"/>
      <c r="G16" s="3074"/>
      <c r="H16" s="3080" t="s">
        <v>564</v>
      </c>
      <c r="I16" s="3119"/>
      <c r="J16" s="3056"/>
      <c r="K16" s="3728" t="s">
        <v>565</v>
      </c>
      <c r="L16" s="3729"/>
      <c r="M16" s="3729"/>
      <c r="N16" s="3729"/>
      <c r="O16" s="3729"/>
      <c r="P16" s="3730"/>
    </row>
    <row r="17" spans="1:19" ht="15">
      <c r="A17" s="3023" t="s">
        <v>566</v>
      </c>
      <c r="B17" s="3081" t="s">
        <v>222</v>
      </c>
      <c r="C17" s="3082" t="s">
        <v>464</v>
      </c>
      <c r="D17" s="3062" t="s">
        <v>541</v>
      </c>
      <c r="E17" s="3083" t="s">
        <v>542</v>
      </c>
      <c r="F17" s="3084"/>
      <c r="G17" s="3085"/>
      <c r="H17" s="3086" t="s">
        <v>567</v>
      </c>
      <c r="I17" s="3120" t="s">
        <v>568</v>
      </c>
      <c r="J17" s="3056"/>
      <c r="K17" s="3731" t="s">
        <v>569</v>
      </c>
      <c r="L17" s="3732"/>
      <c r="M17" s="3733"/>
      <c r="N17" s="3731" t="s">
        <v>570</v>
      </c>
      <c r="O17" s="3732"/>
      <c r="P17" s="3733"/>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37772.76</v>
      </c>
      <c r="E19" s="3094">
        <f t="shared" ref="E19:E26" si="2">SUM(F19:G19)</f>
        <v>129900</v>
      </c>
      <c r="F19" s="3095">
        <f>'数据-基础表'!I13</f>
        <v>129900</v>
      </c>
      <c r="G19" s="3096"/>
      <c r="H19" s="3013">
        <f>ROUND($D$3*I19/$E$3,2)</f>
        <v>1173.02</v>
      </c>
      <c r="I19" s="3073">
        <f>IF($I$17="自定义",P19,M19)</f>
        <v>4034.01</v>
      </c>
      <c r="J19" s="3056"/>
      <c r="K19" s="3125">
        <f t="shared" ref="K19:K26" si="3">ROUND(E$28*E19/E$27,2)</f>
        <v>4034.01</v>
      </c>
      <c r="L19" s="2459">
        <f t="shared" ref="L19:L26" si="4">ROUND(IF(COUNTIF(C19,"*住宅*")&gt;0,E$29*E19/E$32,0),2)</f>
        <v>0</v>
      </c>
      <c r="M19" s="3126">
        <f>K19+L19</f>
        <v>4034.01</v>
      </c>
      <c r="N19" s="3127"/>
      <c r="O19" s="3128"/>
      <c r="P19" s="3129">
        <f>N19+O19</f>
        <v>0</v>
      </c>
      <c r="R19" s="2459">
        <f t="shared" ref="R19:S26" si="5">D19+H19</f>
        <v>38945.78</v>
      </c>
      <c r="S19" s="3141">
        <f t="shared" si="5"/>
        <v>133934.01</v>
      </c>
    </row>
    <row r="20" spans="1:19">
      <c r="A20" s="3097"/>
      <c r="B20" s="3072" t="s">
        <v>243</v>
      </c>
      <c r="C20" s="3093" t="s">
        <v>2678</v>
      </c>
      <c r="D20" s="3066">
        <f t="shared" si="1"/>
        <v>3111.38</v>
      </c>
      <c r="E20" s="3094">
        <f t="shared" si="2"/>
        <v>10700</v>
      </c>
      <c r="F20" s="3095"/>
      <c r="G20" s="3096">
        <f>'数据-基础表'!K13</f>
        <v>10700</v>
      </c>
      <c r="H20" s="3013">
        <f t="shared" ref="H20:H26" si="6">ROUND($D$3*I20/$E$3,2)</f>
        <v>96.62</v>
      </c>
      <c r="I20" s="3073">
        <f t="shared" ref="I20:I26" si="7">IF($I$17="自定义",P20,M20)</f>
        <v>332.29</v>
      </c>
      <c r="J20" s="3056"/>
      <c r="K20" s="3125">
        <f t="shared" si="3"/>
        <v>332.29</v>
      </c>
      <c r="L20" s="2459">
        <f t="shared" si="4"/>
        <v>0</v>
      </c>
      <c r="M20" s="3126">
        <f t="shared" ref="M20:M26" si="8">K20+L20</f>
        <v>332.29</v>
      </c>
      <c r="N20" s="3127"/>
      <c r="O20" s="3128"/>
      <c r="P20" s="3129">
        <f t="shared" ref="P20:P26" si="9">N20+O20</f>
        <v>0</v>
      </c>
      <c r="R20" s="2459">
        <f t="shared" si="5"/>
        <v>3208</v>
      </c>
      <c r="S20" s="3141">
        <f t="shared" si="5"/>
        <v>11032.29</v>
      </c>
    </row>
    <row r="21" spans="1:19">
      <c r="A21" s="3097"/>
      <c r="B21" s="3072" t="s">
        <v>243</v>
      </c>
      <c r="C21" s="3093" t="s">
        <v>2679</v>
      </c>
      <c r="D21" s="3066">
        <f t="shared" si="1"/>
        <v>11102.4</v>
      </c>
      <c r="E21" s="3094">
        <f t="shared" si="2"/>
        <v>38181</v>
      </c>
      <c r="F21" s="3095"/>
      <c r="G21" s="3096">
        <f>'数据-基础表'!M13</f>
        <v>38181</v>
      </c>
      <c r="H21" s="3013">
        <f t="shared" si="6"/>
        <v>344.78</v>
      </c>
      <c r="I21" s="3073">
        <f t="shared" si="7"/>
        <v>1185.7</v>
      </c>
      <c r="J21" s="3056"/>
      <c r="K21" s="3125">
        <f t="shared" si="3"/>
        <v>1185.7</v>
      </c>
      <c r="L21" s="2459">
        <f t="shared" si="4"/>
        <v>0</v>
      </c>
      <c r="M21" s="3126">
        <f t="shared" si="8"/>
        <v>1185.7</v>
      </c>
      <c r="N21" s="3127"/>
      <c r="O21" s="3128"/>
      <c r="P21" s="3129">
        <f t="shared" si="9"/>
        <v>0</v>
      </c>
      <c r="R21" s="2459">
        <f t="shared" si="5"/>
        <v>11447.18</v>
      </c>
      <c r="S21" s="3141">
        <f t="shared" si="5"/>
        <v>39366.699999999997</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1614.4199999999998</v>
      </c>
      <c r="I27" s="3134">
        <f>SUM(I19:I26)</f>
        <v>5552</v>
      </c>
      <c r="J27" s="3056"/>
      <c r="K27" s="3135">
        <f t="shared" ref="K27:P27" si="10">SUM(K19:K26)</f>
        <v>5552</v>
      </c>
      <c r="L27" s="3136">
        <f t="shared" si="10"/>
        <v>0</v>
      </c>
      <c r="M27" s="3137">
        <f t="shared" si="10"/>
        <v>5552</v>
      </c>
      <c r="N27" s="3135">
        <f t="shared" si="10"/>
        <v>0</v>
      </c>
      <c r="O27" s="3136">
        <f t="shared" si="10"/>
        <v>0</v>
      </c>
      <c r="P27" s="3138">
        <f t="shared" si="10"/>
        <v>0</v>
      </c>
      <c r="R27" s="3142" t="str">
        <f>IF(SUM(R19:R26)=$D$3,SUM(R19:R26),SUM(R19:R26)&amp;"误差"&amp;ROUND(SUM(R19:R26)-$D$3,2))</f>
        <v>53600.96误差-1635.67</v>
      </c>
      <c r="S27" s="2459" t="str">
        <f>IF(SUM(S19:S26)=$E$3,SUM(S19:S26),SUM(S19:S26)&amp;"误差"&amp;ROUND(SUM(S19:S26)-E3,2))</f>
        <v>184333误差-5625</v>
      </c>
    </row>
    <row r="28" spans="1:19">
      <c r="A28" s="3097"/>
      <c r="B28" s="3072" t="s">
        <v>255</v>
      </c>
      <c r="C28" s="3033" t="s">
        <v>578</v>
      </c>
      <c r="D28" s="3066">
        <f>ROUND($D$3*E28/$E$3,2)</f>
        <v>1614.43</v>
      </c>
      <c r="E28" s="3094">
        <f>SUM(F28:G28)</f>
        <v>5552</v>
      </c>
      <c r="F28" s="2447">
        <f>'数据-基础表'!BQ5+'数据-基础表'!BS5</f>
        <v>0</v>
      </c>
      <c r="G28" s="3104">
        <f>'数据-基础表'!BR5+'数据-基础表'!BT5</f>
        <v>5552</v>
      </c>
      <c r="H28" s="3058"/>
      <c r="I28" s="3058"/>
      <c r="J28" s="3058"/>
      <c r="K28" s="3058"/>
      <c r="L28" s="3058"/>
      <c r="M28" s="3058"/>
      <c r="N28" s="3058"/>
      <c r="O28" s="3058"/>
      <c r="P28" s="3058"/>
    </row>
    <row r="29" spans="1:19">
      <c r="A29" s="3097"/>
      <c r="B29" s="3072" t="s">
        <v>255</v>
      </c>
      <c r="C29" s="3105" t="s">
        <v>579</v>
      </c>
      <c r="D29" s="3066">
        <f>ROUND($D$3*E29/$E$3,2)</f>
        <v>1635.66</v>
      </c>
      <c r="E29" s="3094">
        <f>SUM(F29:G29)</f>
        <v>5625</v>
      </c>
      <c r="F29" s="2447">
        <f>'数据-基础表'!BM5+'数据-基础表'!BO5</f>
        <v>864</v>
      </c>
      <c r="G29" s="3106">
        <f>'数据-基础表'!BN5+'数据-基础表'!BP5</f>
        <v>4761</v>
      </c>
      <c r="H29" s="3058"/>
      <c r="I29" s="3058"/>
      <c r="J29" s="3058"/>
      <c r="K29" s="3058"/>
      <c r="L29" s="3058"/>
      <c r="M29" s="3058"/>
      <c r="N29" s="3058"/>
      <c r="O29" s="3058"/>
      <c r="P29" s="3058"/>
    </row>
    <row r="30" spans="1:19">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6">
      <c r="D33" s="3116"/>
    </row>
    <row r="44" spans="4:6">
      <c r="F44" s="3055">
        <f>E29*4000/10000</f>
        <v>2250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K36" sqref="K36"/>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5400</v>
      </c>
      <c r="M6" s="2983">
        <f t="shared" ref="M6:M14" si="1">ROUND(K6*L6/10000,0)</f>
        <v>70146</v>
      </c>
      <c r="N6" s="2984">
        <v>0</v>
      </c>
      <c r="O6" s="2983">
        <f>IF($N$5="成新度","——",ROUND(M6*N6,0))</f>
        <v>0</v>
      </c>
      <c r="P6" s="2985">
        <f>IF($N$5="成新度","——",M6-O6)</f>
        <v>70146</v>
      </c>
      <c r="Q6" s="3002">
        <v>0.15</v>
      </c>
      <c r="R6" s="2981">
        <f>SUMIF('数据-汇总表'!C$19:C$33,A6,'数据-汇总表'!R$19:R$33)</f>
        <v>38945.78</v>
      </c>
      <c r="S6" s="3003">
        <f>IF('数据-汇总表'!$I$17="按面积比例",SUMIF('数据-汇总表'!C$19:C$33,A6,'数据-汇总表'!K$19:K$33),SUMIF('数据-汇总表'!C$19:C$33,A6,'数据-汇总表'!N$19:N$33))</f>
        <v>4034.01</v>
      </c>
      <c r="T6" s="3004">
        <f>IF($T$4="按面积比例",IF(ISERROR(ROUND($M$14*S6/S$16,0)),"0",ROUND($M$14*S6/S$16,0)),"需自行计算录入")</f>
        <v>1694</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3208</v>
      </c>
      <c r="S7" s="3003">
        <f>IF('数据-汇总表'!$I$17="按面积比例",SUMIF('数据-汇总表'!C$19:C$33,A7,'数据-汇总表'!K$19:K$33),SUMIF('数据-汇总表'!C$19:C$33,A7,'数据-汇总表'!N$19:N$33))</f>
        <v>332.29</v>
      </c>
      <c r="T7" s="3004">
        <f t="shared" ref="T7:T13" si="5">IF($T$4="按面积比例",IF(ISERROR(ROUND($M$14*S7/S$16,0)),"0",ROUND($M$14*S7/S$16,0)),"需自行计算录入")</f>
        <v>140</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11447.18</v>
      </c>
      <c r="S8" s="3003">
        <f>IF('数据-汇总表'!$I$17="按面积比例",SUMIF('数据-汇总表'!C$19:C$33,A8,'数据-汇总表'!K$19:K$33),SUMIF('数据-汇总表'!C$19:C$33,A8,'数据-汇总表'!N$19:N$33))</f>
        <v>1185.7</v>
      </c>
      <c r="T8" s="3004">
        <f t="shared" si="5"/>
        <v>498</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5552</v>
      </c>
      <c r="L14" s="2986">
        <f>L7</f>
        <v>4200</v>
      </c>
      <c r="M14" s="2983">
        <f t="shared" si="1"/>
        <v>2332</v>
      </c>
      <c r="N14" s="2987">
        <v>0</v>
      </c>
      <c r="O14" s="2983">
        <f t="shared" si="3"/>
        <v>0</v>
      </c>
      <c r="P14" s="2985">
        <f t="shared" si="4"/>
        <v>2332</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5625</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5046</v>
      </c>
      <c r="M16" s="2992">
        <f>SUM(M6:M14)</f>
        <v>93008</v>
      </c>
      <c r="N16" s="2993">
        <f>ROUND(SUMPRODUCT(M6:M14,N6:N14)/M16,3)</f>
        <v>0</v>
      </c>
      <c r="O16" s="2992">
        <f>SUM(O6:O14)</f>
        <v>0</v>
      </c>
      <c r="P16" s="2992">
        <f>SUM(P6:P14)</f>
        <v>93008</v>
      </c>
      <c r="Q16" s="3015">
        <f>ROUND(SUMPRODUCT(Q6:Q13,K6:K13)/SUMPRODUCT((Q6:Q13&gt;0)*(K6:K13)),2)</f>
        <v>0.12</v>
      </c>
      <c r="R16" s="3016">
        <f>SUM(R6:R13)</f>
        <v>53600.959999999999</v>
      </c>
      <c r="S16" s="3017">
        <f>SUM(S6:S13)</f>
        <v>5552</v>
      </c>
      <c r="T16" s="3018">
        <f>IF(SUMIF(T6:T13,"&lt;9E307")=M14,SUMIF(T6:T13,"&lt;9E307"),"有误，请检查")</f>
        <v>2332</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3652" t="s">
        <v>2723</v>
      </c>
      <c r="L19" s="2994">
        <v>1200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2.5</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2.5</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2.5</v>
      </c>
      <c r="C24" s="2906"/>
      <c r="D24" s="2907"/>
      <c r="E24" s="2906"/>
      <c r="F24" s="2906"/>
      <c r="G24" s="2906"/>
      <c r="H24" s="2906"/>
      <c r="I24" s="2906"/>
      <c r="J24" s="2906"/>
      <c r="K24" s="2994"/>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0.05</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E1" workbookViewId="0">
      <selection activeCell="AA19" sqref="AA19"/>
    </sheetView>
  </sheetViews>
  <sheetFormatPr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3" t="s">
        <v>2716</v>
      </c>
      <c r="T51" s="3743" t="s">
        <v>464</v>
      </c>
      <c r="U51" s="3740" t="s">
        <v>444</v>
      </c>
      <c r="V51" s="3742"/>
      <c r="W51" s="3741"/>
    </row>
    <row r="52" spans="19:23">
      <c r="S52" s="3743"/>
      <c r="T52" s="3743"/>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40" t="s">
        <v>896</v>
      </c>
      <c r="T56" s="3741"/>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40" t="s">
        <v>896</v>
      </c>
      <c r="T59" s="3741"/>
      <c r="U59" s="3651">
        <v>11177</v>
      </c>
      <c r="V59" s="3651">
        <v>864</v>
      </c>
      <c r="W59" s="3651">
        <v>10313</v>
      </c>
    </row>
    <row r="60" spans="19:23">
      <c r="S60" s="3740" t="s">
        <v>2717</v>
      </c>
      <c r="T60" s="3741"/>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44" t="s">
        <v>682</v>
      </c>
      <c r="B1" s="3745"/>
      <c r="C1" s="3745"/>
      <c r="D1" s="3745"/>
      <c r="E1" s="3745"/>
      <c r="F1" s="3745"/>
      <c r="G1" s="3745"/>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25" defaultRowHeight="13.5"/>
  <cols>
    <col min="1" max="1" width="24.375" style="2771" customWidth="1"/>
    <col min="2" max="16384" width="14.625" style="2771"/>
  </cols>
  <sheetData>
    <row r="1" spans="1:10" ht="16.5">
      <c r="A1" s="2772" t="s">
        <v>706</v>
      </c>
      <c r="B1" s="2772">
        <f>SUM(B14:B23)</f>
        <v>204700</v>
      </c>
      <c r="C1" s="2773"/>
      <c r="D1" s="2773"/>
      <c r="E1" s="2773"/>
      <c r="F1" s="2773"/>
      <c r="G1" s="2774"/>
      <c r="H1" s="2774"/>
      <c r="I1" s="2774"/>
      <c r="J1" s="2774"/>
    </row>
    <row r="2" spans="1:10" ht="16.5">
      <c r="A2" s="2772" t="s">
        <v>707</v>
      </c>
      <c r="B2" s="2772">
        <f>SUM(C14:C23)</f>
        <v>55236.63</v>
      </c>
      <c r="C2" s="2773"/>
      <c r="D2" s="2773"/>
      <c r="E2" s="2773"/>
      <c r="F2" s="2773"/>
      <c r="G2" s="2774"/>
      <c r="H2" s="2774"/>
      <c r="I2" s="2774"/>
      <c r="J2" s="2774"/>
    </row>
    <row r="3" spans="1:10" ht="16.5">
      <c r="A3" s="2772" t="s">
        <v>708</v>
      </c>
      <c r="B3" s="2775">
        <f>项目基本情况!D3</f>
        <v>45077</v>
      </c>
      <c r="C3" s="2773"/>
      <c r="D3" s="2773"/>
      <c r="E3" s="2773"/>
      <c r="F3" s="2773"/>
      <c r="G3" s="2774"/>
      <c r="H3" s="2774"/>
      <c r="I3" s="2774"/>
      <c r="J3" s="2774"/>
    </row>
    <row r="4" spans="1:10" ht="33">
      <c r="A4" s="2772" t="s">
        <v>423</v>
      </c>
      <c r="B4" s="2772" t="s">
        <v>709</v>
      </c>
      <c r="C4" s="2772" t="s">
        <v>710</v>
      </c>
      <c r="D4" s="2772" t="s">
        <v>711</v>
      </c>
      <c r="E4" s="2773"/>
      <c r="F4" s="2773"/>
      <c r="G4" s="2774"/>
      <c r="H4" s="2774"/>
      <c r="I4" s="2774"/>
      <c r="J4" s="2774"/>
    </row>
    <row r="5" spans="1:10" ht="16.5">
      <c r="A5" s="2772" t="s">
        <v>712</v>
      </c>
      <c r="B5" s="2772">
        <f ca="1">SUM(D14:D23)</f>
        <v>188725</v>
      </c>
      <c r="C5" s="2772">
        <f ca="1">ROUND(B5*10000/$B$1,0)</f>
        <v>9220</v>
      </c>
      <c r="D5" s="2772">
        <f ca="1">ROUND(B5*10000/$B$2,0)</f>
        <v>34167</v>
      </c>
      <c r="E5" s="2773"/>
      <c r="F5" s="2773"/>
      <c r="G5" s="2774"/>
      <c r="H5" s="2774"/>
      <c r="I5" s="2774"/>
      <c r="J5" s="2774"/>
    </row>
    <row r="6" spans="1:10" ht="16.5">
      <c r="A6" s="2772" t="s">
        <v>713</v>
      </c>
      <c r="B6" s="2772">
        <f ca="1">SUM(G14:G23)</f>
        <v>188725</v>
      </c>
      <c r="C6" s="2772">
        <f ca="1">ROUND(B6*10000/$B$1,0)</f>
        <v>9220</v>
      </c>
      <c r="D6" s="2772">
        <f ca="1">ROUND(B6*10000/$B$2,0)</f>
        <v>34167</v>
      </c>
      <c r="E6" s="2773"/>
      <c r="F6" s="2773"/>
      <c r="G6" s="2774"/>
      <c r="H6" s="2774"/>
      <c r="I6" s="2774"/>
      <c r="J6" s="2774"/>
    </row>
    <row r="7" spans="1:10" ht="16.5">
      <c r="A7" s="2772" t="s">
        <v>714</v>
      </c>
      <c r="B7" s="2772">
        <f>SUM(H14:H23)</f>
        <v>0</v>
      </c>
      <c r="C7" s="2772">
        <f>ROUND(B7*10000/$B$1,0)</f>
        <v>0</v>
      </c>
      <c r="D7" s="2772">
        <f>ROUND(B7*10000/$B$2,0)</f>
        <v>0</v>
      </c>
      <c r="E7" s="2773"/>
      <c r="F7" s="2773"/>
      <c r="G7" s="2774"/>
      <c r="H7" s="2774"/>
      <c r="I7" s="2774"/>
      <c r="J7" s="2774"/>
    </row>
    <row r="8" spans="1:10" ht="16.5">
      <c r="A8" s="2772" t="s">
        <v>350</v>
      </c>
      <c r="B8" s="2772">
        <f ca="1">SUM(I14:I23)</f>
        <v>178745</v>
      </c>
      <c r="C8" s="2772">
        <f ca="1">ROUND(B8*10000/$B$1,0)</f>
        <v>8732</v>
      </c>
      <c r="D8" s="2772">
        <f ca="1">ROUND(B8*10000/$B$2,0)</f>
        <v>32360</v>
      </c>
      <c r="E8" s="2773"/>
      <c r="F8" s="2773"/>
      <c r="G8" s="2774"/>
      <c r="H8" s="2774"/>
      <c r="I8" s="2774"/>
      <c r="J8" s="2774"/>
    </row>
    <row r="9" spans="1:10" ht="16.5">
      <c r="A9" s="2772" t="s">
        <v>715</v>
      </c>
      <c r="B9" s="2776"/>
      <c r="C9" s="2773"/>
      <c r="D9" s="2773"/>
      <c r="E9" s="2773"/>
      <c r="F9" s="2773"/>
      <c r="G9" s="2774"/>
      <c r="H9" s="2774"/>
      <c r="I9" s="2774"/>
      <c r="J9" s="2774"/>
    </row>
    <row r="10" spans="1:10" ht="16.5">
      <c r="A10" s="2772" t="s">
        <v>716</v>
      </c>
      <c r="B10" s="2776"/>
      <c r="C10" s="2773"/>
      <c r="D10" s="2773"/>
      <c r="E10" s="2773"/>
      <c r="F10" s="2773"/>
      <c r="G10" s="2774"/>
      <c r="H10" s="2774"/>
      <c r="I10" s="2774"/>
      <c r="J10" s="2774"/>
    </row>
    <row r="11" spans="1:10" ht="16.5">
      <c r="A11" s="2772" t="s">
        <v>717</v>
      </c>
      <c r="B11" s="2776"/>
      <c r="C11" s="2773"/>
      <c r="D11" s="2773"/>
      <c r="E11" s="2773"/>
      <c r="F11" s="2773"/>
      <c r="G11" s="2774"/>
      <c r="H11" s="2774"/>
      <c r="I11" s="2774"/>
      <c r="J11" s="2774"/>
    </row>
    <row r="12" spans="1:10" ht="16.5">
      <c r="A12" s="2773"/>
      <c r="B12" s="2773"/>
      <c r="C12" s="2773"/>
      <c r="D12" s="2773"/>
      <c r="E12" s="2773"/>
      <c r="F12" s="2773"/>
      <c r="G12" s="2774"/>
      <c r="H12" s="2774"/>
      <c r="I12" s="2774"/>
      <c r="J12" s="2774"/>
    </row>
    <row r="13" spans="1:10" ht="33">
      <c r="A13" s="2777" t="s">
        <v>718</v>
      </c>
      <c r="B13" s="2778" t="s">
        <v>706</v>
      </c>
      <c r="C13" s="2778" t="s">
        <v>707</v>
      </c>
      <c r="D13" s="2778" t="s">
        <v>719</v>
      </c>
      <c r="E13" s="2772" t="s">
        <v>710</v>
      </c>
      <c r="F13" s="2772" t="s">
        <v>711</v>
      </c>
      <c r="G13" s="2778" t="s">
        <v>720</v>
      </c>
      <c r="H13" s="2778" t="s">
        <v>721</v>
      </c>
      <c r="I13" s="2778" t="s">
        <v>722</v>
      </c>
      <c r="J13" s="2774"/>
    </row>
    <row r="14" spans="1:10" ht="16.5">
      <c r="A14" s="2779" t="s">
        <v>723</v>
      </c>
      <c r="B14" s="2780">
        <f>'数据-基础表'!B3</f>
        <v>204700</v>
      </c>
      <c r="C14" s="2780">
        <f>'数据-汇总表'!D3</f>
        <v>55236.63</v>
      </c>
      <c r="D14" s="2780">
        <f ca="1">结果表!C32</f>
        <v>188725</v>
      </c>
      <c r="E14" s="2780">
        <f ca="1">ROUND(D14*10000/B14,0)</f>
        <v>9220</v>
      </c>
      <c r="F14" s="2780">
        <f ca="1">ROUND(D14*10000/C14,0)</f>
        <v>34167</v>
      </c>
      <c r="G14" s="2780">
        <f ca="1">D14</f>
        <v>188725</v>
      </c>
      <c r="H14" s="2780"/>
      <c r="I14" s="2780">
        <f ca="1">结果表!C46</f>
        <v>178745</v>
      </c>
      <c r="J14" s="2774"/>
    </row>
    <row r="15" spans="1:10" ht="16.5">
      <c r="A15" s="2779" t="s">
        <v>724</v>
      </c>
      <c r="B15" s="2781"/>
      <c r="C15" s="2781"/>
      <c r="D15" s="2781"/>
      <c r="E15" s="2780" t="e">
        <f t="shared" ref="E15:E23" si="0">ROUND(D15*10000/B15,0)</f>
        <v>#DIV/0!</v>
      </c>
      <c r="F15" s="2780" t="e">
        <f t="shared" ref="F15:F23" si="1">ROUND(D15*10000/C15,0)</f>
        <v>#DIV/0!</v>
      </c>
      <c r="G15" s="2782"/>
      <c r="H15" s="2782"/>
      <c r="I15" s="2781"/>
      <c r="J15" s="2774"/>
    </row>
    <row r="16" spans="1:10" ht="16.5">
      <c r="A16" s="2779" t="s">
        <v>725</v>
      </c>
      <c r="B16" s="2781"/>
      <c r="C16" s="2781"/>
      <c r="D16" s="2781"/>
      <c r="E16" s="2780" t="e">
        <f t="shared" si="0"/>
        <v>#DIV/0!</v>
      </c>
      <c r="F16" s="2780" t="e">
        <f t="shared" si="1"/>
        <v>#DIV/0!</v>
      </c>
      <c r="G16" s="2782"/>
      <c r="H16" s="2782"/>
      <c r="I16" s="2781"/>
      <c r="J16" s="2774"/>
    </row>
    <row r="17" spans="1:10" ht="16.5">
      <c r="A17" s="2779" t="s">
        <v>726</v>
      </c>
      <c r="B17" s="2781"/>
      <c r="C17" s="2781"/>
      <c r="D17" s="2781"/>
      <c r="E17" s="2780" t="e">
        <f t="shared" si="0"/>
        <v>#DIV/0!</v>
      </c>
      <c r="F17" s="2780" t="e">
        <f t="shared" si="1"/>
        <v>#DIV/0!</v>
      </c>
      <c r="G17" s="2782"/>
      <c r="H17" s="2782"/>
      <c r="I17" s="2781"/>
      <c r="J17" s="2774"/>
    </row>
    <row r="18" spans="1:10" ht="16.5">
      <c r="A18" s="2779" t="s">
        <v>727</v>
      </c>
      <c r="B18" s="2781"/>
      <c r="C18" s="2781"/>
      <c r="D18" s="2781"/>
      <c r="E18" s="2780" t="e">
        <f t="shared" si="0"/>
        <v>#DIV/0!</v>
      </c>
      <c r="F18" s="2780" t="e">
        <f t="shared" si="1"/>
        <v>#DIV/0!</v>
      </c>
      <c r="G18" s="2781"/>
      <c r="H18" s="2781"/>
      <c r="I18" s="2781"/>
      <c r="J18" s="2774"/>
    </row>
    <row r="19" spans="1:10" ht="16.5">
      <c r="A19" s="2779" t="s">
        <v>728</v>
      </c>
      <c r="B19" s="2781"/>
      <c r="C19" s="2781"/>
      <c r="D19" s="2781"/>
      <c r="E19" s="2780" t="e">
        <f t="shared" si="0"/>
        <v>#DIV/0!</v>
      </c>
      <c r="F19" s="2780" t="e">
        <f t="shared" si="1"/>
        <v>#DIV/0!</v>
      </c>
      <c r="G19" s="2781"/>
      <c r="H19" s="2781"/>
      <c r="I19" s="2781"/>
      <c r="J19" s="2774"/>
    </row>
    <row r="20" spans="1:10" ht="16.5">
      <c r="A20" s="2779" t="s">
        <v>729</v>
      </c>
      <c r="B20" s="2781"/>
      <c r="C20" s="2781"/>
      <c r="D20" s="2781"/>
      <c r="E20" s="2780" t="e">
        <f t="shared" si="0"/>
        <v>#DIV/0!</v>
      </c>
      <c r="F20" s="2780" t="e">
        <f t="shared" si="1"/>
        <v>#DIV/0!</v>
      </c>
      <c r="G20" s="2781"/>
      <c r="H20" s="2781"/>
      <c r="I20" s="2781"/>
      <c r="J20" s="2774"/>
    </row>
    <row r="21" spans="1:10" ht="16.5">
      <c r="A21" s="2779" t="s">
        <v>730</v>
      </c>
      <c r="B21" s="2781"/>
      <c r="C21" s="2781"/>
      <c r="D21" s="2781"/>
      <c r="E21" s="2780" t="e">
        <f t="shared" si="0"/>
        <v>#DIV/0!</v>
      </c>
      <c r="F21" s="2780" t="e">
        <f t="shared" si="1"/>
        <v>#DIV/0!</v>
      </c>
      <c r="G21" s="2781"/>
      <c r="H21" s="2781"/>
      <c r="I21" s="2781"/>
      <c r="J21" s="2774"/>
    </row>
    <row r="22" spans="1:10" ht="16.5">
      <c r="A22" s="2779" t="s">
        <v>731</v>
      </c>
      <c r="B22" s="2781"/>
      <c r="C22" s="2781"/>
      <c r="D22" s="2781"/>
      <c r="E22" s="2780" t="e">
        <f t="shared" si="0"/>
        <v>#DIV/0!</v>
      </c>
      <c r="F22" s="2780" t="e">
        <f t="shared" si="1"/>
        <v>#DIV/0!</v>
      </c>
      <c r="G22" s="2781"/>
      <c r="H22" s="2781"/>
      <c r="I22" s="2781"/>
      <c r="J22" s="2774"/>
    </row>
    <row r="23" spans="1:10" ht="16.5">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90" zoomScaleNormal="100" zoomScaleSheetLayoutView="90" workbookViewId="0">
      <selection activeCell="H26" sqref="H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746" t="str">
        <f>项目基本情况!K2</f>
        <v>北京市出让国有建设用地使用权</v>
      </c>
      <c r="B2" s="3747"/>
      <c r="C2" s="3748"/>
      <c r="D2" s="3748"/>
      <c r="E2" s="3748"/>
      <c r="F2" s="3748"/>
      <c r="G2" s="3747"/>
      <c r="H2" s="3747"/>
      <c r="I2" s="3749"/>
      <c r="J2" s="2551"/>
      <c r="K2" s="188"/>
      <c r="L2" s="188"/>
      <c r="M2" s="188"/>
      <c r="N2" s="188"/>
      <c r="O2" s="188"/>
      <c r="P2" s="188"/>
      <c r="Q2" s="188"/>
      <c r="R2" s="188"/>
      <c r="S2" s="188"/>
      <c r="T2" s="188"/>
      <c r="U2" s="188"/>
      <c r="V2" s="188"/>
    </row>
    <row r="3" spans="1:22" ht="14.25">
      <c r="A3" s="3750" t="s">
        <v>736</v>
      </c>
      <c r="B3" s="3751"/>
      <c r="C3" s="3751"/>
      <c r="D3" s="3751"/>
      <c r="E3" s="3751"/>
      <c r="F3" s="3751"/>
      <c r="G3" s="3751"/>
      <c r="H3" s="3751"/>
      <c r="I3" s="3751"/>
      <c r="J3" s="2551"/>
      <c r="K3" s="188"/>
      <c r="L3" s="188"/>
      <c r="M3" s="188"/>
      <c r="N3" s="188"/>
      <c r="O3" s="188"/>
      <c r="P3" s="188"/>
      <c r="Q3" s="188"/>
      <c r="R3" s="188"/>
      <c r="S3" s="188"/>
      <c r="T3" s="188"/>
      <c r="U3" s="188"/>
      <c r="V3" s="188"/>
    </row>
    <row r="4" spans="1:22" ht="14.25">
      <c r="A4" s="2441" t="s">
        <v>737</v>
      </c>
      <c r="B4" s="2200" t="s">
        <v>738</v>
      </c>
      <c r="C4" s="2442" t="s">
        <v>2658</v>
      </c>
      <c r="D4" s="2442" t="s">
        <v>2659</v>
      </c>
      <c r="E4" s="3752" t="s">
        <v>739</v>
      </c>
      <c r="F4" s="3753"/>
      <c r="G4" s="3753"/>
      <c r="H4" s="3753"/>
      <c r="I4" s="3754"/>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8" t="s">
        <v>740</v>
      </c>
      <c r="B5" s="3761">
        <v>25</v>
      </c>
      <c r="C5" s="3808"/>
      <c r="D5" s="3811"/>
      <c r="E5" s="1028" t="s">
        <v>741</v>
      </c>
      <c r="F5" s="2445"/>
      <c r="G5" s="2445"/>
      <c r="H5" s="2445"/>
      <c r="I5" s="2554"/>
      <c r="J5" s="2551"/>
      <c r="K5" s="188"/>
      <c r="L5" s="188"/>
      <c r="M5" s="188"/>
      <c r="N5" s="188"/>
      <c r="O5" s="188"/>
      <c r="P5" s="188"/>
      <c r="Q5" s="188"/>
      <c r="R5" s="188"/>
      <c r="S5" s="188"/>
      <c r="T5" s="188"/>
      <c r="U5" s="188"/>
      <c r="V5" s="188"/>
    </row>
    <row r="6" spans="1:22" ht="14.25">
      <c r="A6" s="3758"/>
      <c r="B6" s="3761"/>
      <c r="C6" s="3809"/>
      <c r="D6" s="3811"/>
      <c r="E6" s="1028" t="s">
        <v>742</v>
      </c>
      <c r="F6" s="2445"/>
      <c r="G6" s="2445"/>
      <c r="H6" s="2445"/>
      <c r="I6" s="2554"/>
      <c r="J6" s="2551"/>
      <c r="K6" s="188"/>
      <c r="L6" s="188"/>
      <c r="M6" s="188"/>
      <c r="N6" s="188"/>
      <c r="O6" s="188"/>
      <c r="P6" s="188"/>
      <c r="Q6" s="188"/>
      <c r="R6" s="188"/>
      <c r="S6" s="188"/>
      <c r="T6" s="188"/>
      <c r="U6" s="188"/>
      <c r="V6" s="188"/>
    </row>
    <row r="7" spans="1:22" ht="14.25">
      <c r="A7" s="3758"/>
      <c r="B7" s="3761"/>
      <c r="C7" s="3810"/>
      <c r="D7" s="3811"/>
      <c r="E7" s="1028" t="s">
        <v>743</v>
      </c>
      <c r="F7" s="2445"/>
      <c r="G7" s="2445"/>
      <c r="H7" s="2445"/>
      <c r="I7" s="2554"/>
      <c r="J7" s="2551"/>
      <c r="K7" s="188"/>
      <c r="L7" s="188"/>
      <c r="M7" s="188"/>
      <c r="N7" s="188"/>
      <c r="O7" s="188"/>
      <c r="P7" s="188"/>
      <c r="Q7" s="188"/>
      <c r="R7" s="188"/>
      <c r="S7" s="188"/>
      <c r="T7" s="188"/>
      <c r="U7" s="188"/>
      <c r="V7" s="188"/>
    </row>
    <row r="8" spans="1:22" ht="14.25">
      <c r="A8" s="3758" t="s">
        <v>744</v>
      </c>
      <c r="B8" s="3761">
        <v>15</v>
      </c>
      <c r="C8" s="3808"/>
      <c r="D8" s="3811"/>
      <c r="E8" s="1028" t="s">
        <v>745</v>
      </c>
      <c r="F8" s="2445"/>
      <c r="G8" s="2445"/>
      <c r="H8" s="2445"/>
      <c r="I8" s="2554"/>
      <c r="J8" s="2551"/>
      <c r="K8" s="188"/>
      <c r="L8" s="188"/>
      <c r="M8" s="188"/>
      <c r="N8" s="188"/>
      <c r="O8" s="188"/>
      <c r="P8" s="188"/>
      <c r="Q8" s="188"/>
      <c r="R8" s="188"/>
      <c r="S8" s="188"/>
      <c r="T8" s="188"/>
      <c r="U8" s="188"/>
      <c r="V8" s="188"/>
    </row>
    <row r="9" spans="1:22" ht="14.25">
      <c r="A9" s="3758"/>
      <c r="B9" s="3761"/>
      <c r="C9" s="3810"/>
      <c r="D9" s="3811"/>
      <c r="E9" s="1028" t="s">
        <v>746</v>
      </c>
      <c r="F9" s="2445"/>
      <c r="G9" s="2445"/>
      <c r="H9" s="2445"/>
      <c r="I9" s="2554"/>
      <c r="J9" s="2551"/>
      <c r="K9" s="188"/>
      <c r="L9" s="188"/>
      <c r="M9" s="188"/>
      <c r="N9" s="188"/>
      <c r="O9" s="188"/>
      <c r="P9" s="188"/>
      <c r="Q9" s="188"/>
      <c r="R9" s="188"/>
      <c r="S9" s="188"/>
      <c r="T9" s="188"/>
      <c r="U9" s="188"/>
      <c r="V9" s="188"/>
    </row>
    <row r="10" spans="1:22" ht="14.25">
      <c r="A10" s="3758" t="s">
        <v>747</v>
      </c>
      <c r="B10" s="3761">
        <v>15</v>
      </c>
      <c r="C10" s="3808"/>
      <c r="D10" s="3811"/>
      <c r="E10" s="1028" t="s">
        <v>748</v>
      </c>
      <c r="F10" s="2445"/>
      <c r="G10" s="2445"/>
      <c r="H10" s="2445"/>
      <c r="I10" s="2554"/>
      <c r="J10" s="2551"/>
      <c r="K10" s="188"/>
      <c r="L10" s="188"/>
      <c r="M10" s="188"/>
      <c r="N10" s="188"/>
      <c r="O10" s="188"/>
      <c r="P10" s="188"/>
      <c r="Q10" s="188"/>
      <c r="R10" s="188"/>
      <c r="S10" s="188"/>
      <c r="T10" s="188"/>
      <c r="U10" s="188"/>
      <c r="V10" s="188"/>
    </row>
    <row r="11" spans="1:22" ht="14.25">
      <c r="A11" s="3758"/>
      <c r="B11" s="3761"/>
      <c r="C11" s="3810"/>
      <c r="D11" s="3811"/>
      <c r="E11" s="1028" t="s">
        <v>749</v>
      </c>
      <c r="F11" s="2445"/>
      <c r="G11" s="2445"/>
      <c r="H11" s="2445"/>
      <c r="I11" s="2554"/>
      <c r="J11" s="2551"/>
      <c r="K11" s="188"/>
      <c r="L11" s="188"/>
      <c r="M11" s="188"/>
      <c r="N11" s="188"/>
      <c r="O11" s="188"/>
      <c r="P11" s="188"/>
      <c r="Q11" s="188"/>
      <c r="R11" s="188"/>
      <c r="S11" s="188"/>
      <c r="T11" s="188"/>
      <c r="U11" s="188"/>
      <c r="V11" s="188"/>
    </row>
    <row r="12" spans="1:22" ht="14.25">
      <c r="A12" s="3758" t="s">
        <v>750</v>
      </c>
      <c r="B12" s="3761">
        <v>15</v>
      </c>
      <c r="C12" s="3808"/>
      <c r="D12" s="3811"/>
      <c r="E12" s="1028" t="s">
        <v>751</v>
      </c>
      <c r="F12" s="2445"/>
      <c r="G12" s="2445"/>
      <c r="H12" s="2445"/>
      <c r="I12" s="2554"/>
      <c r="J12" s="2551"/>
      <c r="K12" s="188"/>
      <c r="L12" s="188"/>
      <c r="M12" s="188"/>
      <c r="N12" s="188"/>
      <c r="O12" s="188"/>
      <c r="P12" s="188"/>
      <c r="Q12" s="188"/>
      <c r="R12" s="188"/>
      <c r="S12" s="188"/>
      <c r="T12" s="188"/>
      <c r="U12" s="188"/>
      <c r="V12" s="188"/>
    </row>
    <row r="13" spans="1:22" ht="14.25">
      <c r="A13" s="3758"/>
      <c r="B13" s="3761"/>
      <c r="C13" s="3810"/>
      <c r="D13" s="3811"/>
      <c r="E13" s="1028" t="s">
        <v>752</v>
      </c>
      <c r="F13" s="2445"/>
      <c r="G13" s="2445"/>
      <c r="H13" s="2445"/>
      <c r="I13" s="2554"/>
      <c r="J13" s="2551"/>
      <c r="K13" s="188"/>
      <c r="L13" s="188"/>
      <c r="M13" s="188"/>
      <c r="N13" s="188"/>
      <c r="O13" s="188"/>
      <c r="P13" s="188"/>
      <c r="Q13" s="188"/>
      <c r="R13" s="188"/>
      <c r="S13" s="188"/>
      <c r="T13" s="188"/>
      <c r="U13" s="188"/>
      <c r="V13" s="188"/>
    </row>
    <row r="14" spans="1:22" ht="14.25">
      <c r="A14" s="3758" t="s">
        <v>753</v>
      </c>
      <c r="B14" s="3761">
        <v>30</v>
      </c>
      <c r="C14" s="3808">
        <v>5</v>
      </c>
      <c r="D14" s="3811">
        <v>5</v>
      </c>
      <c r="E14" s="1028" t="s">
        <v>754</v>
      </c>
      <c r="F14" s="2445"/>
      <c r="G14" s="2445"/>
      <c r="H14" s="2445"/>
      <c r="I14" s="2554"/>
      <c r="J14" s="2551"/>
      <c r="K14" s="188"/>
      <c r="L14" s="188"/>
      <c r="M14" s="188"/>
      <c r="N14" s="188"/>
      <c r="O14" s="188"/>
      <c r="P14" s="188"/>
      <c r="Q14" s="188"/>
      <c r="R14" s="188"/>
      <c r="S14" s="188"/>
      <c r="T14" s="188"/>
      <c r="U14" s="188"/>
      <c r="V14" s="188"/>
    </row>
    <row r="15" spans="1:22" ht="14.25">
      <c r="A15" s="3758"/>
      <c r="B15" s="3761"/>
      <c r="C15" s="3809"/>
      <c r="D15" s="3811"/>
      <c r="E15" s="1028" t="s">
        <v>755</v>
      </c>
      <c r="F15" s="2445"/>
      <c r="G15" s="2445"/>
      <c r="H15" s="2445"/>
      <c r="I15" s="2554"/>
      <c r="J15" s="2551"/>
      <c r="K15" s="188"/>
      <c r="L15" s="188"/>
      <c r="M15" s="188"/>
      <c r="N15" s="188"/>
      <c r="O15" s="188"/>
      <c r="P15" s="188"/>
      <c r="Q15" s="188"/>
      <c r="R15" s="188"/>
      <c r="S15" s="188"/>
      <c r="T15" s="188"/>
      <c r="U15" s="188"/>
      <c r="V15" s="188"/>
    </row>
    <row r="16" spans="1:22" ht="14.25">
      <c r="A16" s="3758"/>
      <c r="B16" s="3761"/>
      <c r="C16" s="3810"/>
      <c r="D16" s="3811"/>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755" t="s">
        <v>759</v>
      </c>
      <c r="F18" s="3756"/>
      <c r="G18" s="3756"/>
      <c r="H18" s="3756"/>
      <c r="I18" s="3756"/>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193486</v>
      </c>
      <c r="E19" s="2452" t="s">
        <v>762</v>
      </c>
      <c r="F19" s="2453" t="s">
        <v>761</v>
      </c>
      <c r="G19" s="2456">
        <f ca="1">ROUND(C19*$C$18+D19*$D$18,0)</f>
        <v>191836</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10186</v>
      </c>
      <c r="E20" s="2458"/>
      <c r="F20" s="2459" t="s">
        <v>259</v>
      </c>
      <c r="G20" s="2462">
        <f ca="1">ROUND(C20*$C$18+D20*$D$18,0)</f>
        <v>10099</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35029</v>
      </c>
      <c r="E21" s="2458"/>
      <c r="F21" s="2463" t="s">
        <v>247</v>
      </c>
      <c r="G21" s="2466">
        <f ca="1">ROUND(C21*$C$18+D21*$D$18,0)</f>
        <v>34730</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1.7351434911087038E-2</v>
      </c>
      <c r="E22" s="2417"/>
      <c r="F22" s="2472"/>
      <c r="G22" s="2473">
        <f ca="1">ROUND(G19/('数据-汇总表'!D3/666.67),0)</f>
        <v>2315</v>
      </c>
      <c r="H22" s="2474" t="s">
        <v>766</v>
      </c>
      <c r="I22" s="121"/>
      <c r="J22" s="188"/>
      <c r="K22" s="188">
        <f ca="1">G19/'数据-汇总表'!F31</f>
        <v>1.4670398580649109</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9"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760"/>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出让国有建设用地使用权价格：188725万元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大写金额：人民币壹拾捌亿捌仟柒佰贰拾伍万元整</v>
      </c>
      <c r="L26" s="2469"/>
      <c r="M26" s="2469"/>
      <c r="N26" s="2469"/>
      <c r="O26" s="2467"/>
      <c r="P26" s="188"/>
      <c r="Q26" s="188"/>
      <c r="R26" s="188"/>
      <c r="S26" s="188"/>
      <c r="T26" s="188"/>
      <c r="U26" s="188"/>
      <c r="V26" s="188"/>
      <c r="W26" s="2318"/>
      <c r="X26" s="2318"/>
      <c r="Y26" s="2318"/>
      <c r="Z26" s="2318"/>
    </row>
    <row r="27" spans="1:26" ht="18">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单位面积地价：34167元/平方米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楼面地价：9935元/平方米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抵押价格：188725万元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大写金额：人民币壹拾捌亿捌仟柒佰贰拾伍万元整</v>
      </c>
      <c r="L30" s="2469"/>
      <c r="M30" s="2469"/>
      <c r="N30" s="2469"/>
      <c r="O30" s="2467"/>
      <c r="P30" s="188"/>
      <c r="V30" s="188"/>
    </row>
    <row r="31" spans="1:26" ht="24" customHeight="1">
      <c r="A31" s="3757" t="s">
        <v>774</v>
      </c>
      <c r="B31" s="3757"/>
      <c r="C31" s="3757"/>
      <c r="D31" s="3757"/>
      <c r="E31" s="3757"/>
      <c r="F31" s="3757"/>
      <c r="G31" s="3757"/>
      <c r="H31" s="3757"/>
      <c r="I31" s="3757"/>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188725</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9935</v>
      </c>
      <c r="D33" s="2491" t="s">
        <v>780</v>
      </c>
      <c r="E33" s="3759" t="s">
        <v>781</v>
      </c>
      <c r="F33" s="2492" t="s">
        <v>782</v>
      </c>
      <c r="G33" s="2493"/>
      <c r="H33" s="2494"/>
      <c r="I33" s="2565"/>
      <c r="J33" s="188"/>
      <c r="K33" s="2558" t="str">
        <f ca="1">IF(项目基本情况!E9="——","——","抵押净值："&amp;C46&amp;"万元")</f>
        <v>抵押净值：178745万元</v>
      </c>
      <c r="L33" s="2469"/>
      <c r="M33" s="2469"/>
      <c r="N33" s="2469"/>
      <c r="O33" s="2467"/>
      <c r="P33" s="188"/>
      <c r="V33" s="188"/>
    </row>
    <row r="34" spans="1:26" s="2434" customFormat="1" ht="18">
      <c r="A34" s="2495"/>
      <c r="B34" s="2496" t="s">
        <v>783</v>
      </c>
      <c r="C34" s="2446">
        <f ca="1">ROUND(C32*10000/'数据-汇总表'!D3,0)</f>
        <v>34167</v>
      </c>
      <c r="D34" s="2497" t="s">
        <v>780</v>
      </c>
      <c r="E34" s="3812"/>
      <c r="F34" s="2498" t="s">
        <v>784</v>
      </c>
      <c r="G34" s="2499"/>
      <c r="H34" s="2450"/>
      <c r="I34" s="121"/>
      <c r="J34" s="188"/>
      <c r="K34" s="2566" t="str">
        <f ca="1">IF(K33="——","——","大写金额：人民币"&amp;NUMBERSTRING(INT(O41*10000),2)&amp;"元整")</f>
        <v>大写金额：人民币壹拾柒亿捌仟柒佰肆拾伍万元整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2278</v>
      </c>
      <c r="D35" s="2502" t="s">
        <v>785</v>
      </c>
      <c r="E35" s="3813"/>
      <c r="F35" s="2503" t="s">
        <v>786</v>
      </c>
      <c r="G35" s="2504"/>
      <c r="H35" s="2505" t="s">
        <v>787</v>
      </c>
      <c r="I35" s="121"/>
      <c r="J35" s="188"/>
      <c r="K35" s="3817" t="s">
        <v>788</v>
      </c>
      <c r="L35" s="3817" t="s">
        <v>789</v>
      </c>
      <c r="M35" s="2569" t="s">
        <v>790</v>
      </c>
      <c r="N35" s="3817" t="s">
        <v>791</v>
      </c>
      <c r="O35" s="3817" t="s">
        <v>792</v>
      </c>
      <c r="P35" s="188"/>
      <c r="V35" s="188"/>
    </row>
    <row r="36" spans="1:26" ht="16.5" customHeight="1">
      <c r="A36" s="2506" t="s">
        <v>793</v>
      </c>
      <c r="B36" s="2507" t="s">
        <v>769</v>
      </c>
      <c r="C36" s="2508" t="s">
        <v>770</v>
      </c>
      <c r="D36" s="2508" t="s">
        <v>794</v>
      </c>
      <c r="E36" s="2509" t="s">
        <v>771</v>
      </c>
      <c r="F36" s="121"/>
      <c r="G36" s="121"/>
      <c r="H36" s="121"/>
      <c r="I36" s="121"/>
      <c r="J36" s="2570"/>
      <c r="K36" s="3818"/>
      <c r="L36" s="3818"/>
      <c r="M36" s="2571" t="s">
        <v>795</v>
      </c>
      <c r="N36" s="3818"/>
      <c r="O36" s="3818"/>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819"/>
      <c r="L37" s="3819"/>
      <c r="M37" s="2572"/>
      <c r="N37" s="3819"/>
      <c r="O37" s="3819"/>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34167</v>
      </c>
      <c r="N38" s="2574">
        <f ca="1">C33</f>
        <v>9935</v>
      </c>
      <c r="O38" s="2575">
        <f ca="1">C32</f>
        <v>188725</v>
      </c>
      <c r="P38" s="188"/>
      <c r="V38" s="188"/>
    </row>
    <row r="39" spans="1:26" ht="16.5" customHeight="1">
      <c r="A39" s="2511"/>
      <c r="B39" s="2512"/>
      <c r="C39" s="2484"/>
      <c r="D39" s="2484"/>
      <c r="E39" s="2485">
        <f>E37+E38</f>
        <v>3111</v>
      </c>
      <c r="F39" s="121"/>
      <c r="G39" s="121"/>
      <c r="H39" s="121"/>
      <c r="I39" s="121"/>
      <c r="J39" s="2570"/>
      <c r="K39" s="3823" t="str">
        <f>MID(A44,3,LEN(A44)-2)</f>
        <v>抵押价格</v>
      </c>
      <c r="L39" s="3824"/>
      <c r="M39" s="3824"/>
      <c r="N39" s="3825"/>
      <c r="O39" s="2576">
        <f ca="1">C44</f>
        <v>188725</v>
      </c>
      <c r="P39" s="188"/>
      <c r="V39" s="188"/>
    </row>
    <row r="40" spans="1:26" ht="18.75">
      <c r="A40" s="2513" t="s">
        <v>798</v>
      </c>
      <c r="B40" s="121"/>
      <c r="C40" s="121"/>
      <c r="D40" s="121"/>
      <c r="E40" s="121"/>
      <c r="F40" s="121"/>
      <c r="G40" s="121"/>
      <c r="H40" s="121"/>
      <c r="I40" s="121"/>
      <c r="J40" s="2570"/>
      <c r="K40" s="3823" t="str">
        <f>MID(A45,3,LEN(A45)-2)</f>
        <v/>
      </c>
      <c r="L40" s="3824"/>
      <c r="M40" s="3824"/>
      <c r="N40" s="3825"/>
      <c r="O40" s="2576" t="str">
        <f>C45</f>
        <v>——</v>
      </c>
      <c r="P40" s="188"/>
      <c r="V40" s="188"/>
    </row>
    <row r="41" spans="1:26" ht="15.75">
      <c r="A41" s="2514" t="s">
        <v>799</v>
      </c>
      <c r="B41" s="2515"/>
      <c r="C41" s="2516" t="s">
        <v>800</v>
      </c>
      <c r="D41" s="2517" t="s">
        <v>801</v>
      </c>
      <c r="E41" s="2517" t="s">
        <v>802</v>
      </c>
      <c r="F41" s="2518" t="s">
        <v>803</v>
      </c>
      <c r="G41" s="121"/>
      <c r="H41" s="121"/>
      <c r="I41" s="121"/>
      <c r="J41" s="2570"/>
      <c r="K41" s="3823" t="str">
        <f>MID(A46,3,LEN(A46)-2)</f>
        <v>抵押净值</v>
      </c>
      <c r="L41" s="3824"/>
      <c r="M41" s="3824"/>
      <c r="N41" s="3825"/>
      <c r="O41" s="2576">
        <f ca="1">C46</f>
        <v>178745</v>
      </c>
      <c r="P41" s="188"/>
      <c r="V41" s="188"/>
    </row>
    <row r="42" spans="1:26" ht="29.25">
      <c r="A42" s="3762" t="s">
        <v>804</v>
      </c>
      <c r="B42" s="3763"/>
      <c r="C42" s="2446">
        <f ca="1">C32</f>
        <v>188725</v>
      </c>
      <c r="D42" s="2519">
        <f ca="1">C33</f>
        <v>9935</v>
      </c>
      <c r="E42" s="2519">
        <f ca="1">C34</f>
        <v>34167</v>
      </c>
      <c r="F42" s="2520">
        <f ca="1">C35</f>
        <v>2278</v>
      </c>
      <c r="G42" s="121"/>
      <c r="H42" s="121"/>
      <c r="I42" s="2577"/>
      <c r="J42" s="2570"/>
      <c r="K42" s="2578" t="s">
        <v>805</v>
      </c>
      <c r="L42" s="2579" t="s">
        <v>806</v>
      </c>
      <c r="M42" s="2580" t="s">
        <v>807</v>
      </c>
      <c r="N42" s="2581" t="s">
        <v>808</v>
      </c>
      <c r="O42" s="2582" t="s">
        <v>809</v>
      </c>
      <c r="P42" s="188"/>
      <c r="V42" s="188"/>
    </row>
    <row r="43" spans="1:26" ht="30">
      <c r="A43" s="3768" t="s">
        <v>810</v>
      </c>
      <c r="B43" s="3769"/>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191836</v>
      </c>
      <c r="O43" s="2587">
        <f ca="1">IF(O42="最终结果/万元",C32,C33)</f>
        <v>188725</v>
      </c>
      <c r="P43" s="188"/>
      <c r="V43" s="188"/>
    </row>
    <row r="44" spans="1:26" ht="30">
      <c r="A44" s="3762" t="str">
        <f>IF(OR(项目基本情况!E8="抵押价格",项目基本情况!E8="已注销及未注销"),"3.抵押价格","——")</f>
        <v>3.抵押价格</v>
      </c>
      <c r="B44" s="3763"/>
      <c r="C44" s="2446">
        <f ca="1">IF(A44="——","——",C42-C43)</f>
        <v>188725</v>
      </c>
      <c r="D44" s="2519">
        <f ca="1">ROUND(C44*10000/'数据-汇总表'!E3,0)</f>
        <v>9935</v>
      </c>
      <c r="E44" s="2519">
        <f ca="1">ROUND(C44*10000/'数据-汇总表'!D3,0)</f>
        <v>34167</v>
      </c>
      <c r="F44" s="2520">
        <f ca="1">ROUND(C44/('数据-汇总表'!D3/666.67),0)</f>
        <v>2278</v>
      </c>
      <c r="G44" s="121"/>
      <c r="H44" s="121"/>
      <c r="I44" s="2577"/>
      <c r="J44" s="2570"/>
      <c r="K44" s="2588" t="str">
        <f>D4</f>
        <v>剩余法-待开发</v>
      </c>
      <c r="L44" s="2589">
        <f ca="1">IF(L42="估价结果/万元",D19,D20)</f>
        <v>193486</v>
      </c>
      <c r="M44" s="2590">
        <f>D18</f>
        <v>0.5</v>
      </c>
      <c r="N44" s="2591"/>
      <c r="O44" s="2592"/>
      <c r="P44" s="188"/>
      <c r="V44" s="188"/>
    </row>
    <row r="45" spans="1:26" ht="15">
      <c r="A45" s="3764" t="str">
        <f>IF(项目基本情况!E8="已注销及未注销","4.抵押担保权已注销时的抵押价格",IF(项目基本情况!E8="已注销","3.抵押担保权已注销时的抵押价格","——"))</f>
        <v>——</v>
      </c>
      <c r="B45" s="3765"/>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766" t="str">
        <f>IF(项目基本情况!E9="抵押净值",IF(A45="——","4.抵押净值","5.抵押净值"),"——")</f>
        <v>4.抵押净值</v>
      </c>
      <c r="B46" s="3767"/>
      <c r="C46" s="2523">
        <f ca="1">IF(A46="——","——",O79)</f>
        <v>178745</v>
      </c>
      <c r="D46" s="2519">
        <f ca="1">ROUND(C46*10000/'数据-汇总表'!E3,0)</f>
        <v>9410</v>
      </c>
      <c r="E46" s="2519">
        <f ca="1">ROUND(C46*10000/'数据-汇总表'!D3,0)</f>
        <v>32360</v>
      </c>
      <c r="F46" s="2520">
        <f ca="1">ROUND(C46/('数据-汇总表'!D3/666.67),0)</f>
        <v>2157</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70" t="s">
        <v>819</v>
      </c>
      <c r="B63" s="3771"/>
      <c r="C63" s="3772"/>
      <c r="D63" s="1056">
        <f ca="1">ROUND(C42*F63,0)</f>
        <v>188725</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773" t="s">
        <v>822</v>
      </c>
      <c r="B64" s="3774"/>
      <c r="C64" s="3774"/>
      <c r="D64" s="3774"/>
      <c r="E64" s="3774"/>
      <c r="F64" s="3774"/>
      <c r="G64" s="3775"/>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776" t="s">
        <v>830</v>
      </c>
      <c r="B66" s="3777"/>
      <c r="C66" s="3777"/>
      <c r="D66" s="1028">
        <f ca="1">IF(H66="情况1",0,IF(H66="情况2",D70,IF(H66="情况3",D71,IF(H66="情况4",D72))))</f>
        <v>9886</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778" t="s">
        <v>832</v>
      </c>
      <c r="M66" s="3779"/>
      <c r="N66" s="2715"/>
      <c r="O66" s="2716"/>
      <c r="P66" s="2717"/>
      <c r="Q66" s="188"/>
      <c r="R66" s="188"/>
      <c r="S66" s="188"/>
      <c r="T66" s="188"/>
      <c r="U66" s="188"/>
      <c r="V66" s="188"/>
    </row>
    <row r="67" spans="1:22" ht="25.5" customHeight="1">
      <c r="A67" s="2610" t="s">
        <v>833</v>
      </c>
      <c r="B67" s="3780" t="s">
        <v>834</v>
      </c>
      <c r="C67" s="3780"/>
      <c r="D67" s="2611">
        <v>0</v>
      </c>
      <c r="E67" s="2612" t="s">
        <v>835</v>
      </c>
      <c r="F67" s="2613" t="s">
        <v>138</v>
      </c>
      <c r="G67" s="3814"/>
      <c r="H67" s="2615" t="s">
        <v>836</v>
      </c>
      <c r="I67" s="2718"/>
      <c r="J67" s="2719"/>
      <c r="K67" s="2720">
        <v>2</v>
      </c>
      <c r="L67" s="3781" t="s">
        <v>837</v>
      </c>
      <c r="M67" s="3781"/>
      <c r="N67" s="2721">
        <f>'数据-取费表'!B2</f>
        <v>45077</v>
      </c>
      <c r="O67" s="2721"/>
      <c r="P67" s="2721"/>
      <c r="Q67" s="188"/>
      <c r="R67" s="188"/>
      <c r="S67" s="188"/>
      <c r="T67" s="188"/>
      <c r="U67" s="188"/>
      <c r="V67" s="188"/>
    </row>
    <row r="68" spans="1:22" ht="25.5" customHeight="1">
      <c r="A68" s="2616"/>
      <c r="B68" s="3780" t="s">
        <v>838</v>
      </c>
      <c r="C68" s="3780"/>
      <c r="D68" s="2617"/>
      <c r="E68" s="2618"/>
      <c r="F68" s="2619"/>
      <c r="G68" s="3815"/>
      <c r="H68" s="2620" t="s">
        <v>839</v>
      </c>
      <c r="I68" s="2718"/>
      <c r="J68" s="2719"/>
      <c r="K68" s="2720">
        <v>3</v>
      </c>
      <c r="L68" s="3781" t="s">
        <v>840</v>
      </c>
      <c r="M68" s="3781"/>
      <c r="N68" s="2722">
        <f ca="1">C42</f>
        <v>188725</v>
      </c>
      <c r="O68" s="2722"/>
      <c r="P68" s="2722"/>
      <c r="Q68" s="188"/>
      <c r="R68" s="188"/>
      <c r="S68" s="188"/>
      <c r="T68" s="188"/>
      <c r="U68" s="188"/>
      <c r="V68" s="188"/>
    </row>
    <row r="69" spans="1:22" ht="23.45" customHeight="1">
      <c r="A69" s="2621"/>
      <c r="B69" s="3780" t="s">
        <v>841</v>
      </c>
      <c r="C69" s="3780"/>
      <c r="D69" s="2622"/>
      <c r="E69" s="2623"/>
      <c r="F69" s="2619"/>
      <c r="G69" s="3816"/>
      <c r="H69" s="2620" t="s">
        <v>842</v>
      </c>
      <c r="I69" s="2718"/>
      <c r="J69" s="2719"/>
      <c r="K69" s="2723">
        <v>4</v>
      </c>
      <c r="L69" s="3782" t="s">
        <v>843</v>
      </c>
      <c r="M69" s="3783"/>
      <c r="N69" s="2724">
        <f ca="1">C44</f>
        <v>188725</v>
      </c>
      <c r="O69" s="2724"/>
      <c r="P69" s="2724"/>
      <c r="Q69" s="188"/>
      <c r="R69" s="188"/>
      <c r="S69" s="188"/>
      <c r="T69" s="188"/>
      <c r="U69" s="188"/>
      <c r="V69" s="188"/>
    </row>
    <row r="70" spans="1:22" ht="24" customHeight="1">
      <c r="A70" s="2625" t="s">
        <v>844</v>
      </c>
      <c r="B70" s="3780" t="s">
        <v>845</v>
      </c>
      <c r="C70" s="3780"/>
      <c r="D70" s="2622">
        <f ca="1">ROUND(D63*'数据-取费表'!B41/(1+'数据-取费表'!C42),0)</f>
        <v>9886</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84" t="s">
        <v>848</v>
      </c>
      <c r="C71" s="3785"/>
      <c r="D71" s="2622">
        <f ca="1">ROUND(D63*'数据-取费表'!B41/(1+'数据-取费表'!C42),0)</f>
        <v>9886</v>
      </c>
      <c r="E71" s="130" t="s">
        <v>846</v>
      </c>
      <c r="F71" s="2626">
        <f>'数据-取费表'!B41</f>
        <v>5.5000000000000007E-2</v>
      </c>
      <c r="G71" s="2627"/>
      <c r="H71" s="121"/>
      <c r="I71" s="2725"/>
      <c r="J71" s="2719"/>
      <c r="K71" s="2730" t="s">
        <v>849</v>
      </c>
      <c r="L71" s="3786" t="s">
        <v>824</v>
      </c>
      <c r="M71" s="3786"/>
      <c r="N71" s="2730" t="s">
        <v>850</v>
      </c>
      <c r="O71" s="2730" t="s">
        <v>851</v>
      </c>
      <c r="P71" s="2730" t="s">
        <v>827</v>
      </c>
      <c r="Q71" s="188"/>
      <c r="R71" s="188"/>
      <c r="S71" s="188"/>
      <c r="T71" s="188"/>
      <c r="U71" s="188"/>
      <c r="V71" s="188"/>
    </row>
    <row r="72" spans="1:22" ht="12" customHeight="1">
      <c r="A72" s="2625" t="s">
        <v>852</v>
      </c>
      <c r="B72" s="3784" t="s">
        <v>853</v>
      </c>
      <c r="C72" s="3785"/>
      <c r="D72" s="2622">
        <f ca="1">C86</f>
        <v>9886</v>
      </c>
      <c r="E72" s="2623" t="s">
        <v>854</v>
      </c>
      <c r="F72" s="2626">
        <f>'数据-取费表'!B41</f>
        <v>5.5000000000000007E-2</v>
      </c>
      <c r="G72" s="2627"/>
      <c r="H72" s="2628"/>
      <c r="I72" s="2725"/>
      <c r="J72" s="2719"/>
      <c r="K72" s="2720">
        <v>1</v>
      </c>
      <c r="L72" s="3787" t="s">
        <v>855</v>
      </c>
      <c r="M72" s="3787"/>
      <c r="N72" s="2732">
        <f ca="1">D66</f>
        <v>9886</v>
      </c>
      <c r="O72" s="2731" t="str">
        <f>E66</f>
        <v>销售额×税（费）率</v>
      </c>
      <c r="P72" s="2733">
        <f>F66</f>
        <v>5.5000000000000007E-2</v>
      </c>
      <c r="Q72" s="188"/>
      <c r="R72" s="188"/>
      <c r="S72" s="188"/>
      <c r="T72" s="188"/>
      <c r="U72" s="188"/>
      <c r="V72" s="188"/>
    </row>
    <row r="73" spans="1:22" ht="24" customHeight="1">
      <c r="A73" s="3788" t="s">
        <v>856</v>
      </c>
      <c r="B73" s="3777"/>
      <c r="C73" s="3777"/>
      <c r="D73" s="2629">
        <f ca="1">IF(H73="个人住宅",0,ROUND(D63*I73,0))</f>
        <v>94</v>
      </c>
      <c r="E73" s="130" t="s">
        <v>857</v>
      </c>
      <c r="F73" s="2626">
        <f>IF(H73="正常",I73,"免征")</f>
        <v>5.0000000000000001E-4</v>
      </c>
      <c r="G73" s="2627"/>
      <c r="H73" s="2609" t="s">
        <v>1040</v>
      </c>
      <c r="I73" s="2626">
        <f>'数据-取费表'!B49</f>
        <v>5.0000000000000001E-4</v>
      </c>
      <c r="J73" s="2719"/>
      <c r="K73" s="2720">
        <v>2</v>
      </c>
      <c r="L73" s="3787" t="s">
        <v>858</v>
      </c>
      <c r="M73" s="3787"/>
      <c r="N73" s="2732">
        <f t="shared" ref="N73:P74" ca="1" si="0">D73</f>
        <v>94</v>
      </c>
      <c r="O73" s="2731" t="str">
        <f t="shared" si="0"/>
        <v>销售额×税（费）率</v>
      </c>
      <c r="P73" s="2733">
        <f t="shared" si="0"/>
        <v>5.0000000000000001E-4</v>
      </c>
      <c r="Q73" s="188"/>
      <c r="R73" s="188"/>
      <c r="S73" s="188"/>
      <c r="T73" s="188"/>
      <c r="U73" s="188"/>
      <c r="V73" s="188"/>
    </row>
    <row r="74" spans="1:22" ht="24.75">
      <c r="A74" s="3788" t="s">
        <v>859</v>
      </c>
      <c r="B74" s="3777"/>
      <c r="C74" s="3777"/>
      <c r="D74" s="2629">
        <f ca="1">IF(H74="个人住宅",D75,D76)</f>
        <v>0</v>
      </c>
      <c r="E74" s="130" t="s">
        <v>860</v>
      </c>
      <c r="F74" s="2626" t="str">
        <f>IF(H74="正常",F76,"免征")</f>
        <v>——</v>
      </c>
      <c r="G74" s="2630" t="s">
        <v>831</v>
      </c>
      <c r="H74" s="2631" t="s">
        <v>1040</v>
      </c>
      <c r="I74" s="2633"/>
      <c r="J74" s="2719"/>
      <c r="K74" s="2720">
        <v>3</v>
      </c>
      <c r="L74" s="3787" t="s">
        <v>861</v>
      </c>
      <c r="M74" s="3787"/>
      <c r="N74" s="2732">
        <f t="shared" ca="1" si="0"/>
        <v>0</v>
      </c>
      <c r="O74" s="2731" t="str">
        <f t="shared" si="0"/>
        <v>增值额×税（费）率</v>
      </c>
      <c r="P74" s="2734" t="str">
        <f t="shared" si="0"/>
        <v>——</v>
      </c>
      <c r="Q74" s="188"/>
      <c r="R74" s="188"/>
      <c r="S74" s="188"/>
      <c r="T74" s="188"/>
      <c r="U74" s="188"/>
      <c r="V74" s="188"/>
    </row>
    <row r="75" spans="1:22" ht="12.75">
      <c r="A75" s="2625" t="s">
        <v>833</v>
      </c>
      <c r="B75" s="3752" t="s">
        <v>862</v>
      </c>
      <c r="C75" s="3754"/>
      <c r="D75" s="2632">
        <v>0</v>
      </c>
      <c r="E75" s="2612" t="s">
        <v>835</v>
      </c>
      <c r="F75" s="84"/>
      <c r="G75" s="2627"/>
      <c r="H75" s="2633"/>
      <c r="I75" s="2633"/>
      <c r="J75" s="2719"/>
      <c r="K75" s="2720" t="str">
        <f>IF(H77="非个人房产","",4)</f>
        <v/>
      </c>
      <c r="L75" s="3787" t="str">
        <f>IF(H77="非个人房产","——","个人所得税")</f>
        <v>——</v>
      </c>
      <c r="M75" s="3787"/>
      <c r="N75" s="2735" t="str">
        <f>D77</f>
        <v>——</v>
      </c>
      <c r="O75" s="2736" t="str">
        <f>E77</f>
        <v>——</v>
      </c>
      <c r="P75" s="2737" t="str">
        <f>F77</f>
        <v>——</v>
      </c>
      <c r="Q75" s="188"/>
      <c r="R75" s="188"/>
      <c r="S75" s="188"/>
      <c r="T75" s="188"/>
      <c r="U75" s="188"/>
      <c r="V75" s="188"/>
    </row>
    <row r="76" spans="1:22" ht="24.75">
      <c r="A76" s="2625" t="s">
        <v>844</v>
      </c>
      <c r="B76" s="3752" t="s">
        <v>863</v>
      </c>
      <c r="C76" s="3753"/>
      <c r="D76" s="2629">
        <f ca="1">IF(H76="转让取得",C99,C115)</f>
        <v>0</v>
      </c>
      <c r="E76" s="130" t="s">
        <v>860</v>
      </c>
      <c r="F76" s="127" t="s">
        <v>138</v>
      </c>
      <c r="G76" s="2627"/>
      <c r="H76" s="2631" t="s">
        <v>2661</v>
      </c>
      <c r="I76" s="2633"/>
      <c r="J76" s="2719"/>
      <c r="K76" s="2720" t="str">
        <f>IF(项目基本情况!K6="上海银行",IF(K75="",4,K75+1),"")</f>
        <v/>
      </c>
      <c r="L76" s="3796" t="str">
        <f>IF(项目基本情况!K6="上海银行","其他处置费用","")</f>
        <v/>
      </c>
      <c r="M76" s="3797"/>
      <c r="N76" s="2732" t="str">
        <f>IF(项目基本情况!K6="上海银行",N89,"")</f>
        <v/>
      </c>
      <c r="O76" s="3826" t="str">
        <f>IF(项目基本情况!K6="上海银行","包含处置中涉及的律师、诉讼、拍卖、评估等费用","")</f>
        <v/>
      </c>
      <c r="P76" s="3827"/>
      <c r="Q76" s="188"/>
      <c r="R76" s="188"/>
      <c r="S76" s="188"/>
      <c r="T76" s="188"/>
      <c r="U76" s="188"/>
      <c r="V76" s="188"/>
    </row>
    <row r="77" spans="1:22" ht="24">
      <c r="A77" s="3789" t="s">
        <v>864</v>
      </c>
      <c r="B77" s="3790"/>
      <c r="C77" s="3790"/>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820">
        <f>IF(AND(K75="",K76=""),4,IF(项目基本情况!K6="上海银行",K76+1,K75+1))</f>
        <v>4</v>
      </c>
      <c r="L77" s="3787" t="s">
        <v>517</v>
      </c>
      <c r="M77" s="2740" t="s">
        <v>866</v>
      </c>
      <c r="N77" s="2741"/>
      <c r="O77" s="2742">
        <f ca="1">SUMIF(N72:N76,"&lt;9e307")</f>
        <v>9980</v>
      </c>
      <c r="P77" s="2743"/>
      <c r="Q77" s="2765">
        <f ca="1">O77/N69</f>
        <v>5.2881176314743678E-2</v>
      </c>
      <c r="R77" s="188"/>
      <c r="S77" s="188"/>
      <c r="T77" s="188"/>
      <c r="U77" s="188"/>
      <c r="V77" s="188"/>
    </row>
    <row r="78" spans="1:22" ht="12" customHeight="1">
      <c r="A78" s="2639"/>
      <c r="B78" s="121"/>
      <c r="C78" s="121"/>
      <c r="D78" s="121"/>
      <c r="E78" s="2633"/>
      <c r="F78" s="2633"/>
      <c r="G78" s="2633"/>
      <c r="H78" s="2640"/>
      <c r="I78" s="121"/>
      <c r="J78" s="2719"/>
      <c r="K78" s="3820"/>
      <c r="L78" s="3787"/>
      <c r="M78" s="2740" t="s">
        <v>867</v>
      </c>
      <c r="N78" s="2741"/>
      <c r="O78" s="2742" t="str">
        <f ca="1">NUMBERSTRING(INT(O77*10000),2)&amp;"元整"</f>
        <v>玖仟玖佰捌拾万元整</v>
      </c>
      <c r="P78" s="2743"/>
      <c r="Q78" s="188"/>
      <c r="R78" s="188"/>
      <c r="S78" s="188"/>
      <c r="T78" s="188"/>
      <c r="U78" s="188"/>
      <c r="V78" s="188"/>
    </row>
    <row r="79" spans="1:22" ht="12.75">
      <c r="A79" s="3791" t="s">
        <v>868</v>
      </c>
      <c r="B79" s="3791"/>
      <c r="C79" s="3791"/>
      <c r="D79" s="3791"/>
      <c r="E79" s="3791"/>
      <c r="F79" s="2633"/>
      <c r="G79" s="2633"/>
      <c r="H79" s="2640"/>
      <c r="I79" s="121"/>
      <c r="J79" s="2719"/>
      <c r="K79" s="3821">
        <f>K77+1</f>
        <v>5</v>
      </c>
      <c r="L79" s="3787" t="s">
        <v>869</v>
      </c>
      <c r="M79" s="2740" t="s">
        <v>866</v>
      </c>
      <c r="N79" s="2741"/>
      <c r="O79" s="2742">
        <f ca="1">N69-O77</f>
        <v>178745</v>
      </c>
      <c r="P79" s="2743"/>
      <c r="Q79" s="188"/>
      <c r="R79" s="188"/>
      <c r="S79" s="188"/>
      <c r="T79" s="188"/>
      <c r="U79" s="188"/>
      <c r="V79" s="188"/>
    </row>
    <row r="80" spans="1:22" ht="25.5">
      <c r="A80" s="3792" t="s">
        <v>870</v>
      </c>
      <c r="B80" s="3793"/>
      <c r="C80" s="2641"/>
      <c r="D80" s="2641" t="s">
        <v>871</v>
      </c>
      <c r="E80" s="2642" t="s">
        <v>828</v>
      </c>
      <c r="F80" s="2633"/>
      <c r="G80" s="2633"/>
      <c r="H80" s="2640"/>
      <c r="I80" s="121"/>
      <c r="J80" s="188"/>
      <c r="K80" s="3822"/>
      <c r="L80" s="3787"/>
      <c r="M80" s="2740" t="s">
        <v>867</v>
      </c>
      <c r="N80" s="2741"/>
      <c r="O80" s="2742" t="str">
        <f ca="1">NUMBERSTRING(INT(O79*10000),2)&amp;"元整"</f>
        <v>壹拾柒亿捌仟柒佰肆拾伍万元整</v>
      </c>
      <c r="P80" s="2743"/>
      <c r="Q80" s="188"/>
      <c r="R80" s="188"/>
      <c r="S80" s="188"/>
      <c r="T80" s="188"/>
      <c r="U80" s="188"/>
      <c r="V80" s="188"/>
    </row>
    <row r="81" spans="1:26" ht="12.75">
      <c r="A81" s="2643" t="s">
        <v>872</v>
      </c>
      <c r="B81" s="2644" t="s">
        <v>873</v>
      </c>
      <c r="C81" s="2645">
        <f ca="1">ROUND((C82+C83)/(1+'数据-取费表'!C42),0)</f>
        <v>179738</v>
      </c>
      <c r="D81" s="2646"/>
      <c r="E81" s="2647"/>
      <c r="F81" s="2633"/>
      <c r="G81" s="2633"/>
      <c r="H81" s="2640"/>
      <c r="I81" s="121"/>
      <c r="J81" s="188"/>
      <c r="K81" s="2720">
        <f>K79+1</f>
        <v>6</v>
      </c>
      <c r="L81" s="3794" t="s">
        <v>874</v>
      </c>
      <c r="M81" s="3795"/>
      <c r="N81" s="2744"/>
      <c r="O81" s="2745">
        <f ca="1">ROUND(O79*10000/'数据-汇总表'!E3,0)</f>
        <v>9410</v>
      </c>
      <c r="P81" s="2746"/>
      <c r="Q81" s="188"/>
      <c r="R81" s="188"/>
      <c r="S81" s="188"/>
      <c r="T81" s="188"/>
      <c r="U81" s="188"/>
      <c r="V81" s="188"/>
    </row>
    <row r="82" spans="1:26" ht="12.75">
      <c r="A82" s="2407" t="s">
        <v>875</v>
      </c>
      <c r="B82" s="2648" t="s">
        <v>876</v>
      </c>
      <c r="C82" s="2649">
        <f ca="1">D63</f>
        <v>188725</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805" t="s">
        <v>879</v>
      </c>
      <c r="L83" s="2747" t="s">
        <v>880</v>
      </c>
      <c r="M83" s="2748">
        <f ca="1">IF(N69&gt;10000,N69*0.5%,IF(AND(N69&gt;1000,N69&lt;=10000),N69*1%,IF(AND(N69&gt;100,N69&lt;=1000),N69*3%,IF(AND(N69&gt;10,N69&lt;=100),N69*5%,N69*8%))))</f>
        <v>943.625</v>
      </c>
      <c r="N83" s="127">
        <f ca="1">ROUND(M83,1)</f>
        <v>943.6</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805"/>
      <c r="L84" s="2747" t="s">
        <v>884</v>
      </c>
      <c r="M84" s="2748">
        <f ca="1">IF(N69&gt;2000,N69*0.5%,IF(AND(N69&gt;1000,N69&lt;=2000),N69*0.6%,IF(AND(N69&gt;500,N69&lt;=1000),N69*0.7%,IF(AND(N69&gt;200,N69&lt;=500),N69*0.8%,IF(AND(N69&gt;100,N69&lt;=200),N69*0.9%,IF(AND(N69&gt;50,N69&lt;=100),N69*1%,IF(AND(N69&gt;20,N69&lt;=50),N69*1.5%,IF(AND(N69&gt;10,N69&lt;=20),N69*2%,IF(AND(N69&gt;1,N69&lt;=10),N69*2.5%)))))))))</f>
        <v>943.625</v>
      </c>
      <c r="N84" s="127">
        <f ca="1">ROUND(M84,1)</f>
        <v>943.6</v>
      </c>
      <c r="O84" s="188" t="s">
        <v>885</v>
      </c>
      <c r="P84" s="188"/>
      <c r="Q84" s="188"/>
      <c r="R84" s="188"/>
      <c r="S84" s="188"/>
      <c r="T84" s="188"/>
      <c r="U84" s="188"/>
      <c r="V84" s="188"/>
    </row>
    <row r="85" spans="1:26" ht="12.75">
      <c r="A85" s="2643" t="s">
        <v>886</v>
      </c>
      <c r="B85" s="2652" t="s">
        <v>887</v>
      </c>
      <c r="C85" s="2656">
        <f ca="1">C81-C84</f>
        <v>179738</v>
      </c>
      <c r="D85" s="1863" t="s">
        <v>138</v>
      </c>
      <c r="E85" s="2650"/>
      <c r="F85" s="2633"/>
      <c r="G85" s="2633"/>
      <c r="H85" s="2640"/>
      <c r="I85" s="121"/>
      <c r="J85" s="188"/>
      <c r="K85" s="3805"/>
      <c r="L85" s="2747" t="s">
        <v>888</v>
      </c>
      <c r="M85" s="2748">
        <f ca="1">IF(N69&gt;1000,N69*0.1%,IF(AND(N69&gt;500,N69&lt;=1000),N69*0.5%,IF(AND(N69&gt;50,N69&lt;=500),N69*1%,IF(AND(N69&gt;1,N69&lt;=50),N69*1.5%))))</f>
        <v>188.72499999999999</v>
      </c>
      <c r="N85" s="127">
        <f ca="1">ROUND(M85,1)</f>
        <v>188.7</v>
      </c>
      <c r="O85" s="188" t="s">
        <v>885</v>
      </c>
      <c r="P85" s="188"/>
      <c r="Q85" s="188"/>
      <c r="R85" s="188"/>
      <c r="S85" s="188"/>
      <c r="T85" s="188"/>
      <c r="U85" s="188"/>
      <c r="V85" s="188"/>
    </row>
    <row r="86" spans="1:26" ht="12.75">
      <c r="A86" s="2657" t="s">
        <v>889</v>
      </c>
      <c r="B86" s="2658" t="s">
        <v>890</v>
      </c>
      <c r="C86" s="2659">
        <f ca="1">IF(C85&lt;=0,0,ROUND(C85*D86,0))</f>
        <v>9886</v>
      </c>
      <c r="D86" s="2660">
        <f>'数据-取费表'!B41</f>
        <v>5.5000000000000007E-2</v>
      </c>
      <c r="E86" s="2661"/>
      <c r="F86" s="2633"/>
      <c r="G86" s="2633"/>
      <c r="H86" s="2640"/>
      <c r="I86" s="121"/>
      <c r="J86" s="188"/>
      <c r="K86" s="3805"/>
      <c r="L86" s="2747" t="s">
        <v>891</v>
      </c>
      <c r="M86" s="2748">
        <f ca="1">N69*0.5%</f>
        <v>943.625</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805"/>
      <c r="L87" s="2747" t="s">
        <v>893</v>
      </c>
      <c r="M87" s="2748">
        <f ca="1">IF(N69&gt;=10000,(8.25+(N69-10000)*0.01%),IF(AND(N69&gt;=8000,N69&lt;10000),(7.85+(N69-8000)*0.02%),IF(AND(N69&gt;=5000,N69&lt;8000),(6.65+(N69-5000)*0.04%),IF(AND(N69&gt;=2000,N69&lt;5000),(4.25+(PN69-2000)*0.08%),IF(AND(N69&gt;=1000,N69&lt;2000),(2.75+(N69-1000)*0.15%),IF(AND(N69&gt;=100,N69&lt;1000),(0.5+(N69-100)*0.25%),IF(AND(N69&gt;0,N69&lt;100),N69*0.5%)))))))</f>
        <v>26.122500000000002</v>
      </c>
      <c r="N87" s="127">
        <f ca="1">ROUND(M87*0.9,1)</f>
        <v>23.5</v>
      </c>
      <c r="O87" s="2749"/>
      <c r="P87" s="188"/>
      <c r="Q87" s="188"/>
      <c r="R87" s="188"/>
      <c r="S87" s="188"/>
      <c r="T87" s="188"/>
      <c r="U87" s="188"/>
      <c r="V87" s="188"/>
      <c r="W87" s="2318"/>
      <c r="X87" s="2318"/>
      <c r="Y87" s="2318"/>
      <c r="Z87" s="2318"/>
    </row>
    <row r="88" spans="1:26" s="2435" customFormat="1" ht="14.25">
      <c r="A88" s="3803" t="s">
        <v>894</v>
      </c>
      <c r="B88" s="3804"/>
      <c r="C88" s="3804"/>
      <c r="D88" s="3804"/>
      <c r="E88" s="3804"/>
      <c r="F88" s="3804"/>
      <c r="G88" s="3804"/>
      <c r="H88" s="3804"/>
      <c r="I88" s="2750"/>
      <c r="J88" s="2751"/>
      <c r="K88" s="3805"/>
      <c r="L88" s="2747" t="s">
        <v>895</v>
      </c>
      <c r="M88" s="2748">
        <f ca="1">IF(N69&gt;10000,N69*0.5%,IF(AND(N69&gt;5000,N69&lt;=10000),N69*1%,IF(AND(N69&gt;1000,N69&lt;=5000),N69*2%,IF(AND(N69&gt;200,N69&lt;=1000),N69*3%,N69*5%))))</f>
        <v>943.625</v>
      </c>
      <c r="N88" s="127">
        <f ca="1">ROUND(M88,1)</f>
        <v>943.6</v>
      </c>
      <c r="O88" s="2749"/>
      <c r="P88" s="2752"/>
      <c r="Q88" s="2752"/>
      <c r="R88" s="2752"/>
      <c r="S88" s="2752"/>
      <c r="T88" s="2752"/>
      <c r="U88" s="2752"/>
      <c r="V88" s="2752"/>
      <c r="W88" s="2766"/>
      <c r="X88" s="2766"/>
      <c r="Y88" s="2766"/>
      <c r="Z88" s="2766"/>
    </row>
    <row r="89" spans="1:26" s="2435" customFormat="1" ht="14.25">
      <c r="A89" s="3792" t="s">
        <v>870</v>
      </c>
      <c r="B89" s="3793"/>
      <c r="C89" s="2641"/>
      <c r="D89" s="2641" t="s">
        <v>871</v>
      </c>
      <c r="E89" s="2667" t="s">
        <v>828</v>
      </c>
      <c r="F89" s="2668"/>
      <c r="G89" s="2668"/>
      <c r="H89" s="2669"/>
      <c r="I89" s="2753"/>
      <c r="J89" s="2754"/>
      <c r="K89" s="3805"/>
      <c r="L89" s="2747" t="s">
        <v>896</v>
      </c>
      <c r="M89" s="2755"/>
      <c r="N89" s="127">
        <f ca="1">ROUND(SUM(N83:N88),0)</f>
        <v>3044</v>
      </c>
      <c r="O89" s="2756">
        <f ca="1">N89/N69</f>
        <v>1.612928864750298E-2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179738</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899</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84" t="s">
        <v>906</v>
      </c>
      <c r="F94" s="3780"/>
      <c r="G94" s="3780"/>
      <c r="H94" s="3806"/>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899</v>
      </c>
      <c r="D96" s="2682">
        <f>'数据-取费表'!B43</f>
        <v>5.000000000000001E-3</v>
      </c>
      <c r="E96" s="3807" t="s">
        <v>911</v>
      </c>
      <c r="F96" s="3801"/>
      <c r="G96" s="3801"/>
      <c r="H96" s="3802"/>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178839</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198.93103448275863</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106989</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803" t="s">
        <v>916</v>
      </c>
      <c r="B101" s="3804"/>
      <c r="C101" s="3804"/>
      <c r="D101" s="3804"/>
      <c r="E101" s="3804"/>
      <c r="F101" s="3804"/>
      <c r="G101" s="3804"/>
      <c r="H101" s="3804"/>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92" t="s">
        <v>870</v>
      </c>
      <c r="B102" s="3793"/>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179738</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200712.04605499998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98" t="s">
        <v>924</v>
      </c>
      <c r="H108" s="3799"/>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800" t="s">
        <v>928</v>
      </c>
      <c r="F109" s="3801"/>
      <c r="G109" s="3801"/>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800" t="s">
        <v>931</v>
      </c>
      <c r="F110" s="3801"/>
      <c r="G110" s="3801"/>
      <c r="H110" s="3802"/>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899</v>
      </c>
      <c r="D111" s="2682">
        <f>'数据-取费表'!B43</f>
        <v>5.000000000000001E-3</v>
      </c>
      <c r="E111" s="3807" t="s">
        <v>911</v>
      </c>
      <c r="F111" s="3801"/>
      <c r="G111" s="3801"/>
      <c r="H111" s="3802"/>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800" t="s">
        <v>936</v>
      </c>
      <c r="F112" s="3801"/>
      <c r="G112" s="3801"/>
      <c r="H112" s="3802"/>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-20974</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 zoomScale="70" zoomScaleNormal="95" zoomScaleSheetLayoutView="70" workbookViewId="0">
      <selection activeCell="N29" sqref="N29"/>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28" t="s">
        <v>1023</v>
      </c>
      <c r="D6" s="3829"/>
      <c r="E6" s="3828" t="s">
        <v>1024</v>
      </c>
      <c r="F6" s="3829"/>
      <c r="G6" s="3828" t="s">
        <v>1025</v>
      </c>
      <c r="H6" s="3829"/>
      <c r="I6" s="3828" t="s">
        <v>1026</v>
      </c>
      <c r="J6" s="3829"/>
      <c r="K6" s="388" t="s">
        <v>1027</v>
      </c>
      <c r="L6" s="389"/>
      <c r="M6" s="385"/>
      <c r="N6" s="385"/>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30" ht="20.25">
      <c r="A7" s="225"/>
      <c r="B7" s="226"/>
      <c r="C7" s="3830" t="s">
        <v>1029</v>
      </c>
      <c r="D7" s="3831"/>
      <c r="E7" s="3830" t="s">
        <v>1030</v>
      </c>
      <c r="F7" s="3831"/>
      <c r="G7" s="3830" t="s">
        <v>1031</v>
      </c>
      <c r="H7" s="3831"/>
      <c r="I7" s="3830" t="s">
        <v>1032</v>
      </c>
      <c r="J7" s="3831"/>
      <c r="K7" s="388"/>
      <c r="L7" s="389"/>
      <c r="M7" s="385"/>
      <c r="N7" s="385"/>
      <c r="O7" s="390"/>
      <c r="P7" s="3854"/>
      <c r="Q7" s="3855"/>
      <c r="R7" s="3860"/>
      <c r="S7" s="3861"/>
      <c r="T7" s="3860"/>
      <c r="U7" s="3861"/>
      <c r="V7" s="3840"/>
      <c r="W7" s="3840"/>
      <c r="X7" s="460"/>
      <c r="Y7" s="3860"/>
      <c r="Z7" s="3861"/>
      <c r="AA7" s="3846"/>
      <c r="AB7" s="3846"/>
      <c r="AC7" s="3846"/>
    </row>
    <row r="8" spans="1:30" ht="20.25">
      <c r="A8" s="225"/>
      <c r="B8" s="226"/>
      <c r="C8" s="3832" t="s">
        <v>1033</v>
      </c>
      <c r="D8" s="3833"/>
      <c r="E8" s="3832" t="s">
        <v>1033</v>
      </c>
      <c r="F8" s="3833"/>
      <c r="G8" s="3834" t="s">
        <v>2684</v>
      </c>
      <c r="H8" s="3835"/>
      <c r="I8" s="3834" t="s">
        <v>2685</v>
      </c>
      <c r="J8" s="3835"/>
      <c r="K8" s="388" t="s">
        <v>1034</v>
      </c>
      <c r="L8" s="389"/>
      <c r="M8" s="385"/>
      <c r="N8" s="385"/>
      <c r="O8" s="390"/>
      <c r="P8" s="3856"/>
      <c r="Q8" s="3857"/>
      <c r="R8" s="3860"/>
      <c r="S8" s="3861"/>
      <c r="T8" s="3862"/>
      <c r="U8" s="3863"/>
      <c r="V8" s="3840"/>
      <c r="W8" s="3840"/>
      <c r="X8" s="460"/>
      <c r="Y8" s="3862"/>
      <c r="Z8" s="3863"/>
      <c r="AA8" s="3847"/>
      <c r="AB8" s="3847"/>
      <c r="AC8" s="3847"/>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36" t="s">
        <v>1036</v>
      </c>
      <c r="Q9" s="3837"/>
      <c r="R9" s="461" t="s">
        <v>1037</v>
      </c>
      <c r="S9" s="462">
        <f t="shared" ref="S9:S17" si="0">F9</f>
        <v>100</v>
      </c>
      <c r="T9" s="461" t="s">
        <v>1037</v>
      </c>
      <c r="U9" s="462">
        <f t="shared" ref="U9:U17" si="1">H9</f>
        <v>100</v>
      </c>
      <c r="V9" s="461" t="s">
        <v>1037</v>
      </c>
      <c r="W9" s="462">
        <f t="shared" ref="W9:W17" si="2">J9</f>
        <v>100</v>
      </c>
      <c r="X9" s="463"/>
      <c r="Y9" s="3836" t="s">
        <v>1036</v>
      </c>
      <c r="Z9" s="3838"/>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36" t="s">
        <v>1041</v>
      </c>
      <c r="Q10" s="3838"/>
      <c r="R10" s="461" t="s">
        <v>1037</v>
      </c>
      <c r="S10" s="462">
        <f t="shared" si="0"/>
        <v>100</v>
      </c>
      <c r="T10" s="461" t="s">
        <v>1037</v>
      </c>
      <c r="U10" s="462">
        <f t="shared" si="1"/>
        <v>100</v>
      </c>
      <c r="V10" s="461" t="s">
        <v>1037</v>
      </c>
      <c r="W10" s="462">
        <f t="shared" si="2"/>
        <v>100</v>
      </c>
      <c r="X10" s="463"/>
      <c r="Y10" s="3836" t="s">
        <v>1041</v>
      </c>
      <c r="Z10" s="3838"/>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39"/>
      <c r="Q13" s="464" t="str">
        <f t="shared" si="6"/>
        <v>容积率</v>
      </c>
      <c r="R13" s="461" t="s">
        <v>1037</v>
      </c>
      <c r="S13" s="462">
        <f t="shared" si="0"/>
        <v>103</v>
      </c>
      <c r="T13" s="461" t="s">
        <v>1037</v>
      </c>
      <c r="U13" s="462">
        <f t="shared" si="1"/>
        <v>97</v>
      </c>
      <c r="V13" s="461" t="s">
        <v>1037</v>
      </c>
      <c r="W13" s="462">
        <f t="shared" si="2"/>
        <v>97</v>
      </c>
      <c r="X13" s="463"/>
      <c r="Y13" s="3761"/>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39"/>
      <c r="Q14" s="464" t="str">
        <f t="shared" si="6"/>
        <v>配建</v>
      </c>
      <c r="R14" s="461" t="s">
        <v>1037</v>
      </c>
      <c r="S14" s="462">
        <f t="shared" si="0"/>
        <v>100</v>
      </c>
      <c r="T14" s="461" t="s">
        <v>1037</v>
      </c>
      <c r="U14" s="462">
        <f t="shared" si="1"/>
        <v>100</v>
      </c>
      <c r="V14" s="461" t="s">
        <v>1037</v>
      </c>
      <c r="W14" s="462">
        <f t="shared" si="2"/>
        <v>100</v>
      </c>
      <c r="X14" s="463"/>
      <c r="Y14" s="3761"/>
      <c r="Z14" s="481" t="str">
        <f t="shared" si="7"/>
        <v>配建</v>
      </c>
      <c r="AA14" s="480">
        <f t="shared" si="3"/>
        <v>1</v>
      </c>
      <c r="AB14" s="480">
        <f t="shared" si="4"/>
        <v>1</v>
      </c>
      <c r="AC14" s="480">
        <f t="shared" si="5"/>
        <v>1</v>
      </c>
    </row>
    <row r="15" spans="1:30" ht="20.25">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39"/>
      <c r="Q15" s="464">
        <f t="shared" si="6"/>
        <v>0</v>
      </c>
      <c r="R15" s="461" t="s">
        <v>1037</v>
      </c>
      <c r="S15" s="462">
        <f t="shared" si="0"/>
        <v>100</v>
      </c>
      <c r="T15" s="461" t="s">
        <v>1037</v>
      </c>
      <c r="U15" s="462">
        <f t="shared" si="1"/>
        <v>100</v>
      </c>
      <c r="V15" s="461" t="s">
        <v>1037</v>
      </c>
      <c r="W15" s="462">
        <f t="shared" si="2"/>
        <v>100</v>
      </c>
      <c r="X15" s="463"/>
      <c r="Y15" s="3761"/>
      <c r="Z15" s="481">
        <f t="shared" si="7"/>
        <v>0</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41" t="s">
        <v>1049</v>
      </c>
      <c r="Q17" s="395" t="str">
        <f t="shared" si="6"/>
        <v>居住社区成熟度</v>
      </c>
      <c r="R17" s="465" t="s">
        <v>1037</v>
      </c>
      <c r="S17" s="466">
        <f t="shared" si="0"/>
        <v>100</v>
      </c>
      <c r="T17" s="465" t="s">
        <v>1037</v>
      </c>
      <c r="U17" s="466">
        <f t="shared" si="1"/>
        <v>100</v>
      </c>
      <c r="V17" s="465" t="s">
        <v>1037</v>
      </c>
      <c r="W17" s="466">
        <f t="shared" si="2"/>
        <v>100</v>
      </c>
      <c r="X17" s="460"/>
      <c r="Y17" s="3841"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42"/>
      <c r="Q18" s="395"/>
      <c r="R18" s="465"/>
      <c r="S18" s="466"/>
      <c r="T18" s="465"/>
      <c r="U18" s="466"/>
      <c r="V18" s="465"/>
      <c r="W18" s="466"/>
      <c r="X18" s="460"/>
      <c r="Y18" s="3842"/>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42"/>
      <c r="Q19" s="395" t="str">
        <f>B19</f>
        <v>商业繁华度</v>
      </c>
      <c r="R19" s="465" t="s">
        <v>1037</v>
      </c>
      <c r="S19" s="466">
        <f>F19</f>
        <v>100</v>
      </c>
      <c r="T19" s="465" t="s">
        <v>1037</v>
      </c>
      <c r="U19" s="466">
        <f>H19</f>
        <v>100</v>
      </c>
      <c r="V19" s="465" t="s">
        <v>1037</v>
      </c>
      <c r="W19" s="466">
        <f>J19</f>
        <v>100</v>
      </c>
      <c r="X19" s="460"/>
      <c r="Y19" s="3842"/>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42"/>
      <c r="Q20" s="395"/>
      <c r="R20" s="465"/>
      <c r="S20" s="466"/>
      <c r="T20" s="465"/>
      <c r="U20" s="466"/>
      <c r="V20" s="465"/>
      <c r="W20" s="466"/>
      <c r="X20" s="460"/>
      <c r="Y20" s="3842"/>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42"/>
      <c r="Q21" s="395" t="str">
        <f>B21</f>
        <v>办公集聚程度</v>
      </c>
      <c r="R21" s="465" t="s">
        <v>1037</v>
      </c>
      <c r="S21" s="466">
        <f>F21</f>
        <v>100</v>
      </c>
      <c r="T21" s="465" t="s">
        <v>1037</v>
      </c>
      <c r="U21" s="466">
        <f>H21</f>
        <v>100</v>
      </c>
      <c r="V21" s="465" t="s">
        <v>1037</v>
      </c>
      <c r="W21" s="466">
        <f>J21</f>
        <v>100</v>
      </c>
      <c r="X21" s="460"/>
      <c r="Y21" s="3842"/>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42"/>
      <c r="Q22" s="395"/>
      <c r="R22" s="465"/>
      <c r="S22" s="466"/>
      <c r="T22" s="465"/>
      <c r="U22" s="466"/>
      <c r="V22" s="465"/>
      <c r="W22" s="466"/>
      <c r="X22" s="460"/>
      <c r="Y22" s="3842"/>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42"/>
      <c r="Q23" s="395" t="str">
        <f>B23</f>
        <v>交通便捷度</v>
      </c>
      <c r="R23" s="465" t="s">
        <v>1037</v>
      </c>
      <c r="S23" s="466">
        <f>F23</f>
        <v>100</v>
      </c>
      <c r="T23" s="465" t="s">
        <v>1037</v>
      </c>
      <c r="U23" s="466">
        <f>H23</f>
        <v>100</v>
      </c>
      <c r="V23" s="465" t="s">
        <v>1037</v>
      </c>
      <c r="W23" s="466">
        <f>J23</f>
        <v>100</v>
      </c>
      <c r="X23" s="460"/>
      <c r="Y23" s="3842"/>
      <c r="Z23" s="459" t="str">
        <f>Q23</f>
        <v>交通便捷度</v>
      </c>
      <c r="AA23" s="471">
        <f t="shared" si="3"/>
        <v>1</v>
      </c>
      <c r="AB23" s="471">
        <f t="shared" si="4"/>
        <v>1</v>
      </c>
      <c r="AC23" s="471">
        <f t="shared" si="5"/>
        <v>1</v>
      </c>
    </row>
    <row r="24" spans="1:29" ht="20.25">
      <c r="A24" s="264"/>
      <c r="B24" s="282"/>
      <c r="C24" s="581" t="s">
        <v>2720</v>
      </c>
      <c r="D24" s="268"/>
      <c r="E24" s="581" t="s">
        <v>2720</v>
      </c>
      <c r="F24" s="267"/>
      <c r="G24" s="581" t="s">
        <v>2720</v>
      </c>
      <c r="H24" s="267"/>
      <c r="I24" s="581" t="s">
        <v>2720</v>
      </c>
      <c r="J24" s="267"/>
      <c r="K24" s="2152"/>
      <c r="L24" s="402"/>
      <c r="M24" s="385"/>
      <c r="N24" s="385"/>
      <c r="O24" s="401"/>
      <c r="P24" s="3842"/>
      <c r="Q24" s="395"/>
      <c r="R24" s="465"/>
      <c r="S24" s="466"/>
      <c r="T24" s="465"/>
      <c r="U24" s="466"/>
      <c r="V24" s="465"/>
      <c r="W24" s="466"/>
      <c r="X24" s="460"/>
      <c r="Y24" s="3842"/>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42"/>
      <c r="Q25" s="395" t="str">
        <f t="shared" ref="Q25:Q40" si="8">B25</f>
        <v>区域土地利用方向</v>
      </c>
      <c r="R25" s="465" t="s">
        <v>1037</v>
      </c>
      <c r="S25" s="466">
        <f>F25</f>
        <v>100</v>
      </c>
      <c r="T25" s="465" t="s">
        <v>1037</v>
      </c>
      <c r="U25" s="466">
        <f>H25</f>
        <v>100</v>
      </c>
      <c r="V25" s="465" t="s">
        <v>1037</v>
      </c>
      <c r="W25" s="466">
        <f>J25</f>
        <v>100</v>
      </c>
      <c r="X25" s="460"/>
      <c r="Y25" s="3842"/>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42"/>
      <c r="Q26" s="395"/>
      <c r="R26" s="465"/>
      <c r="S26" s="466"/>
      <c r="T26" s="465"/>
      <c r="U26" s="466"/>
      <c r="V26" s="465"/>
      <c r="W26" s="466"/>
      <c r="X26" s="460"/>
      <c r="Y26" s="3842"/>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42"/>
      <c r="Q27" s="395" t="str">
        <f t="shared" si="8"/>
        <v>自然及人文环境状况</v>
      </c>
      <c r="R27" s="465" t="s">
        <v>1037</v>
      </c>
      <c r="S27" s="466">
        <f>F27</f>
        <v>100</v>
      </c>
      <c r="T27" s="465" t="s">
        <v>1037</v>
      </c>
      <c r="U27" s="466">
        <f>H27</f>
        <v>100</v>
      </c>
      <c r="V27" s="465" t="s">
        <v>1037</v>
      </c>
      <c r="W27" s="466">
        <f>J27</f>
        <v>100</v>
      </c>
      <c r="X27" s="460"/>
      <c r="Y27" s="3842"/>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42"/>
      <c r="Q28" s="395"/>
      <c r="R28" s="465"/>
      <c r="S28" s="466"/>
      <c r="T28" s="465"/>
      <c r="U28" s="466"/>
      <c r="V28" s="465"/>
      <c r="W28" s="466"/>
      <c r="X28" s="460"/>
      <c r="Y28" s="3842"/>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42"/>
      <c r="Q29" s="464" t="str">
        <f t="shared" si="8"/>
        <v>公共配套设施</v>
      </c>
      <c r="R29" s="461" t="s">
        <v>1037</v>
      </c>
      <c r="S29" s="462">
        <f>F29</f>
        <v>100</v>
      </c>
      <c r="T29" s="461" t="s">
        <v>1037</v>
      </c>
      <c r="U29" s="462">
        <f>H29</f>
        <v>100</v>
      </c>
      <c r="V29" s="461" t="s">
        <v>1037</v>
      </c>
      <c r="W29" s="462">
        <f>J29</f>
        <v>100</v>
      </c>
      <c r="X29" s="463"/>
      <c r="Y29" s="3842"/>
      <c r="Z29" s="481" t="str">
        <f>Q29</f>
        <v>公共配套设施</v>
      </c>
      <c r="AA29" s="471">
        <f>D29/F29</f>
        <v>1</v>
      </c>
      <c r="AB29" s="471">
        <f>D29/H29</f>
        <v>1</v>
      </c>
      <c r="AC29" s="471">
        <f>D29/J29</f>
        <v>1</v>
      </c>
    </row>
    <row r="30" spans="1:29" s="199" customFormat="1" ht="20.25">
      <c r="A30" s="515"/>
      <c r="B30" s="276"/>
      <c r="C30" s="2094" t="s">
        <v>2720</v>
      </c>
      <c r="D30" s="268"/>
      <c r="E30" s="2094" t="s">
        <v>2720</v>
      </c>
      <c r="F30" s="267"/>
      <c r="G30" s="2094" t="s">
        <v>2720</v>
      </c>
      <c r="H30" s="267"/>
      <c r="I30" s="2094" t="s">
        <v>2720</v>
      </c>
      <c r="J30" s="267"/>
      <c r="K30" s="2152"/>
      <c r="L30" s="392"/>
      <c r="M30" s="385"/>
      <c r="N30" s="385"/>
      <c r="O30" s="394"/>
      <c r="P30" s="3842"/>
      <c r="Q30" s="464"/>
      <c r="R30" s="461"/>
      <c r="S30" s="462"/>
      <c r="T30" s="461"/>
      <c r="U30" s="462"/>
      <c r="V30" s="461"/>
      <c r="W30" s="462"/>
      <c r="X30" s="463"/>
      <c r="Y30" s="3842"/>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42"/>
      <c r="Q31" s="464" t="str">
        <f>B31</f>
        <v>基础设施水平</v>
      </c>
      <c r="R31" s="461" t="s">
        <v>1037</v>
      </c>
      <c r="S31" s="462">
        <f>F31</f>
        <v>100</v>
      </c>
      <c r="T31" s="461" t="s">
        <v>1037</v>
      </c>
      <c r="U31" s="462">
        <f>H31</f>
        <v>100</v>
      </c>
      <c r="V31" s="461" t="s">
        <v>1037</v>
      </c>
      <c r="W31" s="462">
        <f>J31</f>
        <v>100</v>
      </c>
      <c r="X31" s="463"/>
      <c r="Y31" s="3842"/>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42"/>
      <c r="Q32" s="464"/>
      <c r="R32" s="461"/>
      <c r="S32" s="462"/>
      <c r="T32" s="461"/>
      <c r="U32" s="462"/>
      <c r="V32" s="461"/>
      <c r="W32" s="462"/>
      <c r="X32" s="463"/>
      <c r="Y32" s="3842"/>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42"/>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42"/>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42"/>
      <c r="Q34" s="395" t="str">
        <f t="shared" si="8"/>
        <v>毗邻道路的类型与等级</v>
      </c>
      <c r="R34" s="465" t="s">
        <v>1037</v>
      </c>
      <c r="S34" s="466">
        <f t="shared" si="9"/>
        <v>100</v>
      </c>
      <c r="T34" s="465" t="s">
        <v>1037</v>
      </c>
      <c r="U34" s="466">
        <f t="shared" si="10"/>
        <v>100</v>
      </c>
      <c r="V34" s="465" t="s">
        <v>1037</v>
      </c>
      <c r="W34" s="466">
        <f t="shared" si="11"/>
        <v>100</v>
      </c>
      <c r="X34" s="460"/>
      <c r="Y34" s="3842"/>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2"/>
      <c r="Q35" s="395"/>
      <c r="R35" s="465"/>
      <c r="S35" s="466"/>
      <c r="T35" s="465"/>
      <c r="U35" s="466"/>
      <c r="V35" s="465"/>
      <c r="W35" s="466"/>
      <c r="X35" s="460"/>
      <c r="Y35" s="3842"/>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2"/>
      <c r="Q36" s="395" t="str">
        <f t="shared" si="8"/>
        <v>土地级别</v>
      </c>
      <c r="R36" s="465" t="s">
        <v>1037</v>
      </c>
      <c r="S36" s="466">
        <f t="shared" si="9"/>
        <v>100</v>
      </c>
      <c r="T36" s="465" t="s">
        <v>1037</v>
      </c>
      <c r="U36" s="466">
        <f t="shared" si="10"/>
        <v>100</v>
      </c>
      <c r="V36" s="465" t="s">
        <v>1037</v>
      </c>
      <c r="W36" s="466">
        <f t="shared" si="11"/>
        <v>100</v>
      </c>
      <c r="X36" s="460"/>
      <c r="Y36" s="3842"/>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42"/>
      <c r="Q37" s="395">
        <f t="shared" si="8"/>
        <v>111</v>
      </c>
      <c r="R37" s="465" t="s">
        <v>1037</v>
      </c>
      <c r="S37" s="466">
        <f t="shared" si="9"/>
        <v>100</v>
      </c>
      <c r="T37" s="465" t="s">
        <v>1037</v>
      </c>
      <c r="U37" s="466">
        <f t="shared" si="10"/>
        <v>100</v>
      </c>
      <c r="V37" s="465" t="s">
        <v>1037</v>
      </c>
      <c r="W37" s="466">
        <f t="shared" si="11"/>
        <v>100</v>
      </c>
      <c r="X37" s="460"/>
      <c r="Y37" s="3842"/>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43" t="s">
        <v>1053</v>
      </c>
      <c r="Q38" s="395">
        <f t="shared" si="8"/>
        <v>111</v>
      </c>
      <c r="R38" s="465" t="s">
        <v>1037</v>
      </c>
      <c r="S38" s="466">
        <f t="shared" si="9"/>
        <v>100</v>
      </c>
      <c r="T38" s="465" t="s">
        <v>1037</v>
      </c>
      <c r="U38" s="466">
        <f t="shared" si="10"/>
        <v>100</v>
      </c>
      <c r="V38" s="465" t="s">
        <v>1037</v>
      </c>
      <c r="W38" s="466">
        <f t="shared" si="11"/>
        <v>100</v>
      </c>
      <c r="X38" s="460"/>
      <c r="Y38" s="3844"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44"/>
      <c r="Q39" s="395">
        <f t="shared" si="8"/>
        <v>111</v>
      </c>
      <c r="R39" s="468" t="s">
        <v>1037</v>
      </c>
      <c r="S39" s="469">
        <f t="shared" si="9"/>
        <v>100</v>
      </c>
      <c r="T39" s="468" t="s">
        <v>1037</v>
      </c>
      <c r="U39" s="469">
        <f t="shared" si="10"/>
        <v>100</v>
      </c>
      <c r="V39" s="468" t="s">
        <v>1037</v>
      </c>
      <c r="W39" s="469">
        <f t="shared" si="11"/>
        <v>100</v>
      </c>
      <c r="X39" s="470"/>
      <c r="Y39" s="3844"/>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44"/>
      <c r="Q40" s="395" t="str">
        <f t="shared" si="8"/>
        <v>宗地面积</v>
      </c>
      <c r="R40" s="465" t="s">
        <v>1037</v>
      </c>
      <c r="S40" s="466">
        <f t="shared" si="9"/>
        <v>100</v>
      </c>
      <c r="T40" s="465" t="s">
        <v>1037</v>
      </c>
      <c r="U40" s="466">
        <f t="shared" si="10"/>
        <v>100</v>
      </c>
      <c r="V40" s="465" t="s">
        <v>1037</v>
      </c>
      <c r="W40" s="466">
        <f t="shared" si="11"/>
        <v>101</v>
      </c>
      <c r="X40" s="460"/>
      <c r="Y40" s="3844"/>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44"/>
      <c r="Q41" s="395" t="str">
        <f t="shared" ref="Q41:Q47" si="13">B41</f>
        <v>宗地形状</v>
      </c>
      <c r="R41" s="465" t="s">
        <v>1037</v>
      </c>
      <c r="S41" s="466">
        <f t="shared" si="9"/>
        <v>100</v>
      </c>
      <c r="T41" s="465" t="s">
        <v>1037</v>
      </c>
      <c r="U41" s="466">
        <f t="shared" si="10"/>
        <v>100</v>
      </c>
      <c r="V41" s="465" t="s">
        <v>1037</v>
      </c>
      <c r="W41" s="466">
        <f t="shared" si="11"/>
        <v>100</v>
      </c>
      <c r="X41" s="460"/>
      <c r="Y41" s="3844"/>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4"/>
      <c r="Q42" s="395" t="str">
        <f t="shared" si="13"/>
        <v>临街宽度及深度</v>
      </c>
      <c r="R42" s="465" t="s">
        <v>1037</v>
      </c>
      <c r="S42" s="466">
        <f t="shared" si="9"/>
        <v>100</v>
      </c>
      <c r="T42" s="465" t="s">
        <v>1037</v>
      </c>
      <c r="U42" s="466">
        <f t="shared" si="10"/>
        <v>100</v>
      </c>
      <c r="V42" s="465" t="s">
        <v>1037</v>
      </c>
      <c r="W42" s="466">
        <f t="shared" si="11"/>
        <v>100</v>
      </c>
      <c r="X42" s="460"/>
      <c r="Y42" s="3844"/>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44"/>
      <c r="Q43" s="395" t="str">
        <f t="shared" si="13"/>
        <v>宗地开发程度</v>
      </c>
      <c r="R43" s="461" t="s">
        <v>1037</v>
      </c>
      <c r="S43" s="462">
        <f t="shared" si="9"/>
        <v>100</v>
      </c>
      <c r="T43" s="461" t="s">
        <v>1037</v>
      </c>
      <c r="U43" s="462">
        <f t="shared" si="10"/>
        <v>100</v>
      </c>
      <c r="V43" s="461" t="s">
        <v>1037</v>
      </c>
      <c r="W43" s="462">
        <f t="shared" si="11"/>
        <v>100</v>
      </c>
      <c r="X43" s="463"/>
      <c r="Y43" s="3844"/>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44" t="s">
        <v>1053</v>
      </c>
      <c r="Q44" s="395" t="str">
        <f t="shared" si="13"/>
        <v>工程地质条件</v>
      </c>
      <c r="R44" s="465" t="s">
        <v>1037</v>
      </c>
      <c r="S44" s="466">
        <f t="shared" si="9"/>
        <v>100</v>
      </c>
      <c r="T44" s="465" t="s">
        <v>1037</v>
      </c>
      <c r="U44" s="466">
        <f t="shared" si="10"/>
        <v>100</v>
      </c>
      <c r="V44" s="465" t="s">
        <v>1037</v>
      </c>
      <c r="W44" s="466">
        <f t="shared" si="11"/>
        <v>100</v>
      </c>
      <c r="X44" s="460"/>
      <c r="Y44" s="3844"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44"/>
      <c r="Q45" s="395">
        <f t="shared" si="13"/>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44"/>
      <c r="Q46" s="395">
        <f t="shared" si="13"/>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44"/>
      <c r="Q47" s="395">
        <f t="shared" si="13"/>
        <v>111</v>
      </c>
      <c r="R47" s="468" t="s">
        <v>1037</v>
      </c>
      <c r="S47" s="469">
        <f t="shared" si="9"/>
        <v>100</v>
      </c>
      <c r="T47" s="468" t="s">
        <v>1037</v>
      </c>
      <c r="U47" s="469">
        <f t="shared" si="10"/>
        <v>100</v>
      </c>
      <c r="V47" s="468" t="s">
        <v>1037</v>
      </c>
      <c r="W47" s="469">
        <f t="shared" si="11"/>
        <v>100</v>
      </c>
      <c r="X47" s="470"/>
      <c r="Y47" s="3844"/>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39" t="str">
        <f>A48</f>
        <v>成交单价</v>
      </c>
      <c r="Q48" s="3839"/>
      <c r="R48" s="3840">
        <f>E48</f>
        <v>14619</v>
      </c>
      <c r="S48" s="3840"/>
      <c r="T48" s="3840">
        <f>G48</f>
        <v>14300</v>
      </c>
      <c r="U48" s="3840"/>
      <c r="V48" s="3840">
        <f>I48</f>
        <v>14000</v>
      </c>
      <c r="W48" s="3840"/>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39" t="str">
        <f>A49</f>
        <v>比较价格（元/平方米）</v>
      </c>
      <c r="Q49" s="3839"/>
      <c r="R49" s="3864">
        <f>ROUND(PRODUCT(R48,AA9:AA47),0)</f>
        <v>14193</v>
      </c>
      <c r="S49" s="3864"/>
      <c r="T49" s="3864">
        <f>ROUND(PRODUCT(T48,AB9:AB47),0)</f>
        <v>14742</v>
      </c>
      <c r="U49" s="3864"/>
      <c r="V49" s="3864">
        <f>ROUND(PRODUCT(V48,AC9:AC47),0)</f>
        <v>14290</v>
      </c>
      <c r="W49" s="3864"/>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65" t="str">
        <f>A50</f>
        <v>估价对象XX用房的比较价格（楼面单价，元/平方米）</v>
      </c>
      <c r="Q50" s="3866"/>
      <c r="R50" s="3867">
        <f>ROUND(IF(D49="简单平均",AVERAGE(R49:W49),R49*F49+T49*H49+V49*J49),0)</f>
        <v>14408</v>
      </c>
      <c r="S50" s="3867"/>
      <c r="T50" s="3867"/>
      <c r="U50" s="3867"/>
      <c r="V50" s="3867"/>
      <c r="W50" s="3867"/>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48" t="s">
        <v>1074</v>
      </c>
      <c r="H57" s="3849"/>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50"/>
      <c r="H58" s="3851"/>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3" t="str">
        <f>项目基本情况!B1</f>
        <v>北京市出让国有建设用地使用权抵押价格预评估</v>
      </c>
      <c r="C37" s="3653"/>
      <c r="D37" s="3653"/>
      <c r="E37" s="3653"/>
      <c r="F37" s="3653"/>
      <c r="G37" s="3653"/>
      <c r="H37" s="3653"/>
      <c r="I37" s="3653"/>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P32" sqref="P32"/>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193486</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10186</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35029</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2335</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407209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9382</v>
      </c>
      <c r="E8" s="2354">
        <f>'不动产比较法-车位'!B3</f>
        <v>5362</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10039</v>
      </c>
      <c r="E10" s="2357">
        <f>'不动产比较法-车位'!B2</f>
        <v>20473</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93008</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2790</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3507</v>
      </c>
      <c r="D15" s="2367"/>
      <c r="E15" s="2368"/>
      <c r="F15" s="2370">
        <f>'数据-取费表'!B34</f>
        <v>0.05</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1395</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104499</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2209</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8144</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6298</v>
      </c>
      <c r="D26" s="2391">
        <f ca="1">C27</f>
        <v>0.1101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0.1101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6298</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21330</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148419</v>
      </c>
      <c r="D30" s="2405">
        <f ca="1">C32</f>
        <v>0.1391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148419</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0.1391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14495</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14495</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193486</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93008</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2790</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3507</v>
      </c>
      <c r="D15" s="2271"/>
      <c r="E15" s="84"/>
      <c r="F15" s="2273">
        <f>'数据-取费表'!B34</f>
        <v>0.05</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1395</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104499</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2090</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5558</v>
      </c>
      <c r="D20" s="2282">
        <f ca="1">ROUND(((1+F20)^'数据-取费表'!B20)-1,4)</f>
        <v>0.107</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12791</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8" t="s">
        <v>1013</v>
      </c>
      <c r="B24" s="3869"/>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8" t="s">
        <v>1014</v>
      </c>
      <c r="B25" s="3869"/>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8" t="s">
        <v>1015</v>
      </c>
      <c r="B26" s="3869"/>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70" t="s">
        <v>1016</v>
      </c>
      <c r="B27" s="3871"/>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28" t="s">
        <v>1023</v>
      </c>
      <c r="D6" s="3829"/>
      <c r="E6" s="3872" t="s">
        <v>1024</v>
      </c>
      <c r="F6" s="3873"/>
      <c r="G6" s="3828" t="s">
        <v>1025</v>
      </c>
      <c r="H6" s="3829"/>
      <c r="I6" s="3828" t="s">
        <v>1026</v>
      </c>
      <c r="J6" s="3829"/>
      <c r="K6" s="388" t="s">
        <v>1027</v>
      </c>
      <c r="L6" s="389"/>
      <c r="M6" s="390"/>
      <c r="N6" s="390"/>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29" ht="15">
      <c r="A7" s="225"/>
      <c r="B7" s="226"/>
      <c r="C7" s="3830" t="s">
        <v>1029</v>
      </c>
      <c r="D7" s="3831"/>
      <c r="E7" s="3874" t="s">
        <v>1030</v>
      </c>
      <c r="F7" s="3875"/>
      <c r="G7" s="3830" t="s">
        <v>1031</v>
      </c>
      <c r="H7" s="3831"/>
      <c r="I7" s="3830" t="s">
        <v>1032</v>
      </c>
      <c r="J7" s="3831"/>
      <c r="K7" s="388"/>
      <c r="L7" s="389"/>
      <c r="M7" s="390"/>
      <c r="N7" s="390"/>
      <c r="O7" s="390"/>
      <c r="P7" s="3854"/>
      <c r="Q7" s="3855"/>
      <c r="R7" s="3860"/>
      <c r="S7" s="3861"/>
      <c r="T7" s="3860"/>
      <c r="U7" s="3861"/>
      <c r="V7" s="3840"/>
      <c r="W7" s="3840"/>
      <c r="X7" s="460"/>
      <c r="Y7" s="3860"/>
      <c r="Z7" s="3861"/>
      <c r="AA7" s="3846"/>
      <c r="AB7" s="3846"/>
      <c r="AC7" s="3846"/>
    </row>
    <row r="8" spans="1:29" ht="15">
      <c r="A8" s="227"/>
      <c r="B8" s="228"/>
      <c r="C8" s="3876" t="s">
        <v>1033</v>
      </c>
      <c r="D8" s="3835"/>
      <c r="E8" s="3877" t="s">
        <v>1033</v>
      </c>
      <c r="F8" s="3878"/>
      <c r="G8" s="3876" t="s">
        <v>1033</v>
      </c>
      <c r="H8" s="3835"/>
      <c r="I8" s="3876" t="s">
        <v>1033</v>
      </c>
      <c r="J8" s="3835"/>
      <c r="K8" s="388" t="s">
        <v>1034</v>
      </c>
      <c r="L8" s="389"/>
      <c r="M8" s="390"/>
      <c r="N8" s="390"/>
      <c r="O8" s="390"/>
      <c r="P8" s="3856"/>
      <c r="Q8" s="3857"/>
      <c r="R8" s="3860"/>
      <c r="S8" s="3861"/>
      <c r="T8" s="3862"/>
      <c r="U8" s="3863"/>
      <c r="V8" s="3840"/>
      <c r="W8" s="3840"/>
      <c r="X8" s="460"/>
      <c r="Y8" s="3862"/>
      <c r="Z8" s="3863"/>
      <c r="AA8" s="3847"/>
      <c r="AB8" s="3847"/>
      <c r="AC8" s="3847"/>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6" t="s">
        <v>1036</v>
      </c>
      <c r="Q9" s="3837"/>
      <c r="R9" s="461" t="s">
        <v>1037</v>
      </c>
      <c r="S9" s="462">
        <f t="shared" ref="S9:S17" si="0">F9</f>
        <v>0</v>
      </c>
      <c r="T9" s="461" t="s">
        <v>1037</v>
      </c>
      <c r="U9" s="462">
        <f t="shared" ref="U9:U17" si="1">H9</f>
        <v>0</v>
      </c>
      <c r="V9" s="461" t="s">
        <v>1037</v>
      </c>
      <c r="W9" s="462">
        <f t="shared" ref="W9:W17" si="2">J9</f>
        <v>0</v>
      </c>
      <c r="X9" s="463"/>
      <c r="Y9" s="3836" t="s">
        <v>1036</v>
      </c>
      <c r="Z9" s="3838"/>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6" t="s">
        <v>1041</v>
      </c>
      <c r="Q10" s="3838"/>
      <c r="R10" s="461" t="s">
        <v>1037</v>
      </c>
      <c r="S10" s="462">
        <f t="shared" si="0"/>
        <v>0</v>
      </c>
      <c r="T10" s="461" t="s">
        <v>1037</v>
      </c>
      <c r="U10" s="462">
        <f t="shared" si="1"/>
        <v>0</v>
      </c>
      <c r="V10" s="461" t="s">
        <v>1037</v>
      </c>
      <c r="W10" s="462">
        <f t="shared" si="2"/>
        <v>0</v>
      </c>
      <c r="X10" s="463"/>
      <c r="Y10" s="3836" t="s">
        <v>1041</v>
      </c>
      <c r="Z10" s="3838"/>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39"/>
      <c r="Q13" s="464" t="str">
        <f t="shared" si="6"/>
        <v>容积率</v>
      </c>
      <c r="R13" s="461" t="s">
        <v>1037</v>
      </c>
      <c r="S13" s="462" t="e">
        <f t="shared" si="0"/>
        <v>#N/A</v>
      </c>
      <c r="T13" s="461" t="s">
        <v>1037</v>
      </c>
      <c r="U13" s="462" t="e">
        <f t="shared" si="1"/>
        <v>#N/A</v>
      </c>
      <c r="V13" s="461" t="s">
        <v>1037</v>
      </c>
      <c r="W13" s="462" t="e">
        <f t="shared" si="2"/>
        <v>#N/A</v>
      </c>
      <c r="X13" s="463"/>
      <c r="Y13" s="3761"/>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39"/>
      <c r="Q15" s="464">
        <f t="shared" si="6"/>
        <v>111</v>
      </c>
      <c r="R15" s="461" t="s">
        <v>1037</v>
      </c>
      <c r="S15" s="462">
        <f t="shared" si="0"/>
        <v>100</v>
      </c>
      <c r="T15" s="461" t="s">
        <v>1037</v>
      </c>
      <c r="U15" s="462">
        <f t="shared" si="1"/>
        <v>100</v>
      </c>
      <c r="V15" s="461" t="s">
        <v>1037</v>
      </c>
      <c r="W15" s="462">
        <f t="shared" si="2"/>
        <v>100</v>
      </c>
      <c r="X15" s="463"/>
      <c r="Y15" s="376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41" t="s">
        <v>1049</v>
      </c>
      <c r="Q17" s="395" t="str">
        <f t="shared" si="6"/>
        <v>产业集聚程度</v>
      </c>
      <c r="R17" s="465" t="s">
        <v>1037</v>
      </c>
      <c r="S17" s="466">
        <f t="shared" si="0"/>
        <v>100</v>
      </c>
      <c r="T17" s="465" t="s">
        <v>1037</v>
      </c>
      <c r="U17" s="466">
        <f t="shared" si="1"/>
        <v>100</v>
      </c>
      <c r="V17" s="465" t="s">
        <v>1037</v>
      </c>
      <c r="W17" s="466">
        <f t="shared" si="2"/>
        <v>100</v>
      </c>
      <c r="X17" s="460"/>
      <c r="Y17" s="3841"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42"/>
      <c r="Q18" s="395"/>
      <c r="R18" s="465"/>
      <c r="S18" s="466"/>
      <c r="T18" s="465"/>
      <c r="U18" s="466"/>
      <c r="V18" s="465"/>
      <c r="W18" s="466"/>
      <c r="X18" s="460"/>
      <c r="Y18" s="3842"/>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42"/>
      <c r="Q19" s="395" t="str">
        <f>B19</f>
        <v>交通便捷度</v>
      </c>
      <c r="R19" s="465" t="s">
        <v>1037</v>
      </c>
      <c r="S19" s="466">
        <f>F19</f>
        <v>100</v>
      </c>
      <c r="T19" s="465" t="s">
        <v>1037</v>
      </c>
      <c r="U19" s="466">
        <f>H19</f>
        <v>100</v>
      </c>
      <c r="V19" s="465" t="s">
        <v>1037</v>
      </c>
      <c r="W19" s="466">
        <f>J19</f>
        <v>100</v>
      </c>
      <c r="X19" s="460"/>
      <c r="Y19" s="3842"/>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42"/>
      <c r="Q20" s="395"/>
      <c r="R20" s="465"/>
      <c r="S20" s="466"/>
      <c r="T20" s="465"/>
      <c r="U20" s="466"/>
      <c r="V20" s="465"/>
      <c r="W20" s="466"/>
      <c r="X20" s="460"/>
      <c r="Y20" s="3842"/>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42"/>
      <c r="Q21" s="395" t="str">
        <f t="shared" ref="Q21:Q36" si="8">B21</f>
        <v>区域土地利用方向</v>
      </c>
      <c r="R21" s="465" t="s">
        <v>1037</v>
      </c>
      <c r="S21" s="466">
        <f>F21</f>
        <v>100</v>
      </c>
      <c r="T21" s="465" t="s">
        <v>1037</v>
      </c>
      <c r="U21" s="466">
        <f>H21</f>
        <v>100</v>
      </c>
      <c r="V21" s="465" t="s">
        <v>1037</v>
      </c>
      <c r="W21" s="466">
        <f>J21</f>
        <v>100</v>
      </c>
      <c r="X21" s="460"/>
      <c r="Y21" s="3842"/>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42"/>
      <c r="Q22" s="395"/>
      <c r="R22" s="465"/>
      <c r="S22" s="466"/>
      <c r="T22" s="465"/>
      <c r="U22" s="466"/>
      <c r="V22" s="465"/>
      <c r="W22" s="466"/>
      <c r="X22" s="460"/>
      <c r="Y22" s="3842"/>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42"/>
      <c r="Q23" s="395" t="str">
        <f t="shared" si="8"/>
        <v>环境状况</v>
      </c>
      <c r="R23" s="465" t="s">
        <v>1037</v>
      </c>
      <c r="S23" s="466">
        <f>F23</f>
        <v>100</v>
      </c>
      <c r="T23" s="465" t="s">
        <v>1037</v>
      </c>
      <c r="U23" s="466">
        <f>H23</f>
        <v>100</v>
      </c>
      <c r="V23" s="465" t="s">
        <v>1037</v>
      </c>
      <c r="W23" s="466">
        <f>J23</f>
        <v>100</v>
      </c>
      <c r="X23" s="460"/>
      <c r="Y23" s="3842"/>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42"/>
      <c r="Q24" s="395"/>
      <c r="R24" s="465"/>
      <c r="S24" s="466"/>
      <c r="T24" s="465"/>
      <c r="U24" s="466"/>
      <c r="V24" s="465"/>
      <c r="W24" s="466"/>
      <c r="X24" s="460"/>
      <c r="Y24" s="3842"/>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42"/>
      <c r="Q25" s="464" t="str">
        <f t="shared" si="8"/>
        <v>公共配套设施</v>
      </c>
      <c r="R25" s="461" t="s">
        <v>1037</v>
      </c>
      <c r="S25" s="462">
        <f>F25</f>
        <v>100</v>
      </c>
      <c r="T25" s="461" t="s">
        <v>1037</v>
      </c>
      <c r="U25" s="462">
        <f>H25</f>
        <v>100</v>
      </c>
      <c r="V25" s="461" t="s">
        <v>1037</v>
      </c>
      <c r="W25" s="462">
        <f>J25</f>
        <v>100</v>
      </c>
      <c r="X25" s="463"/>
      <c r="Y25" s="3842"/>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42"/>
      <c r="Q26" s="464"/>
      <c r="R26" s="461"/>
      <c r="S26" s="462"/>
      <c r="T26" s="461"/>
      <c r="U26" s="462"/>
      <c r="V26" s="461"/>
      <c r="W26" s="462"/>
      <c r="X26" s="463"/>
      <c r="Y26" s="3842"/>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42"/>
      <c r="Q27" s="464" t="str">
        <f>B27</f>
        <v>基础设施水平</v>
      </c>
      <c r="R27" s="461" t="s">
        <v>1037</v>
      </c>
      <c r="S27" s="462">
        <f>F27</f>
        <v>100</v>
      </c>
      <c r="T27" s="461" t="s">
        <v>1037</v>
      </c>
      <c r="U27" s="462">
        <f>H27</f>
        <v>100</v>
      </c>
      <c r="V27" s="461" t="s">
        <v>1037</v>
      </c>
      <c r="W27" s="462">
        <f>J27</f>
        <v>100</v>
      </c>
      <c r="X27" s="463"/>
      <c r="Y27" s="3842"/>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42"/>
      <c r="Q28" s="464"/>
      <c r="R28" s="461"/>
      <c r="S28" s="462"/>
      <c r="T28" s="461"/>
      <c r="U28" s="462"/>
      <c r="V28" s="461"/>
      <c r="W28" s="462"/>
      <c r="X28" s="463"/>
      <c r="Y28" s="3842"/>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42"/>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42"/>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42"/>
      <c r="Q30" s="395" t="str">
        <f t="shared" si="8"/>
        <v>毗邻道路的类型与等级</v>
      </c>
      <c r="R30" s="465" t="s">
        <v>1037</v>
      </c>
      <c r="S30" s="466">
        <f t="shared" si="9"/>
        <v>100</v>
      </c>
      <c r="T30" s="465" t="s">
        <v>1037</v>
      </c>
      <c r="U30" s="466">
        <f t="shared" si="10"/>
        <v>100</v>
      </c>
      <c r="V30" s="465" t="s">
        <v>1037</v>
      </c>
      <c r="W30" s="466">
        <f t="shared" si="11"/>
        <v>100</v>
      </c>
      <c r="X30" s="460"/>
      <c r="Y30" s="3842"/>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2"/>
      <c r="Q31" s="395"/>
      <c r="R31" s="465"/>
      <c r="S31" s="466"/>
      <c r="T31" s="465"/>
      <c r="U31" s="466"/>
      <c r="V31" s="465"/>
      <c r="W31" s="466"/>
      <c r="X31" s="460"/>
      <c r="Y31" s="3842"/>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2"/>
      <c r="Q32" s="395" t="str">
        <f t="shared" si="8"/>
        <v>土地级别</v>
      </c>
      <c r="R32" s="465" t="s">
        <v>1037</v>
      </c>
      <c r="S32" s="466">
        <f t="shared" si="9"/>
        <v>100</v>
      </c>
      <c r="T32" s="465" t="s">
        <v>1037</v>
      </c>
      <c r="U32" s="466">
        <f t="shared" si="10"/>
        <v>100</v>
      </c>
      <c r="V32" s="465" t="s">
        <v>1037</v>
      </c>
      <c r="W32" s="466">
        <f t="shared" si="11"/>
        <v>100</v>
      </c>
      <c r="X32" s="460"/>
      <c r="Y32" s="3842"/>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42"/>
      <c r="Q33" s="395">
        <f t="shared" si="8"/>
        <v>111</v>
      </c>
      <c r="R33" s="465" t="s">
        <v>1037</v>
      </c>
      <c r="S33" s="466">
        <f t="shared" si="9"/>
        <v>100</v>
      </c>
      <c r="T33" s="465" t="s">
        <v>1037</v>
      </c>
      <c r="U33" s="466">
        <f t="shared" si="10"/>
        <v>100</v>
      </c>
      <c r="V33" s="465" t="s">
        <v>1037</v>
      </c>
      <c r="W33" s="466">
        <f t="shared" si="11"/>
        <v>100</v>
      </c>
      <c r="X33" s="460"/>
      <c r="Y33" s="3842"/>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43" t="s">
        <v>1053</v>
      </c>
      <c r="Q34" s="395">
        <f t="shared" si="8"/>
        <v>111</v>
      </c>
      <c r="R34" s="465" t="s">
        <v>1037</v>
      </c>
      <c r="S34" s="466">
        <f t="shared" si="9"/>
        <v>100</v>
      </c>
      <c r="T34" s="465" t="s">
        <v>1037</v>
      </c>
      <c r="U34" s="466">
        <f t="shared" si="10"/>
        <v>100</v>
      </c>
      <c r="V34" s="465" t="s">
        <v>1037</v>
      </c>
      <c r="W34" s="466">
        <f t="shared" si="11"/>
        <v>100</v>
      </c>
      <c r="X34" s="460"/>
      <c r="Y34" s="3844"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44"/>
      <c r="Q35" s="395">
        <f t="shared" si="8"/>
        <v>111</v>
      </c>
      <c r="R35" s="468" t="s">
        <v>1037</v>
      </c>
      <c r="S35" s="469">
        <f t="shared" si="9"/>
        <v>100</v>
      </c>
      <c r="T35" s="468" t="s">
        <v>1037</v>
      </c>
      <c r="U35" s="469">
        <f t="shared" si="10"/>
        <v>100</v>
      </c>
      <c r="V35" s="468" t="s">
        <v>1037</v>
      </c>
      <c r="W35" s="469">
        <f t="shared" si="11"/>
        <v>100</v>
      </c>
      <c r="X35" s="470"/>
      <c r="Y35" s="3844"/>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44"/>
      <c r="Q36" s="395" t="str">
        <f t="shared" si="8"/>
        <v>宗地面积</v>
      </c>
      <c r="R36" s="465" t="s">
        <v>1037</v>
      </c>
      <c r="S36" s="466" t="e">
        <f t="shared" si="9"/>
        <v>#N/A</v>
      </c>
      <c r="T36" s="465" t="s">
        <v>1037</v>
      </c>
      <c r="U36" s="466" t="e">
        <f t="shared" si="10"/>
        <v>#N/A</v>
      </c>
      <c r="V36" s="465" t="s">
        <v>1037</v>
      </c>
      <c r="W36" s="466" t="e">
        <f t="shared" si="11"/>
        <v>#N/A</v>
      </c>
      <c r="X36" s="460"/>
      <c r="Y36" s="3844"/>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4"/>
      <c r="Q37" s="395" t="str">
        <f t="shared" ref="Q37:Q42" si="13">B37</f>
        <v>宗地形状</v>
      </c>
      <c r="R37" s="465" t="s">
        <v>1037</v>
      </c>
      <c r="S37" s="466">
        <f t="shared" si="9"/>
        <v>100</v>
      </c>
      <c r="T37" s="465" t="s">
        <v>1037</v>
      </c>
      <c r="U37" s="466">
        <f t="shared" si="10"/>
        <v>100</v>
      </c>
      <c r="V37" s="465" t="s">
        <v>1037</v>
      </c>
      <c r="W37" s="466">
        <f t="shared" si="11"/>
        <v>100</v>
      </c>
      <c r="X37" s="460"/>
      <c r="Y37" s="3844"/>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44"/>
      <c r="Q38" s="395" t="str">
        <f t="shared" si="13"/>
        <v>宗地开发程度</v>
      </c>
      <c r="R38" s="461" t="s">
        <v>1037</v>
      </c>
      <c r="S38" s="462">
        <f t="shared" si="9"/>
        <v>100</v>
      </c>
      <c r="T38" s="461" t="s">
        <v>1037</v>
      </c>
      <c r="U38" s="462">
        <f t="shared" si="10"/>
        <v>100</v>
      </c>
      <c r="V38" s="461" t="s">
        <v>1037</v>
      </c>
      <c r="W38" s="462">
        <f t="shared" si="11"/>
        <v>100</v>
      </c>
      <c r="X38" s="463"/>
      <c r="Y38" s="3844"/>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4" t="s">
        <v>1053</v>
      </c>
      <c r="Q39" s="395" t="str">
        <f t="shared" si="13"/>
        <v>工程地质条件</v>
      </c>
      <c r="R39" s="465" t="s">
        <v>1037</v>
      </c>
      <c r="S39" s="466">
        <f t="shared" si="9"/>
        <v>100</v>
      </c>
      <c r="T39" s="465" t="s">
        <v>1037</v>
      </c>
      <c r="U39" s="466">
        <f t="shared" si="10"/>
        <v>100</v>
      </c>
      <c r="V39" s="465" t="s">
        <v>1037</v>
      </c>
      <c r="W39" s="466">
        <f t="shared" si="11"/>
        <v>100</v>
      </c>
      <c r="X39" s="460"/>
      <c r="Y39" s="3844"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44"/>
      <c r="Q40" s="395">
        <f t="shared" si="13"/>
        <v>111</v>
      </c>
      <c r="R40" s="465" t="s">
        <v>1037</v>
      </c>
      <c r="S40" s="466">
        <f t="shared" si="9"/>
        <v>100</v>
      </c>
      <c r="T40" s="465" t="s">
        <v>1037</v>
      </c>
      <c r="U40" s="466">
        <f t="shared" si="10"/>
        <v>100</v>
      </c>
      <c r="V40" s="465" t="s">
        <v>1037</v>
      </c>
      <c r="W40" s="466">
        <f t="shared" si="11"/>
        <v>100</v>
      </c>
      <c r="X40" s="460"/>
      <c r="Y40" s="3844"/>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44"/>
      <c r="Q41" s="395">
        <f t="shared" si="13"/>
        <v>111</v>
      </c>
      <c r="R41" s="465" t="s">
        <v>1037</v>
      </c>
      <c r="S41" s="466">
        <f t="shared" si="9"/>
        <v>100</v>
      </c>
      <c r="T41" s="465" t="s">
        <v>1037</v>
      </c>
      <c r="U41" s="466">
        <f t="shared" si="10"/>
        <v>100</v>
      </c>
      <c r="V41" s="465" t="s">
        <v>1037</v>
      </c>
      <c r="W41" s="466">
        <f t="shared" si="11"/>
        <v>100</v>
      </c>
      <c r="X41" s="460"/>
      <c r="Y41" s="3844"/>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44"/>
      <c r="Q42" s="395">
        <f t="shared" si="13"/>
        <v>111</v>
      </c>
      <c r="R42" s="468" t="s">
        <v>1037</v>
      </c>
      <c r="S42" s="469">
        <f t="shared" si="9"/>
        <v>100</v>
      </c>
      <c r="T42" s="468" t="s">
        <v>1037</v>
      </c>
      <c r="U42" s="469">
        <f t="shared" si="10"/>
        <v>100</v>
      </c>
      <c r="V42" s="468" t="s">
        <v>1037</v>
      </c>
      <c r="W42" s="469">
        <f t="shared" si="11"/>
        <v>100</v>
      </c>
      <c r="X42" s="470"/>
      <c r="Y42" s="3844"/>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39" t="str">
        <f>A43</f>
        <v>成交单价</v>
      </c>
      <c r="Q43" s="3839"/>
      <c r="R43" s="3840">
        <f>E43</f>
        <v>0</v>
      </c>
      <c r="S43" s="3840"/>
      <c r="T43" s="3840">
        <f>G43</f>
        <v>0</v>
      </c>
      <c r="U43" s="3840"/>
      <c r="V43" s="3840">
        <f>I43</f>
        <v>0</v>
      </c>
      <c r="W43" s="3840"/>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39" t="str">
        <f>A44</f>
        <v>比较价格（元/平方米）</v>
      </c>
      <c r="Q44" s="3839"/>
      <c r="R44" s="3864" t="e">
        <f>ROUND(PRODUCT(R43,AA9:AA42),0)</f>
        <v>#DIV/0!</v>
      </c>
      <c r="S44" s="3864"/>
      <c r="T44" s="3864" t="e">
        <f>ROUND(PRODUCT(T43,AB9:AB42),0)</f>
        <v>#DIV/0!</v>
      </c>
      <c r="U44" s="3864"/>
      <c r="V44" s="3864" t="e">
        <f>ROUND(PRODUCT(V43,AC9:AC42),0)</f>
        <v>#DIV/0!</v>
      </c>
      <c r="W44" s="3864"/>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65" t="str">
        <f>A45</f>
        <v>估价对象XX用房的比较价格（楼面单价，元/平方米）</v>
      </c>
      <c r="Q45" s="3866"/>
      <c r="R45" s="3883" t="e">
        <f>ROUND(IF(D44="简单平均",AVERAGE(R44:W44),R44*F44+T44*H44+V44*J44),0)</f>
        <v>#DIV/0!</v>
      </c>
      <c r="S45" s="3883"/>
      <c r="T45" s="3883"/>
      <c r="U45" s="3883"/>
      <c r="V45" s="3883"/>
      <c r="W45" s="3883"/>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9" t="s">
        <v>1074</v>
      </c>
      <c r="H52" s="3880"/>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81"/>
      <c r="H53" s="3882"/>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4" t="s">
        <v>1137</v>
      </c>
      <c r="X8" s="3885"/>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8"/>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8"/>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0" t="s">
        <v>934</v>
      </c>
      <c r="B20" s="1721" t="s">
        <v>1184</v>
      </c>
      <c r="C20" s="1768" t="e">
        <f>ROUND(IF(F21="与级别开发程度一致",0,(G21-E21)/C21),0)</f>
        <v>#DIV/0!</v>
      </c>
      <c r="D20" s="3886" t="s">
        <v>1185</v>
      </c>
      <c r="E20" s="3887"/>
      <c r="F20" s="3886" t="s">
        <v>1186</v>
      </c>
      <c r="G20" s="3887"/>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1"/>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2"/>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2"/>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93"/>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3"/>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3"/>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3"/>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8" t="s">
        <v>1273</v>
      </c>
      <c r="B104" s="3888"/>
      <c r="C104" s="3888"/>
      <c r="D104" s="3888"/>
      <c r="E104" s="3888"/>
      <c r="F104" s="3888"/>
      <c r="G104" s="3888"/>
      <c r="H104" s="3888"/>
      <c r="I104" s="3888"/>
      <c r="J104" s="3888"/>
      <c r="K104" s="1681"/>
      <c r="L104" s="1681"/>
      <c r="M104" s="1681"/>
      <c r="N104" s="1681"/>
    </row>
    <row r="105" spans="1:36">
      <c r="A105" s="3894" t="s">
        <v>352</v>
      </c>
      <c r="B105" s="3894" t="s">
        <v>1274</v>
      </c>
      <c r="C105" s="2050" t="s">
        <v>1109</v>
      </c>
      <c r="D105" s="2051"/>
      <c r="E105" s="2051"/>
      <c r="F105" s="2051"/>
      <c r="G105" s="2051"/>
      <c r="H105" s="2051"/>
      <c r="I105" s="2051"/>
      <c r="J105" s="2078"/>
      <c r="K105" s="1645"/>
      <c r="L105" s="1645"/>
      <c r="M105" s="1645"/>
      <c r="N105" s="1645"/>
    </row>
    <row r="106" spans="1:36">
      <c r="A106" s="3894"/>
      <c r="B106" s="3894"/>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5"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6"/>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6"/>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6"/>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6"/>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6"/>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7"/>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9" t="s">
        <v>1277</v>
      </c>
      <c r="B114" s="3889"/>
      <c r="C114" s="3889"/>
      <c r="D114" s="3889"/>
      <c r="E114" s="3889"/>
      <c r="F114" s="3889"/>
      <c r="G114" s="3889"/>
      <c r="H114" s="3889"/>
      <c r="I114" s="3889"/>
      <c r="J114" s="3889"/>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899" t="s">
        <v>435</v>
      </c>
      <c r="B20" s="3905" t="s">
        <v>1297</v>
      </c>
      <c r="C20" s="1641" t="s">
        <v>1298</v>
      </c>
      <c r="D20" s="1642"/>
      <c r="E20" s="1643">
        <v>1</v>
      </c>
      <c r="F20" s="1644" t="s">
        <v>1299</v>
      </c>
      <c r="G20" s="1645"/>
      <c r="H20" s="1611"/>
      <c r="I20" s="1611"/>
    </row>
    <row r="21" spans="1:13" s="1610" customFormat="1">
      <c r="A21" s="3900"/>
      <c r="B21" s="3906"/>
      <c r="C21" s="1646" t="s">
        <v>1300</v>
      </c>
      <c r="D21" s="1647"/>
      <c r="E21" s="1648">
        <v>1</v>
      </c>
      <c r="F21" s="1644" t="s">
        <v>1301</v>
      </c>
      <c r="G21" s="1645"/>
      <c r="H21" s="1611"/>
      <c r="I21" s="1611"/>
    </row>
    <row r="22" spans="1:13" s="1610" customFormat="1">
      <c r="A22" s="3900"/>
      <c r="B22" s="3906"/>
      <c r="C22" s="1646" t="s">
        <v>1302</v>
      </c>
      <c r="D22" s="1647"/>
      <c r="E22" s="1648">
        <v>0.9</v>
      </c>
      <c r="F22" s="1644" t="s">
        <v>1303</v>
      </c>
      <c r="G22" s="1645"/>
      <c r="H22" s="1611"/>
      <c r="I22" s="1611"/>
    </row>
    <row r="23" spans="1:13" s="1610" customFormat="1">
      <c r="A23" s="3900"/>
      <c r="B23" s="3906"/>
      <c r="C23" s="1646" t="s">
        <v>1304</v>
      </c>
      <c r="D23" s="1647"/>
      <c r="E23" s="1648">
        <v>0.9</v>
      </c>
      <c r="F23" s="1644" t="s">
        <v>1305</v>
      </c>
      <c r="G23" s="1645"/>
      <c r="H23" s="1611"/>
      <c r="I23" s="1611"/>
    </row>
    <row r="24" spans="1:13" s="1610" customFormat="1">
      <c r="A24" s="3900"/>
      <c r="B24" s="3906"/>
      <c r="C24" s="1646" t="s">
        <v>1306</v>
      </c>
      <c r="D24" s="1647"/>
      <c r="E24" s="1648">
        <v>0.8</v>
      </c>
      <c r="F24" s="1644" t="s">
        <v>1307</v>
      </c>
      <c r="G24" s="1645"/>
      <c r="H24" s="1611"/>
      <c r="I24" s="1611"/>
    </row>
    <row r="25" spans="1:13" s="1610" customFormat="1">
      <c r="A25" s="3901"/>
      <c r="B25" s="3907"/>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2" t="s">
        <v>297</v>
      </c>
      <c r="B27" s="3905" t="s">
        <v>297</v>
      </c>
      <c r="C27" s="1641" t="s">
        <v>1312</v>
      </c>
      <c r="D27" s="1642"/>
      <c r="E27" s="1643">
        <v>1</v>
      </c>
      <c r="F27" s="1644" t="s">
        <v>1313</v>
      </c>
      <c r="G27" s="1645"/>
      <c r="H27" s="1611"/>
      <c r="I27" s="1611"/>
    </row>
    <row r="28" spans="1:13" s="1610" customFormat="1">
      <c r="A28" s="3903"/>
      <c r="B28" s="3906"/>
      <c r="C28" s="1646" t="s">
        <v>1314</v>
      </c>
      <c r="D28" s="1647"/>
      <c r="E28" s="1648">
        <v>1</v>
      </c>
      <c r="F28" s="1644" t="s">
        <v>1315</v>
      </c>
      <c r="G28" s="1645"/>
      <c r="H28" s="1611"/>
      <c r="I28" s="1611"/>
    </row>
    <row r="29" spans="1:13" s="1610" customFormat="1">
      <c r="A29" s="3903"/>
      <c r="B29" s="3906"/>
      <c r="C29" s="1646" t="s">
        <v>1316</v>
      </c>
      <c r="D29" s="1647"/>
      <c r="E29" s="1648">
        <v>0.8</v>
      </c>
      <c r="F29" s="1644" t="s">
        <v>1317</v>
      </c>
      <c r="G29" s="1645"/>
      <c r="H29" s="1611"/>
      <c r="I29" s="1611"/>
    </row>
    <row r="30" spans="1:13" s="1610" customFormat="1">
      <c r="A30" s="3903"/>
      <c r="B30" s="3906"/>
      <c r="C30" s="1646" t="s">
        <v>1318</v>
      </c>
      <c r="D30" s="1647"/>
      <c r="E30" s="1648">
        <v>0.8</v>
      </c>
      <c r="F30" s="1644" t="s">
        <v>1319</v>
      </c>
      <c r="G30" s="1645"/>
      <c r="H30" s="1611"/>
      <c r="I30" s="1611"/>
    </row>
    <row r="31" spans="1:13" s="1610" customFormat="1">
      <c r="A31" s="3903"/>
      <c r="B31" s="3906"/>
      <c r="C31" s="1646" t="s">
        <v>1320</v>
      </c>
      <c r="D31" s="1647"/>
      <c r="E31" s="1648">
        <v>0.8</v>
      </c>
      <c r="F31" s="1644" t="s">
        <v>1321</v>
      </c>
      <c r="G31" s="1645"/>
      <c r="H31" s="1611"/>
      <c r="I31" s="1611"/>
    </row>
    <row r="32" spans="1:13" s="1610" customFormat="1">
      <c r="A32" s="3903"/>
      <c r="B32" s="3906"/>
      <c r="C32" s="1646" t="s">
        <v>1322</v>
      </c>
      <c r="D32" s="1647"/>
      <c r="E32" s="1648">
        <v>0.7</v>
      </c>
      <c r="F32" s="1644" t="s">
        <v>1323</v>
      </c>
      <c r="G32" s="1645"/>
      <c r="H32" s="1611"/>
      <c r="I32" s="1611"/>
    </row>
    <row r="33" spans="1:9" s="1610" customFormat="1">
      <c r="A33" s="3903"/>
      <c r="B33" s="3906"/>
      <c r="C33" s="1646" t="s">
        <v>1324</v>
      </c>
      <c r="D33" s="1647"/>
      <c r="E33" s="1648">
        <v>0.8</v>
      </c>
      <c r="F33" s="1644" t="s">
        <v>1325</v>
      </c>
      <c r="G33" s="1645"/>
      <c r="H33" s="1611"/>
      <c r="I33" s="1611"/>
    </row>
    <row r="34" spans="1:9" s="1610" customFormat="1">
      <c r="A34" s="3903"/>
      <c r="B34" s="3906"/>
      <c r="C34" s="1646" t="s">
        <v>1326</v>
      </c>
      <c r="D34" s="1647"/>
      <c r="E34" s="1648">
        <v>0.6</v>
      </c>
      <c r="F34" s="1644" t="s">
        <v>1327</v>
      </c>
      <c r="G34" s="1645"/>
      <c r="H34" s="1611"/>
      <c r="I34" s="1611"/>
    </row>
    <row r="35" spans="1:9" s="1610" customFormat="1">
      <c r="A35" s="3903"/>
      <c r="B35" s="3906"/>
      <c r="C35" s="1646" t="s">
        <v>1328</v>
      </c>
      <c r="D35" s="1647"/>
      <c r="E35" s="1648">
        <v>0.2</v>
      </c>
      <c r="F35" s="1644" t="s">
        <v>1329</v>
      </c>
      <c r="G35" s="1645"/>
      <c r="H35" s="1611"/>
      <c r="I35" s="1611"/>
    </row>
    <row r="36" spans="1:9" s="1610" customFormat="1">
      <c r="A36" s="3903"/>
      <c r="B36" s="3906"/>
      <c r="C36" s="1646" t="s">
        <v>1330</v>
      </c>
      <c r="D36" s="1647"/>
      <c r="E36" s="1648">
        <v>0.2</v>
      </c>
      <c r="F36" s="1644" t="s">
        <v>1331</v>
      </c>
      <c r="G36" s="1645"/>
      <c r="H36" s="1611"/>
      <c r="I36" s="1611"/>
    </row>
    <row r="37" spans="1:9" s="1610" customFormat="1">
      <c r="A37" s="3903"/>
      <c r="B37" s="3908" t="s">
        <v>1332</v>
      </c>
      <c r="C37" s="1646" t="s">
        <v>1333</v>
      </c>
      <c r="D37" s="1647"/>
      <c r="E37" s="1648">
        <v>0.6</v>
      </c>
      <c r="F37" s="1644" t="s">
        <v>1334</v>
      </c>
      <c r="G37" s="1645"/>
      <c r="H37" s="1611"/>
      <c r="I37" s="1611"/>
    </row>
    <row r="38" spans="1:9" s="1610" customFormat="1">
      <c r="A38" s="3903"/>
      <c r="B38" s="3906"/>
      <c r="C38" s="1646" t="s">
        <v>1335</v>
      </c>
      <c r="D38" s="1647"/>
      <c r="E38" s="1648">
        <v>0.6</v>
      </c>
      <c r="F38" s="1644" t="s">
        <v>1336</v>
      </c>
      <c r="G38" s="1645"/>
      <c r="H38" s="1611"/>
      <c r="I38" s="1611"/>
    </row>
    <row r="39" spans="1:9" s="1610" customFormat="1">
      <c r="A39" s="3904"/>
      <c r="B39" s="3907"/>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899" t="s">
        <v>164</v>
      </c>
      <c r="B41" s="3905" t="s">
        <v>1341</v>
      </c>
      <c r="C41" s="1641" t="s">
        <v>1342</v>
      </c>
      <c r="D41" s="1642"/>
      <c r="E41" s="1643">
        <v>1</v>
      </c>
      <c r="F41" s="1644" t="s">
        <v>1343</v>
      </c>
      <c r="G41" s="1645"/>
      <c r="H41" s="1611"/>
      <c r="I41" s="1611"/>
    </row>
    <row r="42" spans="1:9" s="1610" customFormat="1">
      <c r="A42" s="3900"/>
      <c r="B42" s="3906"/>
      <c r="C42" s="1646" t="s">
        <v>1344</v>
      </c>
      <c r="D42" s="1647"/>
      <c r="E42" s="1648">
        <v>1</v>
      </c>
      <c r="F42" s="1644" t="s">
        <v>1345</v>
      </c>
      <c r="G42" s="1645"/>
      <c r="H42" s="1611"/>
      <c r="I42" s="1611"/>
    </row>
    <row r="43" spans="1:9" s="1610" customFormat="1">
      <c r="A43" s="3900"/>
      <c r="B43" s="3909"/>
      <c r="C43" s="1646" t="s">
        <v>1346</v>
      </c>
      <c r="D43" s="1647"/>
      <c r="E43" s="1648">
        <v>1.5</v>
      </c>
      <c r="F43" s="1644" t="s">
        <v>1347</v>
      </c>
      <c r="G43" s="1645"/>
      <c r="H43" s="1611"/>
      <c r="I43" s="1611"/>
    </row>
    <row r="44" spans="1:9" s="1610" customFormat="1">
      <c r="A44" s="3900"/>
      <c r="B44" s="1657" t="s">
        <v>297</v>
      </c>
      <c r="C44" s="1646" t="s">
        <v>1284</v>
      </c>
      <c r="D44" s="1647"/>
      <c r="E44" s="1648">
        <v>2</v>
      </c>
      <c r="F44" s="1644" t="s">
        <v>1348</v>
      </c>
      <c r="G44" s="1645"/>
      <c r="H44" s="1611"/>
      <c r="I44" s="1611"/>
    </row>
    <row r="45" spans="1:9" s="1610" customFormat="1">
      <c r="A45" s="3900"/>
      <c r="B45" s="3908" t="s">
        <v>1349</v>
      </c>
      <c r="C45" s="1646" t="s">
        <v>1350</v>
      </c>
      <c r="D45" s="1647"/>
      <c r="E45" s="1648">
        <v>1</v>
      </c>
      <c r="F45" s="1644" t="s">
        <v>1351</v>
      </c>
      <c r="G45" s="1645"/>
      <c r="H45" s="1611"/>
      <c r="I45" s="1611"/>
    </row>
    <row r="46" spans="1:9" s="1610" customFormat="1">
      <c r="A46" s="3900"/>
      <c r="B46" s="3906"/>
      <c r="C46" s="1646" t="s">
        <v>1352</v>
      </c>
      <c r="D46" s="1647"/>
      <c r="E46" s="1648">
        <v>1</v>
      </c>
      <c r="F46" s="1644" t="s">
        <v>1353</v>
      </c>
      <c r="G46" s="1645"/>
      <c r="H46" s="1611"/>
      <c r="I46" s="1611"/>
    </row>
    <row r="47" spans="1:9" s="1610" customFormat="1">
      <c r="A47" s="3900"/>
      <c r="B47" s="3906"/>
      <c r="C47" s="1646" t="s">
        <v>1354</v>
      </c>
      <c r="D47" s="1647"/>
      <c r="E47" s="1648">
        <v>1</v>
      </c>
      <c r="F47" s="1644" t="s">
        <v>1355</v>
      </c>
      <c r="G47" s="1645"/>
      <c r="H47" s="1611"/>
      <c r="I47" s="1611"/>
    </row>
    <row r="48" spans="1:9" s="1610" customFormat="1">
      <c r="A48" s="3900"/>
      <c r="B48" s="3906"/>
      <c r="C48" s="1646" t="s">
        <v>1356</v>
      </c>
      <c r="D48" s="1647"/>
      <c r="E48" s="1648">
        <v>1</v>
      </c>
      <c r="F48" s="1644" t="s">
        <v>1357</v>
      </c>
      <c r="G48" s="1645"/>
      <c r="H48" s="1611"/>
      <c r="I48" s="1611"/>
    </row>
    <row r="49" spans="1:9" s="1610" customFormat="1">
      <c r="A49" s="3900"/>
      <c r="B49" s="3906"/>
      <c r="C49" s="1646" t="s">
        <v>1358</v>
      </c>
      <c r="D49" s="1647"/>
      <c r="E49" s="1648">
        <v>1</v>
      </c>
      <c r="F49" s="1644" t="s">
        <v>1359</v>
      </c>
      <c r="G49" s="1645"/>
      <c r="H49" s="1611"/>
      <c r="I49" s="1611"/>
    </row>
    <row r="50" spans="1:9" s="1610" customFormat="1">
      <c r="A50" s="3900"/>
      <c r="B50" s="3906"/>
      <c r="C50" s="1646" t="s">
        <v>1360</v>
      </c>
      <c r="D50" s="1647"/>
      <c r="E50" s="1648">
        <v>1</v>
      </c>
      <c r="F50" s="1644" t="s">
        <v>1361</v>
      </c>
      <c r="G50" s="1645"/>
      <c r="H50" s="1611"/>
      <c r="I50" s="1611"/>
    </row>
    <row r="51" spans="1:9" s="1610" customFormat="1">
      <c r="A51" s="3901"/>
      <c r="B51" s="3907"/>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8" t="s">
        <v>1373</v>
      </c>
      <c r="C73" s="1628" t="s">
        <v>1374</v>
      </c>
      <c r="D73" s="1628" t="s">
        <v>1375</v>
      </c>
      <c r="E73" s="1679">
        <v>0.2</v>
      </c>
      <c r="F73" s="1657">
        <v>25</v>
      </c>
      <c r="H73" s="1611">
        <f>SUMIF(C71:C139,基准地价!C8,E71:E139)</f>
        <v>0</v>
      </c>
    </row>
    <row r="74" spans="1:8" s="1611" customFormat="1" ht="24">
      <c r="A74" s="1657">
        <v>2</v>
      </c>
      <c r="B74" s="3906"/>
      <c r="C74" s="1628" t="s">
        <v>1376</v>
      </c>
      <c r="D74" s="1628" t="s">
        <v>1377</v>
      </c>
      <c r="E74" s="1679">
        <v>0.2</v>
      </c>
      <c r="F74" s="1657">
        <v>25</v>
      </c>
    </row>
    <row r="75" spans="1:8" s="1611" customFormat="1" ht="24">
      <c r="A75" s="1657">
        <v>3</v>
      </c>
      <c r="B75" s="3906"/>
      <c r="C75" s="1628" t="s">
        <v>1378</v>
      </c>
      <c r="D75" s="1628" t="s">
        <v>1379</v>
      </c>
      <c r="E75" s="1679">
        <v>0.2</v>
      </c>
      <c r="F75" s="1657">
        <v>25</v>
      </c>
    </row>
    <row r="76" spans="1:8" s="1611" customFormat="1">
      <c r="A76" s="1657">
        <v>4</v>
      </c>
      <c r="B76" s="3906"/>
      <c r="C76" s="1628" t="s">
        <v>1380</v>
      </c>
      <c r="D76" s="1628" t="s">
        <v>1381</v>
      </c>
      <c r="E76" s="1679">
        <v>0.15</v>
      </c>
      <c r="F76" s="1657">
        <v>20</v>
      </c>
    </row>
    <row r="77" spans="1:8" s="1611" customFormat="1" ht="24">
      <c r="A77" s="1657">
        <v>5</v>
      </c>
      <c r="B77" s="3906"/>
      <c r="C77" s="1628" t="s">
        <v>1382</v>
      </c>
      <c r="D77" s="1628" t="s">
        <v>1383</v>
      </c>
      <c r="E77" s="1679">
        <v>0.15</v>
      </c>
      <c r="F77" s="1657">
        <v>20</v>
      </c>
    </row>
    <row r="78" spans="1:8" s="1611" customFormat="1" ht="24">
      <c r="A78" s="1657">
        <v>6</v>
      </c>
      <c r="B78" s="3906"/>
      <c r="C78" s="1628" t="s">
        <v>1384</v>
      </c>
      <c r="D78" s="1628" t="s">
        <v>1385</v>
      </c>
      <c r="E78" s="1679">
        <v>0.15</v>
      </c>
      <c r="F78" s="1657">
        <v>20</v>
      </c>
    </row>
    <row r="79" spans="1:8" s="1611" customFormat="1" ht="24">
      <c r="A79" s="1657">
        <v>7</v>
      </c>
      <c r="B79" s="3906"/>
      <c r="C79" s="1628" t="s">
        <v>1386</v>
      </c>
      <c r="D79" s="1628" t="s">
        <v>1387</v>
      </c>
      <c r="E79" s="1679">
        <v>0.15</v>
      </c>
      <c r="F79" s="1657">
        <v>20</v>
      </c>
    </row>
    <row r="80" spans="1:8" s="1611" customFormat="1" ht="24">
      <c r="A80" s="1657">
        <v>8</v>
      </c>
      <c r="B80" s="3906"/>
      <c r="C80" s="1628" t="s">
        <v>1388</v>
      </c>
      <c r="D80" s="1628" t="s">
        <v>1389</v>
      </c>
      <c r="E80" s="1679">
        <v>0.1</v>
      </c>
      <c r="F80" s="1657">
        <v>15</v>
      </c>
    </row>
    <row r="81" spans="1:6" s="1611" customFormat="1" ht="24">
      <c r="A81" s="1657">
        <v>9</v>
      </c>
      <c r="B81" s="3906"/>
      <c r="C81" s="1628" t="s">
        <v>1390</v>
      </c>
      <c r="D81" s="1628" t="s">
        <v>1391</v>
      </c>
      <c r="E81" s="1679">
        <v>0.1</v>
      </c>
      <c r="F81" s="1657">
        <v>15</v>
      </c>
    </row>
    <row r="82" spans="1:6" s="1611" customFormat="1" ht="24">
      <c r="A82" s="1657">
        <v>10</v>
      </c>
      <c r="B82" s="3906"/>
      <c r="C82" s="1628" t="s">
        <v>1392</v>
      </c>
      <c r="D82" s="1628" t="s">
        <v>1393</v>
      </c>
      <c r="E82" s="1679">
        <v>0.1</v>
      </c>
      <c r="F82" s="1657">
        <v>15</v>
      </c>
    </row>
    <row r="83" spans="1:6" s="1611" customFormat="1" ht="24">
      <c r="A83" s="1657">
        <v>11</v>
      </c>
      <c r="B83" s="3906"/>
      <c r="C83" s="1628" t="s">
        <v>1394</v>
      </c>
      <c r="D83" s="1628" t="s">
        <v>1395</v>
      </c>
      <c r="E83" s="1679">
        <v>0.1</v>
      </c>
      <c r="F83" s="1657">
        <v>15</v>
      </c>
    </row>
    <row r="84" spans="1:6" s="1611" customFormat="1" ht="24">
      <c r="A84" s="1657">
        <v>12</v>
      </c>
      <c r="B84" s="3906"/>
      <c r="C84" s="1628" t="s">
        <v>1396</v>
      </c>
      <c r="D84" s="1628" t="s">
        <v>1397</v>
      </c>
      <c r="E84" s="1679">
        <v>0.1</v>
      </c>
      <c r="F84" s="1657">
        <v>15</v>
      </c>
    </row>
    <row r="85" spans="1:6" s="1611" customFormat="1">
      <c r="A85" s="1657">
        <v>13</v>
      </c>
      <c r="B85" s="3906"/>
      <c r="C85" s="1628" t="s">
        <v>1398</v>
      </c>
      <c r="D85" s="1628" t="s">
        <v>1399</v>
      </c>
      <c r="E85" s="1679">
        <v>0.1</v>
      </c>
      <c r="F85" s="1657">
        <v>15</v>
      </c>
    </row>
    <row r="86" spans="1:6" s="1611" customFormat="1">
      <c r="A86" s="1657">
        <v>14</v>
      </c>
      <c r="B86" s="3906"/>
      <c r="C86" s="1628" t="s">
        <v>1400</v>
      </c>
      <c r="D86" s="1628" t="s">
        <v>1401</v>
      </c>
      <c r="E86" s="1679">
        <v>0.1</v>
      </c>
      <c r="F86" s="1657">
        <v>15</v>
      </c>
    </row>
    <row r="87" spans="1:6" s="1611" customFormat="1">
      <c r="A87" s="1657">
        <v>15</v>
      </c>
      <c r="B87" s="3906"/>
      <c r="C87" s="1628" t="s">
        <v>1402</v>
      </c>
      <c r="D87" s="1628" t="s">
        <v>1403</v>
      </c>
      <c r="E87" s="1679">
        <v>0.1</v>
      </c>
      <c r="F87" s="1657">
        <v>15</v>
      </c>
    </row>
    <row r="88" spans="1:6" s="1611" customFormat="1" ht="24">
      <c r="A88" s="1657">
        <v>16</v>
      </c>
      <c r="B88" s="3906"/>
      <c r="C88" s="1628" t="s">
        <v>1404</v>
      </c>
      <c r="D88" s="1628" t="s">
        <v>1405</v>
      </c>
      <c r="E88" s="1679">
        <v>0.1</v>
      </c>
      <c r="F88" s="1657">
        <v>15</v>
      </c>
    </row>
    <row r="89" spans="1:6" s="1611" customFormat="1" ht="24">
      <c r="A89" s="1657">
        <v>17</v>
      </c>
      <c r="B89" s="3909"/>
      <c r="C89" s="1628" t="s">
        <v>1406</v>
      </c>
      <c r="D89" s="1628" t="s">
        <v>1407</v>
      </c>
      <c r="E89" s="1679">
        <v>0.1</v>
      </c>
      <c r="F89" s="1657">
        <v>15</v>
      </c>
    </row>
    <row r="90" spans="1:6" s="1611" customFormat="1">
      <c r="A90" s="1657">
        <v>18</v>
      </c>
      <c r="B90" s="3908" t="s">
        <v>1408</v>
      </c>
      <c r="C90" s="1628" t="s">
        <v>1409</v>
      </c>
      <c r="D90" s="1628" t="s">
        <v>1410</v>
      </c>
      <c r="E90" s="1679">
        <v>0.2</v>
      </c>
      <c r="F90" s="1657">
        <v>25</v>
      </c>
    </row>
    <row r="91" spans="1:6" s="1611" customFormat="1" ht="24">
      <c r="A91" s="1657">
        <v>19</v>
      </c>
      <c r="B91" s="3906"/>
      <c r="C91" s="1628" t="s">
        <v>1411</v>
      </c>
      <c r="D91" s="1628" t="s">
        <v>1412</v>
      </c>
      <c r="E91" s="1679">
        <v>0.2</v>
      </c>
      <c r="F91" s="1657">
        <v>25</v>
      </c>
    </row>
    <row r="92" spans="1:6" s="1611" customFormat="1">
      <c r="A92" s="1657">
        <v>20</v>
      </c>
      <c r="B92" s="3906"/>
      <c r="C92" s="1628" t="s">
        <v>1413</v>
      </c>
      <c r="D92" s="1628" t="s">
        <v>1414</v>
      </c>
      <c r="E92" s="1679">
        <v>0.15</v>
      </c>
      <c r="F92" s="1657">
        <v>20</v>
      </c>
    </row>
    <row r="93" spans="1:6" s="1611" customFormat="1" ht="24">
      <c r="A93" s="1657">
        <v>21</v>
      </c>
      <c r="B93" s="3906"/>
      <c r="C93" s="1628" t="s">
        <v>1415</v>
      </c>
      <c r="D93" s="1628" t="s">
        <v>1416</v>
      </c>
      <c r="E93" s="1679">
        <v>0.15</v>
      </c>
      <c r="F93" s="1657">
        <v>20</v>
      </c>
    </row>
    <row r="94" spans="1:6" s="1611" customFormat="1" ht="24">
      <c r="A94" s="1657">
        <v>22</v>
      </c>
      <c r="B94" s="3906"/>
      <c r="C94" s="1628" t="s">
        <v>1417</v>
      </c>
      <c r="D94" s="1628" t="s">
        <v>1418</v>
      </c>
      <c r="E94" s="1679">
        <v>0.15</v>
      </c>
      <c r="F94" s="1657">
        <v>20</v>
      </c>
    </row>
    <row r="95" spans="1:6" s="1611" customFormat="1" ht="36">
      <c r="A95" s="1657">
        <v>23</v>
      </c>
      <c r="B95" s="3906"/>
      <c r="C95" s="1628" t="s">
        <v>1419</v>
      </c>
      <c r="D95" s="1628" t="s">
        <v>1420</v>
      </c>
      <c r="E95" s="1679">
        <v>0.15</v>
      </c>
      <c r="F95" s="1657">
        <v>20</v>
      </c>
    </row>
    <row r="96" spans="1:6" s="1611" customFormat="1">
      <c r="A96" s="1657">
        <v>24</v>
      </c>
      <c r="B96" s="3906"/>
      <c r="C96" s="1628" t="s">
        <v>1421</v>
      </c>
      <c r="D96" s="1628" t="s">
        <v>1422</v>
      </c>
      <c r="E96" s="1679">
        <v>0.1</v>
      </c>
      <c r="F96" s="1657">
        <v>15</v>
      </c>
    </row>
    <row r="97" spans="1:6" s="1611" customFormat="1" ht="24">
      <c r="A97" s="1657">
        <v>25</v>
      </c>
      <c r="B97" s="3906"/>
      <c r="C97" s="1628" t="s">
        <v>1423</v>
      </c>
      <c r="D97" s="1628" t="s">
        <v>1424</v>
      </c>
      <c r="E97" s="1679">
        <v>0.1</v>
      </c>
      <c r="F97" s="1657">
        <v>15</v>
      </c>
    </row>
    <row r="98" spans="1:6" s="1611" customFormat="1" ht="24">
      <c r="A98" s="1657">
        <v>26</v>
      </c>
      <c r="B98" s="3906"/>
      <c r="C98" s="1628" t="s">
        <v>1425</v>
      </c>
      <c r="D98" s="1628" t="s">
        <v>1426</v>
      </c>
      <c r="E98" s="1679">
        <v>0.1</v>
      </c>
      <c r="F98" s="1657">
        <v>15</v>
      </c>
    </row>
    <row r="99" spans="1:6" s="1611" customFormat="1" ht="24">
      <c r="A99" s="1657">
        <v>27</v>
      </c>
      <c r="B99" s="3906"/>
      <c r="C99" s="1628" t="s">
        <v>1427</v>
      </c>
      <c r="D99" s="1628" t="s">
        <v>1428</v>
      </c>
      <c r="E99" s="1679">
        <v>0.1</v>
      </c>
      <c r="F99" s="1657">
        <v>15</v>
      </c>
    </row>
    <row r="100" spans="1:6" s="1611" customFormat="1" ht="24">
      <c r="A100" s="1657">
        <v>28</v>
      </c>
      <c r="B100" s="3906"/>
      <c r="C100" s="1628" t="s">
        <v>1429</v>
      </c>
      <c r="D100" s="1628" t="s">
        <v>1430</v>
      </c>
      <c r="E100" s="1679">
        <v>0.1</v>
      </c>
      <c r="F100" s="1657">
        <v>15</v>
      </c>
    </row>
    <row r="101" spans="1:6" s="1611" customFormat="1" ht="24">
      <c r="A101" s="1657">
        <v>29</v>
      </c>
      <c r="B101" s="3906"/>
      <c r="C101" s="1628" t="s">
        <v>1431</v>
      </c>
      <c r="D101" s="1628" t="s">
        <v>1432</v>
      </c>
      <c r="E101" s="1679">
        <v>0.1</v>
      </c>
      <c r="F101" s="1657">
        <v>15</v>
      </c>
    </row>
    <row r="102" spans="1:6" s="1611" customFormat="1" ht="24">
      <c r="A102" s="1657">
        <v>30</v>
      </c>
      <c r="B102" s="3906"/>
      <c r="C102" s="1628" t="s">
        <v>1433</v>
      </c>
      <c r="D102" s="1628" t="s">
        <v>1434</v>
      </c>
      <c r="E102" s="1679">
        <v>0.1</v>
      </c>
      <c r="F102" s="1657">
        <v>15</v>
      </c>
    </row>
    <row r="103" spans="1:6" s="1611" customFormat="1" ht="24">
      <c r="A103" s="1657">
        <v>31</v>
      </c>
      <c r="B103" s="3906"/>
      <c r="C103" s="1628" t="s">
        <v>1435</v>
      </c>
      <c r="D103" s="1628" t="s">
        <v>1436</v>
      </c>
      <c r="E103" s="1679">
        <v>0.1</v>
      </c>
      <c r="F103" s="1657">
        <v>15</v>
      </c>
    </row>
    <row r="104" spans="1:6" s="1611" customFormat="1" ht="24">
      <c r="A104" s="1657">
        <v>32</v>
      </c>
      <c r="B104" s="3906"/>
      <c r="C104" s="1628" t="s">
        <v>1437</v>
      </c>
      <c r="D104" s="1628" t="s">
        <v>1438</v>
      </c>
      <c r="E104" s="1679">
        <v>0.1</v>
      </c>
      <c r="F104" s="1657">
        <v>15</v>
      </c>
    </row>
    <row r="105" spans="1:6" s="1611" customFormat="1" ht="24">
      <c r="A105" s="1657">
        <v>33</v>
      </c>
      <c r="B105" s="3906"/>
      <c r="C105" s="1628" t="s">
        <v>1439</v>
      </c>
      <c r="D105" s="1628" t="s">
        <v>1440</v>
      </c>
      <c r="E105" s="1679">
        <v>0.1</v>
      </c>
      <c r="F105" s="1657">
        <v>15</v>
      </c>
    </row>
    <row r="106" spans="1:6" s="1611" customFormat="1" ht="24">
      <c r="A106" s="1657">
        <v>34</v>
      </c>
      <c r="B106" s="3909"/>
      <c r="C106" s="1628" t="s">
        <v>1441</v>
      </c>
      <c r="D106" s="1628" t="s">
        <v>1442</v>
      </c>
      <c r="E106" s="1679">
        <v>0.1</v>
      </c>
      <c r="F106" s="1657">
        <v>15</v>
      </c>
    </row>
    <row r="107" spans="1:6" s="1611" customFormat="1" ht="24">
      <c r="A107" s="1657">
        <v>35</v>
      </c>
      <c r="B107" s="3908" t="s">
        <v>1443</v>
      </c>
      <c r="C107" s="1657" t="s">
        <v>1444</v>
      </c>
      <c r="D107" s="1628" t="s">
        <v>1445</v>
      </c>
      <c r="E107" s="1679">
        <v>0.15</v>
      </c>
      <c r="F107" s="1657">
        <v>20</v>
      </c>
    </row>
    <row r="108" spans="1:6" s="1611" customFormat="1" ht="24">
      <c r="A108" s="1657">
        <v>36</v>
      </c>
      <c r="B108" s="3906"/>
      <c r="C108" s="1657" t="s">
        <v>1446</v>
      </c>
      <c r="D108" s="1628" t="s">
        <v>1447</v>
      </c>
      <c r="E108" s="1679">
        <v>0.15</v>
      </c>
      <c r="F108" s="1657">
        <v>20</v>
      </c>
    </row>
    <row r="109" spans="1:6" s="1611" customFormat="1" ht="24">
      <c r="A109" s="1657">
        <v>37</v>
      </c>
      <c r="B109" s="3906"/>
      <c r="C109" s="1657" t="s">
        <v>1448</v>
      </c>
      <c r="D109" s="1628" t="s">
        <v>1449</v>
      </c>
      <c r="E109" s="1679">
        <v>0.15</v>
      </c>
      <c r="F109" s="1657">
        <v>20</v>
      </c>
    </row>
    <row r="110" spans="1:6" s="1611" customFormat="1">
      <c r="A110" s="1657">
        <v>38</v>
      </c>
      <c r="B110" s="3906"/>
      <c r="C110" s="1657" t="s">
        <v>1450</v>
      </c>
      <c r="D110" s="1628" t="s">
        <v>1451</v>
      </c>
      <c r="E110" s="1679">
        <v>0.1</v>
      </c>
      <c r="F110" s="1657">
        <v>15</v>
      </c>
    </row>
    <row r="111" spans="1:6" s="1611" customFormat="1" ht="24">
      <c r="A111" s="1657">
        <v>39</v>
      </c>
      <c r="B111" s="3906"/>
      <c r="C111" s="1657" t="s">
        <v>1452</v>
      </c>
      <c r="D111" s="1628" t="s">
        <v>1453</v>
      </c>
      <c r="E111" s="1679">
        <v>0.1</v>
      </c>
      <c r="F111" s="1657">
        <v>15</v>
      </c>
    </row>
    <row r="112" spans="1:6" s="1611" customFormat="1" ht="24">
      <c r="A112" s="1657">
        <v>40</v>
      </c>
      <c r="B112" s="3909"/>
      <c r="C112" s="1657" t="s">
        <v>1454</v>
      </c>
      <c r="D112" s="1628" t="s">
        <v>1455</v>
      </c>
      <c r="E112" s="1679">
        <v>0.1</v>
      </c>
      <c r="F112" s="1657">
        <v>15</v>
      </c>
    </row>
    <row r="113" spans="1:6" s="1611" customFormat="1" ht="24">
      <c r="A113" s="1657">
        <v>41</v>
      </c>
      <c r="B113" s="3910" t="s">
        <v>1456</v>
      </c>
      <c r="C113" s="1657" t="s">
        <v>1457</v>
      </c>
      <c r="D113" s="1628" t="s">
        <v>1458</v>
      </c>
      <c r="E113" s="1679">
        <v>0.1</v>
      </c>
      <c r="F113" s="1657">
        <v>15</v>
      </c>
    </row>
    <row r="114" spans="1:6" s="1611" customFormat="1">
      <c r="A114" s="1657">
        <v>42</v>
      </c>
      <c r="B114" s="3910"/>
      <c r="C114" s="1657" t="s">
        <v>1459</v>
      </c>
      <c r="D114" s="1628" t="s">
        <v>1460</v>
      </c>
      <c r="E114" s="1679">
        <v>0.1</v>
      </c>
      <c r="F114" s="1657">
        <v>15</v>
      </c>
    </row>
    <row r="115" spans="1:6" s="1611" customFormat="1" ht="24">
      <c r="A115" s="1657">
        <v>43</v>
      </c>
      <c r="B115" s="3910"/>
      <c r="C115" s="1657" t="s">
        <v>1461</v>
      </c>
      <c r="D115" s="1628" t="s">
        <v>1462</v>
      </c>
      <c r="E115" s="1679">
        <v>0.1</v>
      </c>
      <c r="F115" s="1657">
        <v>15</v>
      </c>
    </row>
    <row r="116" spans="1:6" s="1611" customFormat="1" ht="24">
      <c r="A116" s="1657">
        <v>44</v>
      </c>
      <c r="B116" s="3908" t="s">
        <v>1463</v>
      </c>
      <c r="C116" s="1657" t="s">
        <v>1464</v>
      </c>
      <c r="D116" s="1628" t="s">
        <v>1465</v>
      </c>
      <c r="E116" s="1679">
        <v>0.1</v>
      </c>
      <c r="F116" s="1657">
        <v>15</v>
      </c>
    </row>
    <row r="117" spans="1:6" s="1611" customFormat="1" ht="24">
      <c r="A117" s="1657">
        <v>45</v>
      </c>
      <c r="B117" s="3909"/>
      <c r="C117" s="1628" t="s">
        <v>1466</v>
      </c>
      <c r="D117" s="1628" t="s">
        <v>1467</v>
      </c>
      <c r="E117" s="1679">
        <v>0.1</v>
      </c>
      <c r="F117" s="1657">
        <v>15</v>
      </c>
    </row>
    <row r="118" spans="1:6" s="1611" customFormat="1" ht="24">
      <c r="A118" s="1657">
        <v>46</v>
      </c>
      <c r="B118" s="3908" t="s">
        <v>1468</v>
      </c>
      <c r="C118" s="1657" t="s">
        <v>1469</v>
      </c>
      <c r="D118" s="1628" t="s">
        <v>1470</v>
      </c>
      <c r="E118" s="1679">
        <v>0.1</v>
      </c>
      <c r="F118" s="1657">
        <v>15</v>
      </c>
    </row>
    <row r="119" spans="1:6" s="1611" customFormat="1" ht="24">
      <c r="A119" s="1657">
        <v>47</v>
      </c>
      <c r="B119" s="3909"/>
      <c r="C119" s="1657" t="s">
        <v>1471</v>
      </c>
      <c r="D119" s="1628" t="s">
        <v>1472</v>
      </c>
      <c r="E119" s="1679">
        <v>0.1</v>
      </c>
      <c r="F119" s="1657">
        <v>15</v>
      </c>
    </row>
    <row r="120" spans="1:6" s="1611" customFormat="1" ht="24">
      <c r="A120" s="1657">
        <v>48</v>
      </c>
      <c r="B120" s="3908" t="s">
        <v>1473</v>
      </c>
      <c r="C120" s="1657" t="s">
        <v>1474</v>
      </c>
      <c r="D120" s="1628" t="s">
        <v>1475</v>
      </c>
      <c r="E120" s="1679">
        <v>0.1</v>
      </c>
      <c r="F120" s="1657">
        <v>15</v>
      </c>
    </row>
    <row r="121" spans="1:6" s="1611" customFormat="1">
      <c r="A121" s="1657">
        <v>49</v>
      </c>
      <c r="B121" s="3909"/>
      <c r="C121" s="1657" t="s">
        <v>1476</v>
      </c>
      <c r="D121" s="1628" t="s">
        <v>1477</v>
      </c>
      <c r="E121" s="1679">
        <v>0.1</v>
      </c>
      <c r="F121" s="1657">
        <v>15</v>
      </c>
    </row>
    <row r="122" spans="1:6" s="1611" customFormat="1" ht="24">
      <c r="A122" s="1657">
        <v>50</v>
      </c>
      <c r="B122" s="3910" t="s">
        <v>1478</v>
      </c>
      <c r="C122" s="1657" t="s">
        <v>1479</v>
      </c>
      <c r="D122" s="1628" t="s">
        <v>1480</v>
      </c>
      <c r="E122" s="1679">
        <v>0.1</v>
      </c>
      <c r="F122" s="1657">
        <v>15</v>
      </c>
    </row>
    <row r="123" spans="1:6" s="1611" customFormat="1" ht="24">
      <c r="A123" s="1657">
        <v>51</v>
      </c>
      <c r="B123" s="3910"/>
      <c r="C123" s="1657" t="s">
        <v>1481</v>
      </c>
      <c r="D123" s="1628" t="s">
        <v>1482</v>
      </c>
      <c r="E123" s="1679">
        <v>0.1</v>
      </c>
      <c r="F123" s="1657">
        <v>15</v>
      </c>
    </row>
    <row r="124" spans="1:6" s="1611" customFormat="1" ht="24">
      <c r="A124" s="1657">
        <v>52</v>
      </c>
      <c r="B124" s="3910" t="s">
        <v>1483</v>
      </c>
      <c r="C124" s="1657" t="s">
        <v>1484</v>
      </c>
      <c r="D124" s="1628" t="s">
        <v>1485</v>
      </c>
      <c r="E124" s="1679">
        <v>0.1</v>
      </c>
      <c r="F124" s="1657">
        <v>15</v>
      </c>
    </row>
    <row r="125" spans="1:6" s="1611" customFormat="1" ht="24">
      <c r="A125" s="1657">
        <v>53</v>
      </c>
      <c r="B125" s="3910"/>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910" t="s">
        <v>1491</v>
      </c>
      <c r="C127" s="1657" t="s">
        <v>1492</v>
      </c>
      <c r="D127" s="1628" t="s">
        <v>1493</v>
      </c>
      <c r="E127" s="1679">
        <v>0.1</v>
      </c>
      <c r="F127" s="1657">
        <v>15</v>
      </c>
    </row>
    <row r="128" spans="1:6">
      <c r="A128" s="1657">
        <v>56</v>
      </c>
      <c r="B128" s="3910"/>
      <c r="C128" s="1657" t="s">
        <v>1494</v>
      </c>
      <c r="D128" s="1628" t="s">
        <v>1495</v>
      </c>
      <c r="E128" s="1679">
        <v>0.1</v>
      </c>
      <c r="F128" s="1657">
        <v>15</v>
      </c>
    </row>
    <row r="129" spans="1:14" ht="24">
      <c r="A129" s="1657">
        <v>57</v>
      </c>
      <c r="B129" s="3910"/>
      <c r="C129" s="1657" t="s">
        <v>1496</v>
      </c>
      <c r="D129" s="1628" t="s">
        <v>1497</v>
      </c>
      <c r="E129" s="1679">
        <v>0.1</v>
      </c>
      <c r="F129" s="1657">
        <v>15</v>
      </c>
    </row>
    <row r="130" spans="1:14" ht="24">
      <c r="A130" s="1657">
        <v>58</v>
      </c>
      <c r="B130" s="3910" t="s">
        <v>1498</v>
      </c>
      <c r="C130" s="1657" t="s">
        <v>1499</v>
      </c>
      <c r="D130" s="1628" t="s">
        <v>1500</v>
      </c>
      <c r="E130" s="1679">
        <v>0.1</v>
      </c>
      <c r="F130" s="1657">
        <v>15</v>
      </c>
    </row>
    <row r="131" spans="1:14" ht="24">
      <c r="A131" s="1657">
        <v>59</v>
      </c>
      <c r="B131" s="3910"/>
      <c r="C131" s="1657" t="s">
        <v>1501</v>
      </c>
      <c r="D131" s="1628" t="s">
        <v>1502</v>
      </c>
      <c r="E131" s="1679">
        <v>0.1</v>
      </c>
      <c r="F131" s="1657">
        <v>15</v>
      </c>
    </row>
    <row r="132" spans="1:14" ht="24">
      <c r="A132" s="1657">
        <v>60</v>
      </c>
      <c r="B132" s="3908" t="s">
        <v>1503</v>
      </c>
      <c r="C132" s="1657" t="s">
        <v>1504</v>
      </c>
      <c r="D132" s="1628" t="s">
        <v>1505</v>
      </c>
      <c r="E132" s="1679">
        <v>0.1</v>
      </c>
      <c r="F132" s="1657">
        <v>15</v>
      </c>
    </row>
    <row r="133" spans="1:14" ht="24">
      <c r="A133" s="1657">
        <v>61</v>
      </c>
      <c r="B133" s="3909"/>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910" t="s">
        <v>1511</v>
      </c>
      <c r="C135" s="1657" t="s">
        <v>1512</v>
      </c>
      <c r="D135" s="1628" t="s">
        <v>1513</v>
      </c>
      <c r="E135" s="1679">
        <v>0.1</v>
      </c>
      <c r="F135" s="1657">
        <v>15</v>
      </c>
    </row>
    <row r="136" spans="1:14">
      <c r="A136" s="1657">
        <v>64</v>
      </c>
      <c r="B136" s="3910"/>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1" t="s">
        <v>1519</v>
      </c>
      <c r="B1" s="3911"/>
      <c r="C1" s="3911"/>
      <c r="D1" s="3911"/>
      <c r="E1" s="3911"/>
      <c r="F1" s="3911"/>
      <c r="G1" s="3912"/>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3"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4"/>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5" t="s">
        <v>1904</v>
      </c>
      <c r="B1" s="3915"/>
      <c r="C1" s="3915"/>
      <c r="D1" s="3915"/>
      <c r="E1" s="3915"/>
      <c r="F1" s="3916"/>
    </row>
    <row r="2" spans="1:6">
      <c r="A2" s="1539" t="s">
        <v>1905</v>
      </c>
      <c r="B2" s="1540"/>
      <c r="C2" s="1540"/>
      <c r="D2" s="1540"/>
      <c r="E2" s="1540"/>
      <c r="F2" s="1540"/>
    </row>
    <row r="3" spans="1:6">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7" t="s">
        <v>1914</v>
      </c>
      <c r="B1" s="3917"/>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18" t="s">
        <v>1915</v>
      </c>
      <c r="C1" s="3918"/>
      <c r="D1" s="3918"/>
      <c r="E1" s="3918"/>
      <c r="F1" s="3918"/>
      <c r="G1" s="3919" t="s">
        <v>1916</v>
      </c>
      <c r="H1" s="3919"/>
      <c r="I1" s="3919"/>
      <c r="J1" s="3919"/>
      <c r="K1" s="3919"/>
      <c r="L1" s="3919"/>
      <c r="N1" s="3919" t="s">
        <v>1917</v>
      </c>
      <c r="O1" s="3919"/>
      <c r="P1" s="3919"/>
      <c r="Q1" s="3919"/>
      <c r="S1" s="3919" t="s">
        <v>1918</v>
      </c>
      <c r="T1" s="3919"/>
      <c r="U1" s="3919"/>
      <c r="V1" s="3919"/>
      <c r="X1" s="3920" t="s">
        <v>1919</v>
      </c>
      <c r="Y1" s="3919"/>
      <c r="Z1" s="3919"/>
      <c r="AA1" s="3919"/>
      <c r="AB1" s="3919"/>
      <c r="AD1" s="3920" t="s">
        <v>1920</v>
      </c>
      <c r="AE1" s="3919"/>
      <c r="AF1" s="3919"/>
      <c r="AG1" s="3919"/>
      <c r="AH1" s="3919"/>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21">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21"/>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21"/>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2"/>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3">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1"/>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21"/>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2"/>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3">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1"/>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21"/>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4"/>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25">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1"/>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21"/>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4"/>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25">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1"/>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21"/>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4"/>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6">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7"/>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7"/>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8"/>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25">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21"/>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21"/>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4"/>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25">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1">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21">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4">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25">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1">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21">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4">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25">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1">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21">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4">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25">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1">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21">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4">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25">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1">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21">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4">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25">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1">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21">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4">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25">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1">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21">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4">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25">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1">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21">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4">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25">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21">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21">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4">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25">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21">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21">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4">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9" t="s">
        <v>1919</v>
      </c>
      <c r="S1" s="3930"/>
      <c r="T1" s="3930"/>
      <c r="U1" s="3930"/>
      <c r="V1" s="3930"/>
      <c r="W1" s="3930"/>
      <c r="X1" s="1322"/>
      <c r="Y1" s="3929" t="s">
        <v>1920</v>
      </c>
      <c r="Z1" s="3930"/>
      <c r="AA1" s="3930"/>
      <c r="AB1" s="3930"/>
      <c r="AC1" s="3930"/>
      <c r="AD1" s="3930"/>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9" t="s">
        <v>1919</v>
      </c>
      <c r="S21" s="3930"/>
      <c r="T21" s="3930"/>
      <c r="U21" s="3930"/>
      <c r="V21" s="3930"/>
      <c r="W21" s="3930"/>
      <c r="X21" s="1322"/>
      <c r="Y21" s="3929" t="s">
        <v>1920</v>
      </c>
      <c r="Z21" s="3930"/>
      <c r="AA21" s="3930"/>
      <c r="AB21" s="3930"/>
      <c r="AC21" s="3930"/>
      <c r="AD21" s="3930"/>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-2.5</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3" t="s">
        <v>2040</v>
      </c>
      <c r="C8" s="1232">
        <f ca="1">ROUND(F8*F10*F9*(1-F11)/10000,0)</f>
        <v>0</v>
      </c>
      <c r="D8" s="1233" t="s">
        <v>2041</v>
      </c>
      <c r="E8" s="1234" t="s">
        <v>2042</v>
      </c>
      <c r="F8" s="985">
        <f ca="1">INDIRECT("'数据-取费表'!u"&amp;$G$1)</f>
        <v>0</v>
      </c>
      <c r="G8" s="1162"/>
      <c r="H8" s="986" t="s">
        <v>875</v>
      </c>
      <c r="I8" s="3933" t="s">
        <v>2040</v>
      </c>
      <c r="J8" s="982">
        <f ca="1">ROUND(M8*M10*M9*(1-M11)/10000,0)</f>
        <v>0</v>
      </c>
      <c r="K8" s="1056" t="s">
        <v>2041</v>
      </c>
      <c r="L8" s="984" t="s">
        <v>2042</v>
      </c>
      <c r="M8" s="985">
        <f ca="1">INDIRECT("'数据-取费表'!z"&amp;$G$1)</f>
        <v>0</v>
      </c>
    </row>
    <row r="9" spans="1:25" ht="18" customHeight="1">
      <c r="A9" s="987"/>
      <c r="B9" s="3934"/>
      <c r="C9" s="1235"/>
      <c r="D9" s="1236"/>
      <c r="E9" s="1234" t="s">
        <v>2043</v>
      </c>
      <c r="F9" s="985">
        <f ca="1">IF(INDIRECT("'数据-取费表'!ah"&amp;$G$1)="",INDIRECT("'数据-取费表'!k"&amp;$G$1),INDIRECT("'数据-取费表'!ah"&amp;$G$1))</f>
        <v>0</v>
      </c>
      <c r="G9" s="1162"/>
      <c r="H9" s="990"/>
      <c r="I9" s="3934"/>
      <c r="J9" s="988"/>
      <c r="K9" s="989"/>
      <c r="L9" s="984" t="s">
        <v>2043</v>
      </c>
      <c r="M9" s="985">
        <f ca="1">F9</f>
        <v>0</v>
      </c>
    </row>
    <row r="10" spans="1:25" ht="18" customHeight="1">
      <c r="A10" s="991"/>
      <c r="B10" s="3935"/>
      <c r="C10" s="1235"/>
      <c r="D10" s="1236"/>
      <c r="E10" s="1234" t="s">
        <v>2044</v>
      </c>
      <c r="F10" s="985">
        <f ca="1">INDIRECT("'数据-取费表'!ai"&amp;$G$1)</f>
        <v>0</v>
      </c>
      <c r="G10" s="1162"/>
      <c r="H10" s="990"/>
      <c r="I10" s="3935"/>
      <c r="J10" s="988"/>
      <c r="K10" s="989"/>
      <c r="L10" s="984" t="s">
        <v>2044</v>
      </c>
      <c r="M10" s="985">
        <f ca="1">INDIRECT("'数据-取费表'!ai"&amp;$G$1)</f>
        <v>0</v>
      </c>
    </row>
    <row r="11" spans="1:25" ht="18" customHeight="1">
      <c r="A11" s="992"/>
      <c r="B11" s="3936"/>
      <c r="C11" s="1235"/>
      <c r="D11" s="1236"/>
      <c r="E11" s="1234" t="s">
        <v>2045</v>
      </c>
      <c r="F11" s="993">
        <f ca="1">INDIRECT("'数据-取费表'!w"&amp;$G$1)</f>
        <v>0</v>
      </c>
      <c r="G11" s="1162"/>
      <c r="H11" s="994"/>
      <c r="I11" s="3935"/>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2.5</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7"/>
      <c r="J36" s="1141"/>
      <c r="K36" s="1140"/>
      <c r="L36" s="1141"/>
      <c r="M36" s="1141"/>
    </row>
    <row r="37" spans="1:18" ht="18" customHeight="1">
      <c r="A37" s="1059"/>
      <c r="B37" s="1060"/>
      <c r="C37" s="1061"/>
      <c r="D37" s="1062"/>
      <c r="E37" s="984" t="s">
        <v>2083</v>
      </c>
      <c r="F37" s="985">
        <f ca="1">INDIRECT("'数据-取费表'!r"&amp;$G$1)</f>
        <v>0</v>
      </c>
      <c r="G37" s="974"/>
      <c r="H37" s="1048"/>
      <c r="I37" s="3937"/>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-2.5</v>
      </c>
      <c r="K54" s="3931"/>
      <c r="L54" s="3932"/>
      <c r="O54" s="1178" t="s">
        <v>2162</v>
      </c>
      <c r="P54" s="1173" t="s">
        <v>2163</v>
      </c>
      <c r="Q54" s="1206">
        <f ca="1">J54</f>
        <v>-2.5</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80" zoomScaleNormal="60" zoomScaleSheetLayoutView="80" workbookViewId="0">
      <selection activeCell="M47" sqref="M4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28" t="s">
        <v>1023</v>
      </c>
      <c r="D4" s="3829"/>
      <c r="E4" s="3872" t="s">
        <v>1024</v>
      </c>
      <c r="F4" s="3873"/>
      <c r="G4" s="3828" t="s">
        <v>1025</v>
      </c>
      <c r="H4" s="3829"/>
      <c r="I4" s="3828" t="s">
        <v>1026</v>
      </c>
      <c r="J4" s="3829"/>
      <c r="K4" s="63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938" t="s">
        <v>2688</v>
      </c>
      <c r="F5" s="3875"/>
      <c r="G5" s="3939" t="s">
        <v>2686</v>
      </c>
      <c r="H5" s="3831"/>
      <c r="I5" s="3939" t="s">
        <v>2687</v>
      </c>
      <c r="J5" s="3831"/>
      <c r="K5" s="639"/>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639"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36" t="s">
        <v>1036</v>
      </c>
      <c r="Q7" s="3837"/>
      <c r="R7" s="461" t="s">
        <v>1037</v>
      </c>
      <c r="S7" s="462">
        <f t="shared" ref="S7:S15" si="0">F7</f>
        <v>100</v>
      </c>
      <c r="T7" s="461" t="s">
        <v>1037</v>
      </c>
      <c r="U7" s="462">
        <f t="shared" ref="U7:U15" si="1">H7</f>
        <v>100</v>
      </c>
      <c r="V7" s="461" t="s">
        <v>1037</v>
      </c>
      <c r="W7" s="462">
        <f t="shared" ref="W7:W15" si="2">J7</f>
        <v>100</v>
      </c>
      <c r="X7" s="463"/>
      <c r="Y7" s="3836" t="s">
        <v>1036</v>
      </c>
      <c r="Z7" s="3838"/>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39"/>
      <c r="Q11" s="464" t="str">
        <f t="shared" si="6"/>
        <v>容积率</v>
      </c>
      <c r="R11" s="461" t="s">
        <v>1037</v>
      </c>
      <c r="S11" s="462">
        <f t="shared" si="0"/>
        <v>100</v>
      </c>
      <c r="T11" s="461" t="s">
        <v>1037</v>
      </c>
      <c r="U11" s="462">
        <f t="shared" si="1"/>
        <v>100</v>
      </c>
      <c r="V11" s="461" t="s">
        <v>1037</v>
      </c>
      <c r="W11" s="462">
        <f t="shared" si="2"/>
        <v>100</v>
      </c>
      <c r="X11" s="463"/>
      <c r="Y11" s="3761"/>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41" t="s">
        <v>1049</v>
      </c>
      <c r="Q15" s="395" t="str">
        <f t="shared" si="6"/>
        <v>居住社区成熟度</v>
      </c>
      <c r="R15" s="465" t="s">
        <v>1037</v>
      </c>
      <c r="S15" s="466">
        <f t="shared" si="0"/>
        <v>100</v>
      </c>
      <c r="T15" s="465" t="s">
        <v>1037</v>
      </c>
      <c r="U15" s="466">
        <f t="shared" si="1"/>
        <v>100</v>
      </c>
      <c r="V15" s="465" t="s">
        <v>1037</v>
      </c>
      <c r="W15" s="466">
        <f t="shared" si="2"/>
        <v>100</v>
      </c>
      <c r="X15" s="460"/>
      <c r="Y15" s="3841"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42"/>
      <c r="Q25" s="395" t="str">
        <f t="shared" ref="Q25:Q46" si="8">B25</f>
        <v>楼层-1</v>
      </c>
      <c r="R25" s="465" t="s">
        <v>1037</v>
      </c>
      <c r="S25" s="466">
        <f>F25</f>
        <v>100</v>
      </c>
      <c r="T25" s="465" t="s">
        <v>1037</v>
      </c>
      <c r="U25" s="466">
        <f>H25</f>
        <v>100</v>
      </c>
      <c r="V25" s="465" t="s">
        <v>1037</v>
      </c>
      <c r="W25" s="466">
        <f>J25</f>
        <v>100</v>
      </c>
      <c r="X25" s="460"/>
      <c r="Y25" s="3842"/>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42"/>
      <c r="Q26" s="395" t="str">
        <f t="shared" si="8"/>
        <v>朝向</v>
      </c>
      <c r="R26" s="465" t="s">
        <v>1037</v>
      </c>
      <c r="S26" s="466">
        <f>F26</f>
        <v>100</v>
      </c>
      <c r="T26" s="465" t="s">
        <v>1037</v>
      </c>
      <c r="U26" s="466">
        <f>H26</f>
        <v>100</v>
      </c>
      <c r="V26" s="465" t="s">
        <v>1037</v>
      </c>
      <c r="W26" s="466">
        <f>J26</f>
        <v>100</v>
      </c>
      <c r="X26" s="460"/>
      <c r="Y26" s="3842"/>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42"/>
      <c r="Q27" s="464" t="str">
        <f t="shared" si="8"/>
        <v>道路级别</v>
      </c>
      <c r="R27" s="461" t="s">
        <v>1037</v>
      </c>
      <c r="S27" s="462">
        <f>F27</f>
        <v>100</v>
      </c>
      <c r="T27" s="461" t="s">
        <v>1037</v>
      </c>
      <c r="U27" s="462">
        <f>H27</f>
        <v>100</v>
      </c>
      <c r="V27" s="461" t="s">
        <v>1037</v>
      </c>
      <c r="W27" s="462">
        <f>J27</f>
        <v>100</v>
      </c>
      <c r="X27" s="463"/>
      <c r="Y27" s="3842"/>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42"/>
      <c r="Q28" s="395">
        <f t="shared" si="8"/>
        <v>111</v>
      </c>
      <c r="R28" s="465" t="s">
        <v>1037</v>
      </c>
      <c r="S28" s="466">
        <f t="shared" ref="S28:S46" si="9">F28</f>
        <v>100</v>
      </c>
      <c r="T28" s="465" t="s">
        <v>1037</v>
      </c>
      <c r="U28" s="466">
        <f t="shared" ref="U28:U46" si="10">H28</f>
        <v>100</v>
      </c>
      <c r="V28" s="465" t="s">
        <v>1037</v>
      </c>
      <c r="W28" s="466">
        <f t="shared" ref="W28:W46" si="11">J28</f>
        <v>100</v>
      </c>
      <c r="X28" s="460"/>
      <c r="Y28" s="3842"/>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28.5">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43" t="s">
        <v>1053</v>
      </c>
      <c r="Q32" s="395" t="str">
        <f t="shared" si="8"/>
        <v>建筑类型</v>
      </c>
      <c r="R32" s="465" t="s">
        <v>1037</v>
      </c>
      <c r="S32" s="466">
        <f t="shared" si="9"/>
        <v>100</v>
      </c>
      <c r="T32" s="465" t="s">
        <v>1037</v>
      </c>
      <c r="U32" s="466">
        <f t="shared" si="10"/>
        <v>100</v>
      </c>
      <c r="V32" s="465" t="s">
        <v>1037</v>
      </c>
      <c r="W32" s="466">
        <f t="shared" si="11"/>
        <v>100</v>
      </c>
      <c r="X32" s="460"/>
      <c r="Y32" s="3844"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44"/>
      <c r="Q33" s="467" t="str">
        <f t="shared" si="8"/>
        <v>项目建筑规模</v>
      </c>
      <c r="R33" s="468" t="s">
        <v>1037</v>
      </c>
      <c r="S33" s="469">
        <f t="shared" si="9"/>
        <v>100</v>
      </c>
      <c r="T33" s="468" t="s">
        <v>1037</v>
      </c>
      <c r="U33" s="469">
        <f t="shared" si="10"/>
        <v>100</v>
      </c>
      <c r="V33" s="468" t="s">
        <v>1037</v>
      </c>
      <c r="W33" s="469">
        <f t="shared" si="11"/>
        <v>100</v>
      </c>
      <c r="X33" s="470"/>
      <c r="Y33" s="3844"/>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44"/>
      <c r="Q35" s="395" t="str">
        <f t="shared" si="8"/>
        <v>建筑品质</v>
      </c>
      <c r="R35" s="465" t="s">
        <v>1037</v>
      </c>
      <c r="S35" s="466">
        <f t="shared" si="9"/>
        <v>100</v>
      </c>
      <c r="T35" s="465" t="s">
        <v>1037</v>
      </c>
      <c r="U35" s="466">
        <f t="shared" si="10"/>
        <v>100</v>
      </c>
      <c r="V35" s="465" t="s">
        <v>1037</v>
      </c>
      <c r="W35" s="466">
        <f t="shared" si="11"/>
        <v>100</v>
      </c>
      <c r="X35" s="460"/>
      <c r="Y35" s="3844"/>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44"/>
      <c r="Q37" s="464" t="str">
        <f t="shared" si="8"/>
        <v>成新度</v>
      </c>
      <c r="R37" s="461" t="s">
        <v>1037</v>
      </c>
      <c r="S37" s="462">
        <f t="shared" si="9"/>
        <v>100</v>
      </c>
      <c r="T37" s="461" t="s">
        <v>1037</v>
      </c>
      <c r="U37" s="462">
        <f t="shared" si="10"/>
        <v>100</v>
      </c>
      <c r="V37" s="461" t="s">
        <v>1037</v>
      </c>
      <c r="W37" s="462">
        <f t="shared" si="11"/>
        <v>100</v>
      </c>
      <c r="X37" s="463"/>
      <c r="Y37" s="3844"/>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44" t="s">
        <v>1053</v>
      </c>
      <c r="Q38" s="395" t="str">
        <f t="shared" si="8"/>
        <v>物业管理</v>
      </c>
      <c r="R38" s="465" t="s">
        <v>1037</v>
      </c>
      <c r="S38" s="466">
        <f t="shared" si="9"/>
        <v>100</v>
      </c>
      <c r="T38" s="465" t="s">
        <v>1037</v>
      </c>
      <c r="U38" s="466">
        <f t="shared" si="10"/>
        <v>100</v>
      </c>
      <c r="V38" s="465" t="s">
        <v>1037</v>
      </c>
      <c r="W38" s="466">
        <f t="shared" si="11"/>
        <v>100</v>
      </c>
      <c r="X38" s="460"/>
      <c r="Y38" s="3844"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44"/>
      <c r="Q39" s="395" t="str">
        <f t="shared" si="8"/>
        <v>市政基础设施</v>
      </c>
      <c r="R39" s="465" t="s">
        <v>1037</v>
      </c>
      <c r="S39" s="466">
        <f t="shared" si="9"/>
        <v>100</v>
      </c>
      <c r="T39" s="465" t="s">
        <v>1037</v>
      </c>
      <c r="U39" s="466">
        <f t="shared" si="10"/>
        <v>100</v>
      </c>
      <c r="V39" s="465" t="s">
        <v>1037</v>
      </c>
      <c r="W39" s="466">
        <f t="shared" si="11"/>
        <v>100</v>
      </c>
      <c r="X39" s="460"/>
      <c r="Y39" s="3844"/>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44"/>
      <c r="Q40" s="395" t="str">
        <f t="shared" si="8"/>
        <v>房型</v>
      </c>
      <c r="R40" s="465" t="s">
        <v>1037</v>
      </c>
      <c r="S40" s="466">
        <f t="shared" si="9"/>
        <v>100</v>
      </c>
      <c r="T40" s="465" t="s">
        <v>1037</v>
      </c>
      <c r="U40" s="466">
        <f t="shared" si="10"/>
        <v>100</v>
      </c>
      <c r="V40" s="465" t="s">
        <v>1037</v>
      </c>
      <c r="W40" s="466">
        <f t="shared" si="11"/>
        <v>100</v>
      </c>
      <c r="X40" s="460"/>
      <c r="Y40" s="3844"/>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44"/>
      <c r="Q41" s="467" t="str">
        <f t="shared" si="8"/>
        <v>单套/主力户型建筑面积</v>
      </c>
      <c r="R41" s="468" t="s">
        <v>1037</v>
      </c>
      <c r="S41" s="469">
        <f t="shared" si="9"/>
        <v>100</v>
      </c>
      <c r="T41" s="468" t="s">
        <v>1037</v>
      </c>
      <c r="U41" s="469">
        <f t="shared" si="10"/>
        <v>100</v>
      </c>
      <c r="V41" s="468" t="s">
        <v>1037</v>
      </c>
      <c r="W41" s="469">
        <f t="shared" si="11"/>
        <v>100</v>
      </c>
      <c r="X41" s="470"/>
      <c r="Y41" s="3844"/>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39" t="str">
        <f>A47</f>
        <v>成交单价（元/平方米）</v>
      </c>
      <c r="Q47" s="3839"/>
      <c r="R47" s="3940">
        <f>E47</f>
        <v>28999</v>
      </c>
      <c r="S47" s="3940"/>
      <c r="T47" s="3940">
        <f>G47</f>
        <v>28999</v>
      </c>
      <c r="U47" s="3940"/>
      <c r="V47" s="3940">
        <f>I47</f>
        <v>29000</v>
      </c>
      <c r="W47" s="3940"/>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39" t="str">
        <f>A48</f>
        <v>比较价格（元/平方米）</v>
      </c>
      <c r="Q48" s="3839"/>
      <c r="R48" s="3940">
        <f>IF(F1="售价",ROUND(PRODUCT(R47,AA7:AA46),0),ROUND(PRODUCT(R47,AA7:AA46),1))</f>
        <v>28999</v>
      </c>
      <c r="S48" s="3940"/>
      <c r="T48" s="3940">
        <f>IF(F1="售价",ROUND(PRODUCT(T47,AB7:AB46),0),ROUND(PRODUCT(T47,AB7:AB46),1))</f>
        <v>28999</v>
      </c>
      <c r="U48" s="3940"/>
      <c r="V48" s="3940">
        <f>IF(F1="售价",ROUND(PRODUCT(V47,AC7:AC46),0),ROUND(PRODUCT(V47,AC7:AC46),1))</f>
        <v>29000</v>
      </c>
      <c r="W48" s="3940"/>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65" t="str">
        <f>A49</f>
        <v>估价对象XX用房的比较价格（楼面单价，元/平方米）</v>
      </c>
      <c r="Q49" s="3866"/>
      <c r="R49" s="3942">
        <f>IF(F1="售价",ROUND(IF(D48="简单平均",AVERAGE(R48:V48),R48*F48+T48*H48+V48*J48),0),ROUND(IF(D48="简单平均",AVERAGE(R48:V48),R48*F48+T48*H48+V48*J48),1))</f>
        <v>28999</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3" t="s">
        <v>2040</v>
      </c>
      <c r="C6" s="982">
        <f ca="1">ROUND(F6*F8*F7*(1-F9)/10000,0)</f>
        <v>0</v>
      </c>
      <c r="D6" s="983" t="s">
        <v>2209</v>
      </c>
      <c r="E6" s="984" t="s">
        <v>2042</v>
      </c>
      <c r="F6" s="985">
        <f ca="1">INDIRECT("'数据-取费表'!u"&amp;$G$1)</f>
        <v>0</v>
      </c>
      <c r="G6" s="974"/>
      <c r="H6" s="986" t="s">
        <v>875</v>
      </c>
      <c r="I6" s="3933" t="s">
        <v>2040</v>
      </c>
      <c r="J6" s="982">
        <f ca="1">ROUND(M6*M8*M7*(1-M9)/10000,0)</f>
        <v>0</v>
      </c>
      <c r="K6" s="1056" t="s">
        <v>2210</v>
      </c>
      <c r="L6" s="984" t="s">
        <v>2042</v>
      </c>
      <c r="M6" s="985">
        <f ca="1">INDIRECT("'数据-取费表'!z"&amp;$G$1)</f>
        <v>0</v>
      </c>
    </row>
    <row r="7" spans="1:33" ht="18" customHeight="1">
      <c r="A7" s="987"/>
      <c r="B7" s="3934"/>
      <c r="C7" s="988"/>
      <c r="D7" s="989"/>
      <c r="E7" s="984" t="s">
        <v>2043</v>
      </c>
      <c r="F7" s="985">
        <f ca="1">IF(INDIRECT("'数据-取费表'!ah"&amp;$G$1)="",INDIRECT("'数据-取费表'!k"&amp;$G$1),INDIRECT("'数据-取费表'!ah"&amp;$G$1))</f>
        <v>10700</v>
      </c>
      <c r="G7" s="974"/>
      <c r="H7" s="990"/>
      <c r="I7" s="3934"/>
      <c r="J7" s="988"/>
      <c r="K7" s="989"/>
      <c r="L7" s="984" t="s">
        <v>2043</v>
      </c>
      <c r="M7" s="985">
        <f ca="1">F7</f>
        <v>10700</v>
      </c>
    </row>
    <row r="8" spans="1:33" ht="18" customHeight="1">
      <c r="A8" s="991"/>
      <c r="B8" s="3935"/>
      <c r="C8" s="988"/>
      <c r="D8" s="989"/>
      <c r="E8" s="984" t="s">
        <v>2044</v>
      </c>
      <c r="F8" s="985">
        <f ca="1">INDIRECT("'数据-取费表'!ai"&amp;$G$1)</f>
        <v>365</v>
      </c>
      <c r="G8" s="974"/>
      <c r="H8" s="990"/>
      <c r="I8" s="3935"/>
      <c r="J8" s="988"/>
      <c r="K8" s="989"/>
      <c r="L8" s="984" t="s">
        <v>2044</v>
      </c>
      <c r="M8" s="985">
        <f ca="1">INDIRECT("'数据-取费表'!ai"&amp;$G$1)</f>
        <v>365</v>
      </c>
    </row>
    <row r="9" spans="1:33" ht="18" customHeight="1">
      <c r="A9" s="992"/>
      <c r="B9" s="3936"/>
      <c r="C9" s="988"/>
      <c r="D9" s="989"/>
      <c r="E9" s="984" t="s">
        <v>2045</v>
      </c>
      <c r="F9" s="993">
        <f ca="1">INDIRECT("'数据-取费表'!w"&amp;$G$1)</f>
        <v>0</v>
      </c>
      <c r="G9" s="974"/>
      <c r="H9" s="994"/>
      <c r="I9" s="3935"/>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4634</v>
      </c>
      <c r="D14" s="1019" t="s">
        <v>2055</v>
      </c>
      <c r="E14" s="1020"/>
      <c r="F14" s="1021"/>
      <c r="G14" s="974"/>
      <c r="H14" s="1022" t="s">
        <v>875</v>
      </c>
      <c r="I14" s="1103" t="s">
        <v>2056</v>
      </c>
      <c r="J14" s="127">
        <f ca="1">C29</f>
        <v>6150</v>
      </c>
      <c r="K14" s="1104"/>
      <c r="L14" s="1120"/>
      <c r="M14" s="1121"/>
    </row>
    <row r="15" spans="1:33" s="949" customFormat="1" ht="18" customHeight="1">
      <c r="A15" s="1017" t="s">
        <v>904</v>
      </c>
      <c r="B15" s="984" t="s">
        <v>955</v>
      </c>
      <c r="C15" s="127">
        <f ca="1">ROUND(C14*F15,0)</f>
        <v>139</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221</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5064</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101</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3208</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30.75</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269</v>
      </c>
      <c r="D23" s="1033" t="str">
        <f>IF(F23&lt;=1,"(建造成本+管理费用)×利率×(建设周期÷2)","(建造成本+管理费用)×((1+利率)^(建设周期÷2)-1)")</f>
        <v>(建造成本+管理费用)×((1+利率)^(建设周期÷2)-1)</v>
      </c>
      <c r="E23" s="984" t="s">
        <v>2089</v>
      </c>
      <c r="F23" s="1034">
        <f>'数据-取费表'!B20</f>
        <v>2.5</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258</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6150</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3208</v>
      </c>
      <c r="G35" s="974"/>
      <c r="H35" s="1048"/>
      <c r="I35" s="1142" t="s">
        <v>2225</v>
      </c>
      <c r="J35" s="1143">
        <f ca="1">ROUND(C13*J36,0)</f>
        <v>0</v>
      </c>
      <c r="K35" s="1137"/>
      <c r="L35" s="1055"/>
      <c r="M35" s="1055"/>
    </row>
    <row r="36" spans="1:18" ht="18" customHeight="1">
      <c r="A36" s="1022" t="s">
        <v>877</v>
      </c>
      <c r="B36" s="984" t="s">
        <v>2086</v>
      </c>
      <c r="C36" s="127">
        <f ca="1">ROUND(C29*F36,2)</f>
        <v>30.75</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6150</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3" t="s">
        <v>2243</v>
      </c>
      <c r="L53" s="3944"/>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6150</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3208</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30.75</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-640</v>
      </c>
      <c r="R68" s="1214" t="s">
        <v>2198</v>
      </c>
    </row>
    <row r="69" spans="1:18" ht="19.5">
      <c r="A69" s="1000"/>
      <c r="B69" s="1074"/>
      <c r="C69" s="1014"/>
      <c r="D69" s="1062"/>
      <c r="E69" s="984" t="s">
        <v>2113</v>
      </c>
      <c r="F69" s="1099"/>
      <c r="O69" s="1178" t="s">
        <v>2156</v>
      </c>
      <c r="P69" s="1212" t="s">
        <v>2199</v>
      </c>
      <c r="Q69" s="1206">
        <f ca="1">ROUND(Q70-Q71*Q72,0)</f>
        <v>-31</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45" t="s">
        <v>2248</v>
      </c>
      <c r="K2" s="3946"/>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47" t="s">
        <v>2258</v>
      </c>
      <c r="K3" s="3948"/>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47" t="s">
        <v>2259</v>
      </c>
      <c r="K4" s="3948"/>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49" t="s">
        <v>2262</v>
      </c>
      <c r="B6" s="3950"/>
      <c r="C6" s="3951"/>
      <c r="D6" s="799"/>
      <c r="E6" s="800"/>
      <c r="F6" s="801"/>
      <c r="G6" s="802"/>
      <c r="H6" s="791"/>
      <c r="I6" s="887"/>
      <c r="J6" s="3958">
        <v>1</v>
      </c>
      <c r="K6" s="3961"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58"/>
      <c r="K7" s="3962"/>
      <c r="L7" s="897" t="s">
        <v>2273</v>
      </c>
      <c r="M7" s="898"/>
      <c r="N7" s="795"/>
      <c r="O7" s="899"/>
      <c r="P7" s="899"/>
      <c r="Q7" s="828">
        <v>365</v>
      </c>
      <c r="R7" s="933">
        <f>ROUND(M7*N7*O7*P7*Q7/10000,0)</f>
        <v>0</v>
      </c>
      <c r="S7" s="926"/>
      <c r="T7" s="926" t="s">
        <v>2274</v>
      </c>
      <c r="U7" s="926"/>
      <c r="V7" s="887"/>
    </row>
    <row r="8" spans="1:22" s="773" customFormat="1" ht="13.15" customHeight="1">
      <c r="A8" s="810" t="s">
        <v>2275</v>
      </c>
      <c r="B8" s="3952" t="s">
        <v>2276</v>
      </c>
      <c r="C8" s="3953"/>
      <c r="D8" s="813" t="s">
        <v>2277</v>
      </c>
      <c r="E8" s="814" t="s">
        <v>2278</v>
      </c>
      <c r="F8" s="815" t="s">
        <v>2279</v>
      </c>
      <c r="G8" s="816"/>
      <c r="H8" s="791"/>
      <c r="I8" s="887"/>
      <c r="J8" s="3958"/>
      <c r="K8" s="3962"/>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52" t="s">
        <v>2282</v>
      </c>
      <c r="C9" s="3953"/>
      <c r="D9" s="813">
        <f>ROUND(D6*E9,0)</f>
        <v>0</v>
      </c>
      <c r="E9" s="817"/>
      <c r="F9" s="818" t="s">
        <v>2283</v>
      </c>
      <c r="G9" s="802"/>
      <c r="H9" s="791"/>
      <c r="I9" s="887"/>
      <c r="J9" s="3958"/>
      <c r="K9" s="3962"/>
      <c r="L9" s="897" t="s">
        <v>2284</v>
      </c>
      <c r="M9" s="898"/>
      <c r="N9" s="795"/>
      <c r="O9" s="899"/>
      <c r="P9" s="899"/>
      <c r="Q9" s="828">
        <v>365</v>
      </c>
      <c r="R9" s="933">
        <f t="shared" si="0"/>
        <v>0</v>
      </c>
      <c r="S9" s="926"/>
      <c r="T9" s="926"/>
      <c r="U9" s="926"/>
      <c r="V9" s="887"/>
    </row>
    <row r="10" spans="1:22" s="773" customFormat="1" ht="13.15" customHeight="1">
      <c r="A10" s="810">
        <v>2</v>
      </c>
      <c r="B10" s="3952" t="s">
        <v>2285</v>
      </c>
      <c r="C10" s="3953"/>
      <c r="D10" s="813">
        <f>ROUND(D6*E10,0)</f>
        <v>0</v>
      </c>
      <c r="E10" s="817"/>
      <c r="F10" s="818" t="s">
        <v>2286</v>
      </c>
      <c r="G10" s="802"/>
      <c r="H10" s="791"/>
      <c r="I10" s="887"/>
      <c r="J10" s="3958"/>
      <c r="K10" s="3962"/>
      <c r="L10" s="897" t="s">
        <v>2287</v>
      </c>
      <c r="M10" s="898"/>
      <c r="N10" s="795"/>
      <c r="O10" s="899"/>
      <c r="P10" s="899"/>
      <c r="Q10" s="828">
        <v>365</v>
      </c>
      <c r="R10" s="933">
        <f t="shared" si="0"/>
        <v>0</v>
      </c>
      <c r="S10" s="926"/>
      <c r="T10" s="926"/>
      <c r="U10" s="926"/>
      <c r="V10" s="887"/>
    </row>
    <row r="11" spans="1:22" s="773" customFormat="1" ht="13.15" customHeight="1">
      <c r="A11" s="810">
        <v>3</v>
      </c>
      <c r="B11" s="3952" t="s">
        <v>2288</v>
      </c>
      <c r="C11" s="3953"/>
      <c r="D11" s="813">
        <f>D12+D14+D15+D16</f>
        <v>0</v>
      </c>
      <c r="E11" s="819" t="e">
        <f>D11/D6</f>
        <v>#DIV/0!</v>
      </c>
      <c r="F11" s="815"/>
      <c r="G11" s="816"/>
      <c r="H11" s="791"/>
      <c r="I11" s="887"/>
      <c r="J11" s="3958"/>
      <c r="K11" s="3962"/>
      <c r="L11" s="897" t="s">
        <v>2289</v>
      </c>
      <c r="M11" s="898"/>
      <c r="N11" s="795"/>
      <c r="O11" s="899"/>
      <c r="P11" s="899"/>
      <c r="Q11" s="828">
        <v>365</v>
      </c>
      <c r="R11" s="933">
        <f t="shared" si="0"/>
        <v>0</v>
      </c>
      <c r="S11" s="926"/>
      <c r="T11" s="926"/>
      <c r="U11" s="926"/>
      <c r="V11" s="887"/>
    </row>
    <row r="12" spans="1:22" s="773" customFormat="1" ht="13.15" customHeight="1">
      <c r="A12" s="820" t="s">
        <v>2290</v>
      </c>
      <c r="B12" s="3954" t="s">
        <v>2291</v>
      </c>
      <c r="C12" s="3955"/>
      <c r="D12" s="823">
        <f>ROUND(D13*1.2%*(1-30%),0)</f>
        <v>0</v>
      </c>
      <c r="E12" s="824">
        <v>1.2E-2</v>
      </c>
      <c r="F12" s="815" t="s">
        <v>2292</v>
      </c>
      <c r="G12" s="816"/>
      <c r="H12" s="791"/>
      <c r="I12" s="887"/>
      <c r="J12" s="3958"/>
      <c r="K12" s="3962"/>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58"/>
      <c r="K13" s="3962"/>
      <c r="L13" s="897" t="s">
        <v>2295</v>
      </c>
      <c r="M13" s="898"/>
      <c r="N13" s="795"/>
      <c r="O13" s="899"/>
      <c r="P13" s="899"/>
      <c r="Q13" s="828">
        <v>365</v>
      </c>
      <c r="R13" s="933">
        <f t="shared" si="0"/>
        <v>0</v>
      </c>
      <c r="S13" s="926"/>
      <c r="T13" s="926"/>
      <c r="U13" s="926"/>
      <c r="V13" s="887"/>
    </row>
    <row r="14" spans="1:22" s="773" customFormat="1" ht="13.15" customHeight="1">
      <c r="A14" s="820" t="s">
        <v>2296</v>
      </c>
      <c r="B14" s="3954" t="s">
        <v>2297</v>
      </c>
      <c r="C14" s="3955"/>
      <c r="D14" s="823">
        <f>ROUND(E14*B5/10000,0)</f>
        <v>0</v>
      </c>
      <c r="E14" s="828"/>
      <c r="F14" s="815" t="s">
        <v>2298</v>
      </c>
      <c r="G14" s="816"/>
      <c r="H14" s="791"/>
      <c r="I14" s="887"/>
      <c r="J14" s="3958"/>
      <c r="K14" s="3963"/>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54" t="s">
        <v>2301</v>
      </c>
      <c r="C15" s="3955"/>
      <c r="D15" s="823">
        <f>ROUND(D6*E15,0)</f>
        <v>0</v>
      </c>
      <c r="E15" s="824">
        <v>5.5E-2</v>
      </c>
      <c r="F15" s="815" t="s">
        <v>2302</v>
      </c>
      <c r="G15" s="802"/>
      <c r="H15" s="791"/>
      <c r="I15" s="887"/>
      <c r="J15" s="3958">
        <v>2</v>
      </c>
      <c r="K15" s="3961"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54" t="s">
        <v>2309</v>
      </c>
      <c r="C16" s="3955"/>
      <c r="D16" s="829">
        <f>D6*E16</f>
        <v>0</v>
      </c>
      <c r="E16" s="830"/>
      <c r="F16" s="818" t="s">
        <v>2310</v>
      </c>
      <c r="G16" s="802"/>
      <c r="H16" s="791"/>
      <c r="I16" s="887"/>
      <c r="J16" s="3958"/>
      <c r="K16" s="3962"/>
      <c r="L16" s="897" t="s">
        <v>2311</v>
      </c>
      <c r="M16" s="898"/>
      <c r="N16" s="898"/>
      <c r="O16" s="899"/>
      <c r="P16" s="828">
        <v>365</v>
      </c>
      <c r="Q16" s="795"/>
      <c r="R16" s="935">
        <f>ROUND(M16*N16*O16*P16/10000,0)</f>
        <v>0</v>
      </c>
      <c r="S16" s="926"/>
      <c r="T16" s="926"/>
      <c r="U16" s="926"/>
      <c r="V16" s="887"/>
    </row>
    <row r="17" spans="1:22" s="773" customFormat="1" ht="13.15" customHeight="1">
      <c r="A17" s="831">
        <v>4</v>
      </c>
      <c r="B17" s="3956" t="s">
        <v>2312</v>
      </c>
      <c r="C17" s="3957"/>
      <c r="D17" s="832">
        <f>ROUND(D6*E17,0)</f>
        <v>0</v>
      </c>
      <c r="E17" s="833"/>
      <c r="F17" s="834" t="s">
        <v>2313</v>
      </c>
      <c r="G17" s="802"/>
      <c r="H17" s="791"/>
      <c r="I17" s="887"/>
      <c r="J17" s="3958"/>
      <c r="K17" s="3962"/>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58"/>
      <c r="K18" s="3962"/>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58"/>
      <c r="K19" s="3963"/>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58">
        <v>3</v>
      </c>
      <c r="K20" s="3961"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58"/>
      <c r="K21" s="3962"/>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58"/>
      <c r="K22" s="3962"/>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58"/>
      <c r="K23" s="3962"/>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58"/>
      <c r="K24" s="3963"/>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59">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60"/>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45" t="s">
        <v>2248</v>
      </c>
      <c r="K32" s="3946"/>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47" t="s">
        <v>2258</v>
      </c>
      <c r="K33" s="3948"/>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47" t="s">
        <v>2259</v>
      </c>
      <c r="K34" s="3948"/>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58">
        <v>1</v>
      </c>
      <c r="K36" s="3961"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58"/>
      <c r="K37" s="3962"/>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58"/>
      <c r="K38" s="3962"/>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58"/>
      <c r="K39" s="3962"/>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58"/>
      <c r="K40" s="3963"/>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59">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60"/>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0"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0"/>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0"/>
      <c r="AC6" s="3847"/>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1" t="s">
        <v>1049</v>
      </c>
      <c r="Q15" s="395" t="str">
        <f t="shared" si="6"/>
        <v>商业繁华度</v>
      </c>
      <c r="R15" s="465" t="s">
        <v>1037</v>
      </c>
      <c r="S15" s="466">
        <f t="shared" si="0"/>
        <v>100</v>
      </c>
      <c r="T15" s="465" t="s">
        <v>1037</v>
      </c>
      <c r="U15" s="466">
        <f t="shared" si="1"/>
        <v>100</v>
      </c>
      <c r="V15" s="465" t="s">
        <v>1037</v>
      </c>
      <c r="W15" s="466">
        <f t="shared" si="2"/>
        <v>100</v>
      </c>
      <c r="X15" s="460"/>
      <c r="Y15" s="3841"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2"/>
      <c r="Q25" s="395" t="str">
        <f t="shared" ref="Q25:Q46" si="8">B25</f>
        <v>临街状况</v>
      </c>
      <c r="R25" s="465" t="s">
        <v>1037</v>
      </c>
      <c r="S25" s="466">
        <f>F25</f>
        <v>100</v>
      </c>
      <c r="T25" s="465" t="s">
        <v>1037</v>
      </c>
      <c r="U25" s="466">
        <f>H25</f>
        <v>100</v>
      </c>
      <c r="V25" s="465" t="s">
        <v>1037</v>
      </c>
      <c r="W25" s="466">
        <f>J25</f>
        <v>100</v>
      </c>
      <c r="X25" s="460"/>
      <c r="Y25" s="3842"/>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2"/>
      <c r="Q26" s="395" t="str">
        <f t="shared" si="8"/>
        <v>平面位置/可视性</v>
      </c>
      <c r="R26" s="465" t="s">
        <v>1037</v>
      </c>
      <c r="S26" s="466">
        <f>F26</f>
        <v>100</v>
      </c>
      <c r="T26" s="465" t="s">
        <v>1037</v>
      </c>
      <c r="U26" s="466">
        <f>H26</f>
        <v>100</v>
      </c>
      <c r="V26" s="465" t="s">
        <v>1037</v>
      </c>
      <c r="W26" s="466">
        <f>J26</f>
        <v>100</v>
      </c>
      <c r="X26" s="460"/>
      <c r="Y26" s="3842"/>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2"/>
      <c r="Q27" s="464" t="str">
        <f t="shared" si="8"/>
        <v>人流量</v>
      </c>
      <c r="R27" s="461" t="s">
        <v>1037</v>
      </c>
      <c r="S27" s="462">
        <f>F27</f>
        <v>100</v>
      </c>
      <c r="T27" s="461" t="s">
        <v>1037</v>
      </c>
      <c r="U27" s="462">
        <f>H27</f>
        <v>100</v>
      </c>
      <c r="V27" s="461" t="s">
        <v>1037</v>
      </c>
      <c r="W27" s="462">
        <f>J27</f>
        <v>100</v>
      </c>
      <c r="X27" s="463"/>
      <c r="Y27" s="3842"/>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2"/>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42"/>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3" t="s">
        <v>1053</v>
      </c>
      <c r="Q32" s="395" t="str">
        <f t="shared" si="8"/>
        <v>商业类型</v>
      </c>
      <c r="R32" s="465" t="s">
        <v>1037</v>
      </c>
      <c r="S32" s="466">
        <f t="shared" si="9"/>
        <v>100</v>
      </c>
      <c r="T32" s="465" t="s">
        <v>1037</v>
      </c>
      <c r="U32" s="466">
        <f t="shared" si="10"/>
        <v>100</v>
      </c>
      <c r="V32" s="465" t="s">
        <v>1037</v>
      </c>
      <c r="W32" s="466">
        <f t="shared" si="11"/>
        <v>100</v>
      </c>
      <c r="X32" s="460"/>
      <c r="Y32" s="3844"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4"/>
      <c r="Q33" s="467" t="str">
        <f t="shared" si="8"/>
        <v>项目建筑规模</v>
      </c>
      <c r="R33" s="468" t="s">
        <v>1037</v>
      </c>
      <c r="S33" s="469" t="e">
        <f t="shared" si="9"/>
        <v>#N/A</v>
      </c>
      <c r="T33" s="468" t="s">
        <v>1037</v>
      </c>
      <c r="U33" s="469" t="e">
        <f t="shared" si="10"/>
        <v>#N/A</v>
      </c>
      <c r="V33" s="468" t="s">
        <v>1037</v>
      </c>
      <c r="W33" s="469" t="e">
        <f t="shared" si="11"/>
        <v>#N/A</v>
      </c>
      <c r="X33" s="470"/>
      <c r="Y33" s="3844"/>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4"/>
      <c r="Q35" s="395" t="str">
        <f t="shared" si="8"/>
        <v>公共部分装修</v>
      </c>
      <c r="R35" s="465" t="s">
        <v>1037</v>
      </c>
      <c r="S35" s="466">
        <f t="shared" si="9"/>
        <v>100</v>
      </c>
      <c r="T35" s="465" t="s">
        <v>1037</v>
      </c>
      <c r="U35" s="466">
        <f t="shared" si="10"/>
        <v>100</v>
      </c>
      <c r="V35" s="465" t="s">
        <v>1037</v>
      </c>
      <c r="W35" s="466">
        <f t="shared" si="11"/>
        <v>100</v>
      </c>
      <c r="X35" s="460"/>
      <c r="Y35" s="3844"/>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4"/>
      <c r="Q36" s="395" t="str">
        <f t="shared" si="8"/>
        <v>成新度</v>
      </c>
      <c r="R36" s="465" t="s">
        <v>1037</v>
      </c>
      <c r="S36" s="466" t="e">
        <f t="shared" si="9"/>
        <v>#N/A</v>
      </c>
      <c r="T36" s="465" t="s">
        <v>1037</v>
      </c>
      <c r="U36" s="466" t="e">
        <f t="shared" si="10"/>
        <v>#N/A</v>
      </c>
      <c r="V36" s="465" t="s">
        <v>1037</v>
      </c>
      <c r="W36" s="466" t="e">
        <f t="shared" si="11"/>
        <v>#N/A</v>
      </c>
      <c r="X36" s="460"/>
      <c r="Y36" s="3844"/>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4"/>
      <c r="Q37" s="464" t="str">
        <f t="shared" si="8"/>
        <v>市政基础设施</v>
      </c>
      <c r="R37" s="461" t="s">
        <v>1037</v>
      </c>
      <c r="S37" s="462">
        <f t="shared" si="9"/>
        <v>100</v>
      </c>
      <c r="T37" s="461" t="s">
        <v>1037</v>
      </c>
      <c r="U37" s="462">
        <f t="shared" si="10"/>
        <v>100</v>
      </c>
      <c r="V37" s="461" t="s">
        <v>1037</v>
      </c>
      <c r="W37" s="462">
        <f t="shared" si="11"/>
        <v>100</v>
      </c>
      <c r="X37" s="463"/>
      <c r="Y37" s="3844"/>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4" t="s">
        <v>1053</v>
      </c>
      <c r="Q38" s="395" t="str">
        <f t="shared" si="8"/>
        <v>业态</v>
      </c>
      <c r="R38" s="465" t="s">
        <v>1037</v>
      </c>
      <c r="S38" s="466">
        <f t="shared" si="9"/>
        <v>100</v>
      </c>
      <c r="T38" s="465" t="s">
        <v>1037</v>
      </c>
      <c r="U38" s="466">
        <f t="shared" si="10"/>
        <v>100</v>
      </c>
      <c r="V38" s="465" t="s">
        <v>1037</v>
      </c>
      <c r="W38" s="466">
        <f t="shared" si="11"/>
        <v>100</v>
      </c>
      <c r="X38" s="460"/>
      <c r="Y38" s="3844"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4"/>
      <c r="Q39" s="395" t="str">
        <f t="shared" si="8"/>
        <v>层高</v>
      </c>
      <c r="R39" s="465" t="s">
        <v>1037</v>
      </c>
      <c r="S39" s="466">
        <f t="shared" si="9"/>
        <v>100</v>
      </c>
      <c r="T39" s="465" t="s">
        <v>1037</v>
      </c>
      <c r="U39" s="466">
        <f t="shared" si="10"/>
        <v>100</v>
      </c>
      <c r="V39" s="465" t="s">
        <v>1037</v>
      </c>
      <c r="W39" s="466">
        <f t="shared" si="11"/>
        <v>100</v>
      </c>
      <c r="X39" s="460"/>
      <c r="Y39" s="3844"/>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4"/>
      <c r="Q40" s="395" t="str">
        <f t="shared" si="8"/>
        <v>单套建筑面积</v>
      </c>
      <c r="R40" s="465" t="s">
        <v>1037</v>
      </c>
      <c r="S40" s="466">
        <f t="shared" si="9"/>
        <v>100</v>
      </c>
      <c r="T40" s="465" t="s">
        <v>1037</v>
      </c>
      <c r="U40" s="466">
        <f t="shared" si="10"/>
        <v>100</v>
      </c>
      <c r="V40" s="465" t="s">
        <v>1037</v>
      </c>
      <c r="W40" s="466">
        <f t="shared" si="11"/>
        <v>100</v>
      </c>
      <c r="X40" s="460"/>
      <c r="Y40" s="3844"/>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4"/>
      <c r="Q41" s="467" t="str">
        <f t="shared" si="8"/>
        <v>进深比</v>
      </c>
      <c r="R41" s="468" t="s">
        <v>1037</v>
      </c>
      <c r="S41" s="469">
        <f t="shared" si="9"/>
        <v>100</v>
      </c>
      <c r="T41" s="468" t="s">
        <v>1037</v>
      </c>
      <c r="U41" s="469">
        <f t="shared" si="10"/>
        <v>100</v>
      </c>
      <c r="V41" s="468" t="s">
        <v>1037</v>
      </c>
      <c r="W41" s="469">
        <f t="shared" si="11"/>
        <v>100</v>
      </c>
      <c r="X41" s="470"/>
      <c r="Y41" s="3844"/>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39" t="str">
        <f>A47</f>
        <v>成交单价（元/平方米）</v>
      </c>
      <c r="Q47" s="3839"/>
      <c r="R47" s="3940">
        <f>E47</f>
        <v>0</v>
      </c>
      <c r="S47" s="3940"/>
      <c r="T47" s="3940">
        <f>G47</f>
        <v>0</v>
      </c>
      <c r="U47" s="3940"/>
      <c r="V47" s="3940">
        <f>I47</f>
        <v>0</v>
      </c>
      <c r="W47" s="3940"/>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39" t="str">
        <f>A48</f>
        <v>比较价格（元/平方米）</v>
      </c>
      <c r="Q48" s="3839"/>
      <c r="R48" s="3940" t="e">
        <f>IF(F1="售价",ROUND(PRODUCT(R47,AA7:AA46),0),ROUND(PRODUCT(R47,AA7:AA46),1))</f>
        <v>#DIV/0!</v>
      </c>
      <c r="S48" s="3940"/>
      <c r="T48" s="3940" t="e">
        <f>IF(F1="售价",ROUND(PRODUCT(T47,AB7:AB46),0),ROUND(PRODUCT(T47,AB7:AB46),1))</f>
        <v>#DIV/0!</v>
      </c>
      <c r="U48" s="3940"/>
      <c r="V48" s="3940" t="e">
        <f>IF(F1="售价",ROUND(PRODUCT(V47,AC7:AC46),0),ROUND(PRODUCT(V47,AC7:AC46),1))</f>
        <v>#DIV/0!</v>
      </c>
      <c r="W48" s="3940"/>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65" t="str">
        <f>A49</f>
        <v>估价对象XX用房的比较价格（楼面单价，元/平方米）</v>
      </c>
      <c r="Q49" s="3866"/>
      <c r="R49" s="3942" t="e">
        <f>IF(F1="售价",ROUND(IF(D48="简单平均",AVERAGE(R48:V48),R48*F48+T48*H48+V48*J48),0),ROUND(IF(D48="简单平均",AVERAGE(R48:V48),R48*F48+T48*H48+V48*J48),1))</f>
        <v>#DIV/0!</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28" t="s">
        <v>1023</v>
      </c>
      <c r="D4" s="3829"/>
      <c r="E4" s="3872" t="s">
        <v>1024</v>
      </c>
      <c r="F4" s="3873"/>
      <c r="G4" s="3828" t="s">
        <v>1025</v>
      </c>
      <c r="H4" s="3829"/>
      <c r="I4" s="3828" t="s">
        <v>1026</v>
      </c>
      <c r="J4" s="3829"/>
      <c r="K4" s="388" t="s">
        <v>1027</v>
      </c>
      <c r="L4" s="389"/>
      <c r="M4" s="390"/>
      <c r="N4" s="390"/>
      <c r="O4" s="390"/>
      <c r="P4" s="3965"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966"/>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967"/>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37"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7" t="s">
        <v>1041</v>
      </c>
      <c r="Q8" s="3838"/>
      <c r="R8" s="461" t="s">
        <v>1037</v>
      </c>
      <c r="S8" s="462">
        <f t="shared" si="0"/>
        <v>0</v>
      </c>
      <c r="T8" s="461" t="s">
        <v>1037</v>
      </c>
      <c r="U8" s="462">
        <f t="shared" si="1"/>
        <v>0</v>
      </c>
      <c r="V8" s="461" t="s">
        <v>1037</v>
      </c>
      <c r="W8" s="462">
        <f t="shared" si="2"/>
        <v>0</v>
      </c>
      <c r="X8" s="463"/>
      <c r="Y8" s="3836" t="s">
        <v>1041</v>
      </c>
      <c r="Z8" s="3838"/>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1" t="s">
        <v>1049</v>
      </c>
      <c r="Q15" s="395" t="str">
        <f t="shared" si="6"/>
        <v>办公集聚程度</v>
      </c>
      <c r="R15" s="465" t="s">
        <v>1037</v>
      </c>
      <c r="S15" s="466">
        <f t="shared" si="0"/>
        <v>100</v>
      </c>
      <c r="T15" s="465" t="s">
        <v>1037</v>
      </c>
      <c r="U15" s="466">
        <f t="shared" si="1"/>
        <v>100</v>
      </c>
      <c r="V15" s="465" t="s">
        <v>1037</v>
      </c>
      <c r="W15" s="466">
        <f t="shared" si="2"/>
        <v>100</v>
      </c>
      <c r="X15" s="460"/>
      <c r="Y15" s="3841"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2"/>
      <c r="Q16" s="395"/>
      <c r="R16" s="465"/>
      <c r="S16" s="466"/>
      <c r="T16" s="465"/>
      <c r="U16" s="466"/>
      <c r="V16" s="465"/>
      <c r="W16" s="466"/>
      <c r="X16" s="460"/>
      <c r="Y16" s="3842"/>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2"/>
      <c r="Q18" s="395"/>
      <c r="R18" s="465"/>
      <c r="S18" s="466"/>
      <c r="T18" s="465"/>
      <c r="U18" s="466"/>
      <c r="V18" s="465"/>
      <c r="W18" s="466"/>
      <c r="X18" s="460"/>
      <c r="Y18" s="3842"/>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2"/>
      <c r="Q20" s="395"/>
      <c r="R20" s="465"/>
      <c r="S20" s="466"/>
      <c r="T20" s="465"/>
      <c r="U20" s="466"/>
      <c r="V20" s="465"/>
      <c r="W20" s="466"/>
      <c r="X20" s="460"/>
      <c r="Y20" s="3842"/>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2"/>
      <c r="Q22" s="395"/>
      <c r="R22" s="465"/>
      <c r="S22" s="466"/>
      <c r="T22" s="465"/>
      <c r="U22" s="466"/>
      <c r="V22" s="465"/>
      <c r="W22" s="466"/>
      <c r="X22" s="460"/>
      <c r="Y22" s="3842"/>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2"/>
      <c r="Q24" s="395"/>
      <c r="R24" s="465"/>
      <c r="S24" s="466"/>
      <c r="T24" s="465"/>
      <c r="U24" s="466"/>
      <c r="V24" s="465"/>
      <c r="W24" s="466"/>
      <c r="X24" s="460"/>
      <c r="Y24" s="3842"/>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2"/>
      <c r="Q25" s="395" t="str">
        <f>B25</f>
        <v>毗邻道路的类型与等级</v>
      </c>
      <c r="R25" s="465" t="s">
        <v>1037</v>
      </c>
      <c r="S25" s="466">
        <f>F25</f>
        <v>100</v>
      </c>
      <c r="T25" s="465" t="s">
        <v>1037</v>
      </c>
      <c r="U25" s="466">
        <f>H25</f>
        <v>100</v>
      </c>
      <c r="V25" s="465" t="s">
        <v>1037</v>
      </c>
      <c r="W25" s="466">
        <f>J25</f>
        <v>100</v>
      </c>
      <c r="X25" s="460"/>
      <c r="Y25" s="3842"/>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2"/>
      <c r="Q26" s="395"/>
      <c r="R26" s="465"/>
      <c r="S26" s="466"/>
      <c r="T26" s="465"/>
      <c r="U26" s="466"/>
      <c r="V26" s="465"/>
      <c r="W26" s="466"/>
      <c r="X26" s="460"/>
      <c r="Y26" s="3842"/>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2"/>
      <c r="Q27" s="395" t="str">
        <f t="shared" ref="Q27:Q47" si="8">B27</f>
        <v>楼层</v>
      </c>
      <c r="R27" s="465" t="s">
        <v>1037</v>
      </c>
      <c r="S27" s="466">
        <f>F27</f>
        <v>100</v>
      </c>
      <c r="T27" s="465" t="s">
        <v>1037</v>
      </c>
      <c r="U27" s="466">
        <f>H27</f>
        <v>100</v>
      </c>
      <c r="V27" s="465" t="s">
        <v>1037</v>
      </c>
      <c r="W27" s="466">
        <f>J27</f>
        <v>100</v>
      </c>
      <c r="X27" s="460"/>
      <c r="Y27" s="3842"/>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2"/>
      <c r="Q28" s="464" t="str">
        <f t="shared" si="8"/>
        <v>朝向</v>
      </c>
      <c r="R28" s="461" t="s">
        <v>1037</v>
      </c>
      <c r="S28" s="462">
        <f>F28</f>
        <v>100</v>
      </c>
      <c r="T28" s="461" t="s">
        <v>1037</v>
      </c>
      <c r="U28" s="462">
        <f>H28</f>
        <v>100</v>
      </c>
      <c r="V28" s="461" t="s">
        <v>1037</v>
      </c>
      <c r="W28" s="462">
        <f>J28</f>
        <v>100</v>
      </c>
      <c r="X28" s="463"/>
      <c r="Y28" s="3842"/>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2"/>
      <c r="Q29" s="395">
        <f t="shared" si="8"/>
        <v>111</v>
      </c>
      <c r="R29" s="465" t="s">
        <v>1037</v>
      </c>
      <c r="S29" s="466">
        <f t="shared" ref="S29:S47" si="9">F29</f>
        <v>100</v>
      </c>
      <c r="T29" s="465" t="s">
        <v>1037</v>
      </c>
      <c r="U29" s="466">
        <f t="shared" ref="U29:U47" si="10">H29</f>
        <v>100</v>
      </c>
      <c r="V29" s="465" t="s">
        <v>1037</v>
      </c>
      <c r="W29" s="466">
        <f t="shared" ref="W29:W47" si="11">J29</f>
        <v>100</v>
      </c>
      <c r="X29" s="460"/>
      <c r="Y29" s="3842"/>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2"/>
      <c r="Q32" s="395">
        <f t="shared" si="8"/>
        <v>111</v>
      </c>
      <c r="R32" s="465" t="s">
        <v>1037</v>
      </c>
      <c r="S32" s="466">
        <f t="shared" si="9"/>
        <v>100</v>
      </c>
      <c r="T32" s="465" t="s">
        <v>1037</v>
      </c>
      <c r="U32" s="466">
        <f t="shared" si="10"/>
        <v>100</v>
      </c>
      <c r="V32" s="465" t="s">
        <v>1037</v>
      </c>
      <c r="W32" s="466">
        <f t="shared" si="11"/>
        <v>100</v>
      </c>
      <c r="X32" s="460"/>
      <c r="Y32" s="3842"/>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3" t="s">
        <v>1053</v>
      </c>
      <c r="Q33" s="395" t="str">
        <f t="shared" si="8"/>
        <v>建筑类型</v>
      </c>
      <c r="R33" s="465" t="s">
        <v>1037</v>
      </c>
      <c r="S33" s="466">
        <f t="shared" si="9"/>
        <v>100</v>
      </c>
      <c r="T33" s="465" t="s">
        <v>1037</v>
      </c>
      <c r="U33" s="466">
        <f t="shared" si="10"/>
        <v>100</v>
      </c>
      <c r="V33" s="465" t="s">
        <v>1037</v>
      </c>
      <c r="W33" s="466">
        <f t="shared" si="11"/>
        <v>100</v>
      </c>
      <c r="X33" s="460"/>
      <c r="Y33" s="3844"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4"/>
      <c r="Q34" s="467" t="str">
        <f t="shared" si="8"/>
        <v>项目建筑规模</v>
      </c>
      <c r="R34" s="468" t="s">
        <v>1037</v>
      </c>
      <c r="S34" s="469" t="e">
        <f t="shared" si="9"/>
        <v>#N/A</v>
      </c>
      <c r="T34" s="468" t="s">
        <v>1037</v>
      </c>
      <c r="U34" s="469" t="e">
        <f t="shared" si="10"/>
        <v>#N/A</v>
      </c>
      <c r="V34" s="468" t="s">
        <v>1037</v>
      </c>
      <c r="W34" s="469" t="e">
        <f t="shared" si="11"/>
        <v>#N/A</v>
      </c>
      <c r="X34" s="470"/>
      <c r="Y34" s="3844"/>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4"/>
      <c r="Q35" s="395" t="str">
        <f t="shared" si="8"/>
        <v>建筑结构</v>
      </c>
      <c r="R35" s="465" t="s">
        <v>1037</v>
      </c>
      <c r="S35" s="466">
        <f t="shared" si="9"/>
        <v>100</v>
      </c>
      <c r="T35" s="465" t="s">
        <v>1037</v>
      </c>
      <c r="U35" s="466">
        <f t="shared" si="10"/>
        <v>100</v>
      </c>
      <c r="V35" s="465" t="s">
        <v>1037</v>
      </c>
      <c r="W35" s="466">
        <f t="shared" si="11"/>
        <v>100</v>
      </c>
      <c r="X35" s="460"/>
      <c r="Y35" s="3844"/>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4"/>
      <c r="Q37" s="395" t="str">
        <f t="shared" si="8"/>
        <v>成新度</v>
      </c>
      <c r="R37" s="465" t="s">
        <v>1037</v>
      </c>
      <c r="S37" s="466" t="e">
        <f t="shared" si="9"/>
        <v>#N/A</v>
      </c>
      <c r="T37" s="465" t="s">
        <v>1037</v>
      </c>
      <c r="U37" s="466" t="e">
        <f t="shared" si="10"/>
        <v>#N/A</v>
      </c>
      <c r="V37" s="465" t="s">
        <v>1037</v>
      </c>
      <c r="W37" s="466" t="e">
        <f t="shared" si="11"/>
        <v>#N/A</v>
      </c>
      <c r="X37" s="460"/>
      <c r="Y37" s="3844"/>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4"/>
      <c r="Q38" s="464" t="str">
        <f t="shared" si="8"/>
        <v>写字楼等级</v>
      </c>
      <c r="R38" s="461" t="s">
        <v>1037</v>
      </c>
      <c r="S38" s="462">
        <f t="shared" si="9"/>
        <v>100</v>
      </c>
      <c r="T38" s="461" t="s">
        <v>1037</v>
      </c>
      <c r="U38" s="462">
        <f t="shared" si="10"/>
        <v>100</v>
      </c>
      <c r="V38" s="461" t="s">
        <v>1037</v>
      </c>
      <c r="W38" s="462">
        <f t="shared" si="11"/>
        <v>100</v>
      </c>
      <c r="X38" s="463"/>
      <c r="Y38" s="3844"/>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4" t="s">
        <v>1053</v>
      </c>
      <c r="Q39" s="395" t="str">
        <f t="shared" si="8"/>
        <v>物业管理</v>
      </c>
      <c r="R39" s="465" t="s">
        <v>1037</v>
      </c>
      <c r="S39" s="466">
        <f t="shared" si="9"/>
        <v>100</v>
      </c>
      <c r="T39" s="465" t="s">
        <v>1037</v>
      </c>
      <c r="U39" s="466">
        <f t="shared" si="10"/>
        <v>100</v>
      </c>
      <c r="V39" s="465" t="s">
        <v>1037</v>
      </c>
      <c r="W39" s="466">
        <f t="shared" si="11"/>
        <v>100</v>
      </c>
      <c r="X39" s="460"/>
      <c r="Y39" s="3844"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4"/>
      <c r="Q40" s="395" t="str">
        <f t="shared" si="8"/>
        <v>市政基础设施</v>
      </c>
      <c r="R40" s="465" t="s">
        <v>1037</v>
      </c>
      <c r="S40" s="466">
        <f t="shared" si="9"/>
        <v>100</v>
      </c>
      <c r="T40" s="465" t="s">
        <v>1037</v>
      </c>
      <c r="U40" s="466">
        <f t="shared" si="10"/>
        <v>100</v>
      </c>
      <c r="V40" s="465" t="s">
        <v>1037</v>
      </c>
      <c r="W40" s="466">
        <f t="shared" si="11"/>
        <v>100</v>
      </c>
      <c r="X40" s="460"/>
      <c r="Y40" s="3844"/>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4"/>
      <c r="Q41" s="395" t="str">
        <f t="shared" si="8"/>
        <v>层高</v>
      </c>
      <c r="R41" s="465" t="s">
        <v>1037</v>
      </c>
      <c r="S41" s="466">
        <f t="shared" si="9"/>
        <v>100</v>
      </c>
      <c r="T41" s="465" t="s">
        <v>1037</v>
      </c>
      <c r="U41" s="466">
        <f t="shared" si="10"/>
        <v>100</v>
      </c>
      <c r="V41" s="465" t="s">
        <v>1037</v>
      </c>
      <c r="W41" s="466">
        <f t="shared" si="11"/>
        <v>100</v>
      </c>
      <c r="X41" s="460"/>
      <c r="Y41" s="3844"/>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4"/>
      <c r="Q42" s="467" t="str">
        <f t="shared" si="8"/>
        <v>单套建筑面积</v>
      </c>
      <c r="R42" s="468" t="s">
        <v>1037</v>
      </c>
      <c r="S42" s="469">
        <f t="shared" si="9"/>
        <v>100</v>
      </c>
      <c r="T42" s="468" t="s">
        <v>1037</v>
      </c>
      <c r="U42" s="469">
        <f t="shared" si="10"/>
        <v>100</v>
      </c>
      <c r="V42" s="468" t="s">
        <v>1037</v>
      </c>
      <c r="W42" s="469">
        <f t="shared" si="11"/>
        <v>100</v>
      </c>
      <c r="X42" s="470"/>
      <c r="Y42" s="3844"/>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4"/>
      <c r="Q43" s="395" t="str">
        <f t="shared" si="8"/>
        <v>内部装修</v>
      </c>
      <c r="R43" s="465" t="s">
        <v>1037</v>
      </c>
      <c r="S43" s="466">
        <f t="shared" si="9"/>
        <v>100</v>
      </c>
      <c r="T43" s="465" t="s">
        <v>1037</v>
      </c>
      <c r="U43" s="466">
        <f t="shared" si="10"/>
        <v>100</v>
      </c>
      <c r="V43" s="465" t="s">
        <v>1037</v>
      </c>
      <c r="W43" s="466">
        <f t="shared" si="11"/>
        <v>100</v>
      </c>
      <c r="X43" s="460"/>
      <c r="Y43" s="3844"/>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4"/>
      <c r="Q44" s="395" t="str">
        <f t="shared" si="8"/>
        <v>内部装修维护情况</v>
      </c>
      <c r="R44" s="465" t="s">
        <v>1037</v>
      </c>
      <c r="S44" s="466">
        <f t="shared" si="9"/>
        <v>100</v>
      </c>
      <c r="T44" s="465" t="s">
        <v>1037</v>
      </c>
      <c r="U44" s="466">
        <f t="shared" si="10"/>
        <v>100</v>
      </c>
      <c r="V44" s="465" t="s">
        <v>1037</v>
      </c>
      <c r="W44" s="466">
        <f t="shared" si="11"/>
        <v>100</v>
      </c>
      <c r="X44" s="460"/>
      <c r="Y44" s="3844"/>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4"/>
      <c r="Q45" s="464">
        <f t="shared" si="8"/>
        <v>111</v>
      </c>
      <c r="R45" s="461" t="s">
        <v>1037</v>
      </c>
      <c r="S45" s="462">
        <f t="shared" si="9"/>
        <v>100</v>
      </c>
      <c r="T45" s="461" t="s">
        <v>1037</v>
      </c>
      <c r="U45" s="462">
        <f t="shared" si="10"/>
        <v>100</v>
      </c>
      <c r="V45" s="461" t="s">
        <v>1037</v>
      </c>
      <c r="W45" s="462">
        <f t="shared" si="11"/>
        <v>100</v>
      </c>
      <c r="X45" s="463"/>
      <c r="Y45" s="3844"/>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4"/>
      <c r="Q46" s="395">
        <f t="shared" si="8"/>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1"/>
      <c r="Q47" s="395">
        <f t="shared" si="8"/>
        <v>111</v>
      </c>
      <c r="R47" s="465" t="s">
        <v>1037</v>
      </c>
      <c r="S47" s="466">
        <f t="shared" si="9"/>
        <v>100</v>
      </c>
      <c r="T47" s="465" t="s">
        <v>1037</v>
      </c>
      <c r="U47" s="466">
        <f t="shared" si="10"/>
        <v>100</v>
      </c>
      <c r="V47" s="465" t="s">
        <v>1037</v>
      </c>
      <c r="W47" s="466">
        <f t="shared" si="11"/>
        <v>100</v>
      </c>
      <c r="X47" s="460"/>
      <c r="Y47" s="3941"/>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66" t="str">
        <f>A48</f>
        <v>成交单价（元/平方米）</v>
      </c>
      <c r="Q48" s="3839"/>
      <c r="R48" s="3940">
        <f>E48</f>
        <v>0</v>
      </c>
      <c r="S48" s="3940"/>
      <c r="T48" s="3940">
        <f>G48</f>
        <v>0</v>
      </c>
      <c r="U48" s="3940"/>
      <c r="V48" s="3940">
        <f>I48</f>
        <v>0</v>
      </c>
      <c r="W48" s="3940"/>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66" t="str">
        <f>A49</f>
        <v>比较价格（元/平方米）</v>
      </c>
      <c r="Q49" s="3839"/>
      <c r="R49" s="3940" t="e">
        <f>IF(F1="售价",ROUND(PRODUCT(R48,AA7:AA47),0),ROUND(PRODUCT(R48,AA7:AA47),1))</f>
        <v>#DIV/0!</v>
      </c>
      <c r="S49" s="3940"/>
      <c r="T49" s="3940" t="e">
        <f>IF(F1="售价",ROUND(PRODUCT(T48,AB7:AB47),0),ROUND(PRODUCT(T48,AB7:AB47),1))</f>
        <v>#DIV/0!</v>
      </c>
      <c r="U49" s="3940"/>
      <c r="V49" s="3940" t="e">
        <f>IF(F1="售价",ROUND(PRODUCT(V48,AC7:AC47),0),ROUND(PRODUCT(V48,AC7:AC47),1))</f>
        <v>#DIV/0!</v>
      </c>
      <c r="W49" s="3940"/>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64" t="str">
        <f>A50</f>
        <v>估价对象XX用房的比较价格（楼面单价，元/平方米）</v>
      </c>
      <c r="Q50" s="3866"/>
      <c r="R50" s="3942" t="e">
        <f>IF(F1="售价",ROUND(IF(D49="简单平均",AVERAGE(R49:V49),R49*F49+T49*H49+V49*J49),0),ROUND(IF(D49="简单平均",AVERAGE(R49:V49),R49*F49+T49*H49+V49*J49),1))</f>
        <v>#DIV/0!</v>
      </c>
      <c r="S50" s="3942"/>
      <c r="T50" s="3942"/>
      <c r="U50" s="3942"/>
      <c r="V50" s="3942"/>
      <c r="W50" s="394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1" t="s">
        <v>1049</v>
      </c>
      <c r="Q15" s="395" t="str">
        <f t="shared" si="6"/>
        <v>产业集聚程度</v>
      </c>
      <c r="R15" s="465" t="s">
        <v>1037</v>
      </c>
      <c r="S15" s="466">
        <f t="shared" si="0"/>
        <v>100</v>
      </c>
      <c r="T15" s="465" t="s">
        <v>1037</v>
      </c>
      <c r="U15" s="466">
        <f t="shared" si="1"/>
        <v>100</v>
      </c>
      <c r="V15" s="465" t="s">
        <v>1037</v>
      </c>
      <c r="W15" s="466">
        <f t="shared" si="2"/>
        <v>100</v>
      </c>
      <c r="X15" s="460"/>
      <c r="Y15" s="3841"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2"/>
      <c r="Q25" s="395">
        <f>B25</f>
        <v>111</v>
      </c>
      <c r="R25" s="465" t="s">
        <v>1037</v>
      </c>
      <c r="S25" s="466">
        <f>F25</f>
        <v>100</v>
      </c>
      <c r="T25" s="465" t="s">
        <v>1037</v>
      </c>
      <c r="U25" s="466">
        <f>H25</f>
        <v>100</v>
      </c>
      <c r="V25" s="465" t="s">
        <v>1037</v>
      </c>
      <c r="W25" s="466">
        <f>J25</f>
        <v>100</v>
      </c>
      <c r="X25" s="460"/>
      <c r="Y25" s="3842"/>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2"/>
      <c r="Q26" s="395">
        <f t="shared" ref="Q26:Q40" si="8">B26</f>
        <v>111</v>
      </c>
      <c r="R26" s="465" t="s">
        <v>1037</v>
      </c>
      <c r="S26" s="466">
        <f>F26</f>
        <v>100</v>
      </c>
      <c r="T26" s="465" t="s">
        <v>1037</v>
      </c>
      <c r="U26" s="466">
        <f>H26</f>
        <v>100</v>
      </c>
      <c r="V26" s="465" t="s">
        <v>1037</v>
      </c>
      <c r="W26" s="466">
        <f>J26</f>
        <v>100</v>
      </c>
      <c r="X26" s="460"/>
      <c r="Y26" s="3842"/>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2"/>
      <c r="Q27" s="464">
        <f t="shared" si="8"/>
        <v>111</v>
      </c>
      <c r="R27" s="461" t="s">
        <v>1037</v>
      </c>
      <c r="S27" s="462">
        <f>F27</f>
        <v>100</v>
      </c>
      <c r="T27" s="461" t="s">
        <v>1037</v>
      </c>
      <c r="U27" s="462">
        <f>H27</f>
        <v>100</v>
      </c>
      <c r="V27" s="461" t="s">
        <v>1037</v>
      </c>
      <c r="W27" s="462">
        <f>J27</f>
        <v>100</v>
      </c>
      <c r="X27" s="463"/>
      <c r="Y27" s="3842"/>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2"/>
      <c r="Q28" s="395">
        <f t="shared" si="8"/>
        <v>111</v>
      </c>
      <c r="R28" s="465" t="s">
        <v>1037</v>
      </c>
      <c r="S28" s="466">
        <f t="shared" ref="S28:S40" si="9">F28</f>
        <v>100</v>
      </c>
      <c r="T28" s="465" t="s">
        <v>1037</v>
      </c>
      <c r="U28" s="466">
        <f t="shared" ref="U28:U40" si="10">H28</f>
        <v>100</v>
      </c>
      <c r="V28" s="465" t="s">
        <v>1037</v>
      </c>
      <c r="W28" s="466">
        <f t="shared" ref="W28:W40" si="11">J28</f>
        <v>100</v>
      </c>
      <c r="X28" s="460"/>
      <c r="Y28" s="3842"/>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3" t="s">
        <v>1053</v>
      </c>
      <c r="Q29" s="395" t="str">
        <f t="shared" si="8"/>
        <v>建筑类型</v>
      </c>
      <c r="R29" s="465" t="s">
        <v>1037</v>
      </c>
      <c r="S29" s="466">
        <f t="shared" si="9"/>
        <v>100</v>
      </c>
      <c r="T29" s="465" t="s">
        <v>1037</v>
      </c>
      <c r="U29" s="466">
        <f t="shared" si="10"/>
        <v>100</v>
      </c>
      <c r="V29" s="465" t="s">
        <v>1037</v>
      </c>
      <c r="W29" s="466">
        <f t="shared" si="11"/>
        <v>100</v>
      </c>
      <c r="X29" s="460"/>
      <c r="Y29" s="3844"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4"/>
      <c r="Q30" s="467" t="str">
        <f t="shared" si="8"/>
        <v>项目建筑规模</v>
      </c>
      <c r="R30" s="468" t="s">
        <v>1037</v>
      </c>
      <c r="S30" s="469" t="e">
        <f t="shared" si="9"/>
        <v>#N/A</v>
      </c>
      <c r="T30" s="468" t="s">
        <v>1037</v>
      </c>
      <c r="U30" s="469" t="e">
        <f t="shared" si="10"/>
        <v>#N/A</v>
      </c>
      <c r="V30" s="468" t="s">
        <v>1037</v>
      </c>
      <c r="W30" s="469" t="e">
        <f t="shared" si="11"/>
        <v>#N/A</v>
      </c>
      <c r="X30" s="470"/>
      <c r="Y30" s="3844"/>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4"/>
      <c r="Q31" s="395" t="str">
        <f t="shared" si="8"/>
        <v>建筑结构</v>
      </c>
      <c r="R31" s="465" t="s">
        <v>1037</v>
      </c>
      <c r="S31" s="466">
        <f t="shared" si="9"/>
        <v>100</v>
      </c>
      <c r="T31" s="465" t="s">
        <v>1037</v>
      </c>
      <c r="U31" s="466">
        <f t="shared" si="10"/>
        <v>100</v>
      </c>
      <c r="V31" s="465" t="s">
        <v>1037</v>
      </c>
      <c r="W31" s="466">
        <f t="shared" si="11"/>
        <v>100</v>
      </c>
      <c r="X31" s="460"/>
      <c r="Y31" s="3844"/>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4"/>
      <c r="Q32" s="395" t="str">
        <f t="shared" si="8"/>
        <v>公共部分装修</v>
      </c>
      <c r="R32" s="465" t="s">
        <v>1037</v>
      </c>
      <c r="S32" s="466">
        <f t="shared" si="9"/>
        <v>100</v>
      </c>
      <c r="T32" s="465" t="s">
        <v>1037</v>
      </c>
      <c r="U32" s="466">
        <f t="shared" si="10"/>
        <v>100</v>
      </c>
      <c r="V32" s="465" t="s">
        <v>1037</v>
      </c>
      <c r="W32" s="466">
        <f t="shared" si="11"/>
        <v>100</v>
      </c>
      <c r="X32" s="460"/>
      <c r="Y32" s="3844"/>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4"/>
      <c r="Q33" s="395" t="str">
        <f t="shared" si="8"/>
        <v>成新度</v>
      </c>
      <c r="R33" s="465" t="s">
        <v>1037</v>
      </c>
      <c r="S33" s="466" t="e">
        <f t="shared" si="9"/>
        <v>#N/A</v>
      </c>
      <c r="T33" s="465" t="s">
        <v>1037</v>
      </c>
      <c r="U33" s="466" t="e">
        <f t="shared" si="10"/>
        <v>#N/A</v>
      </c>
      <c r="V33" s="465" t="s">
        <v>1037</v>
      </c>
      <c r="W33" s="466" t="e">
        <f t="shared" si="11"/>
        <v>#N/A</v>
      </c>
      <c r="X33" s="460"/>
      <c r="Y33" s="3844"/>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4"/>
      <c r="Q34" s="464" t="str">
        <f t="shared" si="8"/>
        <v>物业管理</v>
      </c>
      <c r="R34" s="461" t="s">
        <v>1037</v>
      </c>
      <c r="S34" s="462">
        <f t="shared" si="9"/>
        <v>100</v>
      </c>
      <c r="T34" s="461" t="s">
        <v>1037</v>
      </c>
      <c r="U34" s="462">
        <f t="shared" si="10"/>
        <v>100</v>
      </c>
      <c r="V34" s="461" t="s">
        <v>1037</v>
      </c>
      <c r="W34" s="462">
        <f t="shared" si="11"/>
        <v>100</v>
      </c>
      <c r="X34" s="463"/>
      <c r="Y34" s="3844"/>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4" t="s">
        <v>1053</v>
      </c>
      <c r="Q35" s="395" t="str">
        <f t="shared" si="8"/>
        <v>市政基础设施</v>
      </c>
      <c r="R35" s="465" t="s">
        <v>1037</v>
      </c>
      <c r="S35" s="466">
        <f t="shared" si="9"/>
        <v>100</v>
      </c>
      <c r="T35" s="465" t="s">
        <v>1037</v>
      </c>
      <c r="U35" s="466">
        <f t="shared" si="10"/>
        <v>100</v>
      </c>
      <c r="V35" s="465" t="s">
        <v>1037</v>
      </c>
      <c r="W35" s="466">
        <f t="shared" si="11"/>
        <v>100</v>
      </c>
      <c r="X35" s="460"/>
      <c r="Y35" s="3844"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4"/>
      <c r="Q36" s="395" t="str">
        <f t="shared" si="8"/>
        <v>内部装修</v>
      </c>
      <c r="R36" s="465" t="s">
        <v>1037</v>
      </c>
      <c r="S36" s="466">
        <f t="shared" si="9"/>
        <v>100</v>
      </c>
      <c r="T36" s="465" t="s">
        <v>1037</v>
      </c>
      <c r="U36" s="466">
        <f t="shared" si="10"/>
        <v>100</v>
      </c>
      <c r="V36" s="465" t="s">
        <v>1037</v>
      </c>
      <c r="W36" s="466">
        <f t="shared" si="11"/>
        <v>100</v>
      </c>
      <c r="X36" s="460"/>
      <c r="Y36" s="3844"/>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4"/>
      <c r="Q37" s="395" t="str">
        <f t="shared" si="8"/>
        <v>内部装修状况</v>
      </c>
      <c r="R37" s="465" t="s">
        <v>1037</v>
      </c>
      <c r="S37" s="466">
        <f t="shared" si="9"/>
        <v>100</v>
      </c>
      <c r="T37" s="465" t="s">
        <v>1037</v>
      </c>
      <c r="U37" s="466">
        <f t="shared" si="10"/>
        <v>100</v>
      </c>
      <c r="V37" s="465" t="s">
        <v>1037</v>
      </c>
      <c r="W37" s="466">
        <f t="shared" si="11"/>
        <v>100</v>
      </c>
      <c r="X37" s="460"/>
      <c r="Y37" s="3844"/>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4"/>
      <c r="Q38" s="467">
        <f t="shared" si="8"/>
        <v>111</v>
      </c>
      <c r="R38" s="468" t="s">
        <v>1037</v>
      </c>
      <c r="S38" s="469">
        <f t="shared" si="9"/>
        <v>100</v>
      </c>
      <c r="T38" s="468" t="s">
        <v>1037</v>
      </c>
      <c r="U38" s="469">
        <f t="shared" si="10"/>
        <v>100</v>
      </c>
      <c r="V38" s="468" t="s">
        <v>1037</v>
      </c>
      <c r="W38" s="469">
        <f t="shared" si="11"/>
        <v>100</v>
      </c>
      <c r="X38" s="470"/>
      <c r="Y38" s="3844"/>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4"/>
      <c r="Q39" s="395">
        <f t="shared" si="8"/>
        <v>111</v>
      </c>
      <c r="R39" s="465" t="s">
        <v>1037</v>
      </c>
      <c r="S39" s="466">
        <f t="shared" si="9"/>
        <v>100</v>
      </c>
      <c r="T39" s="465" t="s">
        <v>1037</v>
      </c>
      <c r="U39" s="466">
        <f t="shared" si="10"/>
        <v>100</v>
      </c>
      <c r="V39" s="465" t="s">
        <v>1037</v>
      </c>
      <c r="W39" s="466">
        <f t="shared" si="11"/>
        <v>100</v>
      </c>
      <c r="X39" s="460"/>
      <c r="Y39" s="3844"/>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1"/>
      <c r="Q40" s="395">
        <f t="shared" si="8"/>
        <v>111</v>
      </c>
      <c r="R40" s="465" t="s">
        <v>1037</v>
      </c>
      <c r="S40" s="466">
        <f t="shared" si="9"/>
        <v>100</v>
      </c>
      <c r="T40" s="465" t="s">
        <v>1037</v>
      </c>
      <c r="U40" s="466">
        <f t="shared" si="10"/>
        <v>100</v>
      </c>
      <c r="V40" s="465" t="s">
        <v>1037</v>
      </c>
      <c r="W40" s="466">
        <f t="shared" si="11"/>
        <v>100</v>
      </c>
      <c r="X40" s="460"/>
      <c r="Y40" s="3941"/>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39" t="str">
        <f>A41</f>
        <v>成交单价（元/平方米）</v>
      </c>
      <c r="Q41" s="3839"/>
      <c r="R41" s="3940">
        <f>E41</f>
        <v>0</v>
      </c>
      <c r="S41" s="3940"/>
      <c r="T41" s="3940">
        <f>G41</f>
        <v>0</v>
      </c>
      <c r="U41" s="3940"/>
      <c r="V41" s="3940">
        <f>I41</f>
        <v>0</v>
      </c>
      <c r="W41" s="3940"/>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39" t="str">
        <f>A42</f>
        <v>比较价格（元/平方米）</v>
      </c>
      <c r="Q42" s="3839"/>
      <c r="R42" s="3940" t="e">
        <f>IF(F1="售价",ROUND(PRODUCT(R41,AA7:AA40),0),ROUND(PRODUCT(R41,AA7:AA40),1))</f>
        <v>#DIV/0!</v>
      </c>
      <c r="S42" s="3940"/>
      <c r="T42" s="3940" t="e">
        <f>IF(F1="售价",ROUND(PRODUCT(T41,AB7:AB40),0),ROUND(PRODUCT(T41,AB7:AB40),1))</f>
        <v>#DIV/0!</v>
      </c>
      <c r="U42" s="3940"/>
      <c r="V42" s="3940" t="e">
        <f>IF(F1="售价",ROUND(PRODUCT(V41,AC7:AC40),0),ROUND(PRODUCT(V41,AC7:AC40),1))</f>
        <v>#DIV/0!</v>
      </c>
      <c r="W42" s="3940"/>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65" t="str">
        <f>A43</f>
        <v>估价对象XX用房的比较价格（楼面单价，元/平方米）</v>
      </c>
      <c r="Q43" s="3866"/>
      <c r="R43" s="3942" t="e">
        <f>IF(F1="售价",ROUND(IF(D42="简单平均",AVERAGE(R42:V42),R42*F42+T42*H42+V42*J42),0),ROUND(IF(D42="简单平均",AVERAGE(R42:V42),R42*F42+T42*H42+V42*J42),1))</f>
        <v>#DIV/0!</v>
      </c>
      <c r="S43" s="3942"/>
      <c r="T43" s="3942"/>
      <c r="U43" s="3942"/>
      <c r="V43" s="3942"/>
      <c r="W43" s="394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0" zoomScaleNormal="60" zoomScaleSheetLayoutView="80" workbookViewId="0">
      <selection activeCell="N27" sqref="N2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10039</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9382</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8" t="s">
        <v>2688</v>
      </c>
      <c r="F5" s="3875"/>
      <c r="G5" s="3939" t="s">
        <v>2707</v>
      </c>
      <c r="H5" s="3831"/>
      <c r="I5" s="3939" t="s">
        <v>2712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4" si="3">D8/F8</f>
        <v>1</v>
      </c>
      <c r="AB8" s="480">
        <f t="shared" ref="AB8:AB34" si="4">D8/H8</f>
        <v>1</v>
      </c>
      <c r="AC8" s="480">
        <f t="shared" ref="AC8:AC34" si="5">D8/J8</f>
        <v>1</v>
      </c>
    </row>
    <row r="9" spans="1:29" s="199" customFormat="1" ht="15">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42"/>
      <c r="Q16" s="395" t="str">
        <f>B16</f>
        <v>公共配套设施</v>
      </c>
      <c r="R16" s="465" t="s">
        <v>1037</v>
      </c>
      <c r="S16" s="466">
        <f>F16</f>
        <v>100</v>
      </c>
      <c r="T16" s="465" t="s">
        <v>1037</v>
      </c>
      <c r="U16" s="466">
        <f>H16</f>
        <v>103</v>
      </c>
      <c r="V16" s="465" t="s">
        <v>1037</v>
      </c>
      <c r="W16" s="466">
        <f>J16</f>
        <v>103</v>
      </c>
      <c r="X16" s="460"/>
      <c r="Y16" s="3842"/>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2"/>
      <c r="Q24" s="395">
        <f t="shared" ref="Q24:Q34"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43"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44"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44"/>
      <c r="Q27" s="467" t="str">
        <f t="shared" si="8"/>
        <v>成新率</v>
      </c>
      <c r="R27" s="468" t="s">
        <v>1037</v>
      </c>
      <c r="S27" s="469">
        <f t="shared" si="9"/>
        <v>100</v>
      </c>
      <c r="T27" s="468" t="s">
        <v>1037</v>
      </c>
      <c r="U27" s="469">
        <f t="shared" si="10"/>
        <v>100</v>
      </c>
      <c r="V27" s="468" t="s">
        <v>1037</v>
      </c>
      <c r="W27" s="469">
        <f t="shared" si="11"/>
        <v>100</v>
      </c>
      <c r="X27" s="470"/>
      <c r="Y27" s="3844"/>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4"/>
      <c r="Q28" s="395" t="str">
        <f t="shared" si="8"/>
        <v>物业等级</v>
      </c>
      <c r="R28" s="465" t="s">
        <v>1037</v>
      </c>
      <c r="S28" s="466">
        <f t="shared" si="9"/>
        <v>100</v>
      </c>
      <c r="T28" s="465" t="s">
        <v>1037</v>
      </c>
      <c r="U28" s="466">
        <f t="shared" si="10"/>
        <v>100</v>
      </c>
      <c r="V28" s="465" t="s">
        <v>1037</v>
      </c>
      <c r="W28" s="466">
        <f t="shared" si="11"/>
        <v>100</v>
      </c>
      <c r="X28" s="460"/>
      <c r="Y28" s="3844"/>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44"/>
      <c r="Q29" s="395" t="str">
        <f t="shared" si="8"/>
        <v>有无电梯</v>
      </c>
      <c r="R29" s="465" t="s">
        <v>1037</v>
      </c>
      <c r="S29" s="466">
        <f t="shared" si="9"/>
        <v>100</v>
      </c>
      <c r="T29" s="465" t="s">
        <v>1037</v>
      </c>
      <c r="U29" s="466">
        <f t="shared" si="10"/>
        <v>100</v>
      </c>
      <c r="V29" s="465" t="s">
        <v>1037</v>
      </c>
      <c r="W29" s="466">
        <f t="shared" si="11"/>
        <v>100</v>
      </c>
      <c r="X29" s="460"/>
      <c r="Y29" s="3844"/>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44"/>
      <c r="Q30" s="395" t="str">
        <f t="shared" si="8"/>
        <v>建筑面积</v>
      </c>
      <c r="R30" s="465" t="s">
        <v>1037</v>
      </c>
      <c r="S30" s="466">
        <f t="shared" si="9"/>
        <v>100</v>
      </c>
      <c r="T30" s="465" t="s">
        <v>1037</v>
      </c>
      <c r="U30" s="466">
        <f t="shared" si="10"/>
        <v>100</v>
      </c>
      <c r="V30" s="465" t="s">
        <v>1037</v>
      </c>
      <c r="W30" s="466">
        <f t="shared" si="11"/>
        <v>100</v>
      </c>
      <c r="X30" s="460"/>
      <c r="Y30" s="3844"/>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4"/>
      <c r="Q31" s="464" t="str">
        <f t="shared" si="8"/>
        <v>是否封闭</v>
      </c>
      <c r="R31" s="461" t="s">
        <v>1037</v>
      </c>
      <c r="S31" s="462">
        <f t="shared" si="9"/>
        <v>100</v>
      </c>
      <c r="T31" s="461" t="s">
        <v>1037</v>
      </c>
      <c r="U31" s="462">
        <f t="shared" si="10"/>
        <v>100</v>
      </c>
      <c r="V31" s="461" t="s">
        <v>1037</v>
      </c>
      <c r="W31" s="462">
        <f t="shared" si="11"/>
        <v>100</v>
      </c>
      <c r="X31" s="463"/>
      <c r="Y31" s="3844"/>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44" t="s">
        <v>1053</v>
      </c>
      <c r="Q32" s="395">
        <f t="shared" si="8"/>
        <v>0</v>
      </c>
      <c r="R32" s="465" t="s">
        <v>1037</v>
      </c>
      <c r="S32" s="466">
        <f t="shared" si="9"/>
        <v>100</v>
      </c>
      <c r="T32" s="465" t="s">
        <v>1037</v>
      </c>
      <c r="U32" s="466">
        <f t="shared" si="10"/>
        <v>100</v>
      </c>
      <c r="V32" s="465" t="s">
        <v>1037</v>
      </c>
      <c r="W32" s="466">
        <f t="shared" si="11"/>
        <v>100</v>
      </c>
      <c r="X32" s="460"/>
      <c r="Y32" s="3844"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44"/>
      <c r="Q33" s="395" t="str">
        <f t="shared" si="8"/>
        <v>商品房项目</v>
      </c>
      <c r="R33" s="465" t="s">
        <v>1037</v>
      </c>
      <c r="S33" s="466">
        <f t="shared" si="9"/>
        <v>100</v>
      </c>
      <c r="T33" s="465" t="s">
        <v>1037</v>
      </c>
      <c r="U33" s="466">
        <f t="shared" si="10"/>
        <v>120</v>
      </c>
      <c r="V33" s="465" t="s">
        <v>1037</v>
      </c>
      <c r="W33" s="466">
        <f t="shared" si="11"/>
        <v>120</v>
      </c>
      <c r="X33" s="460"/>
      <c r="Y33" s="3844"/>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4"/>
      <c r="Q34" s="395">
        <f t="shared" si="8"/>
        <v>111</v>
      </c>
      <c r="R34" s="465" t="s">
        <v>1037</v>
      </c>
      <c r="S34" s="466">
        <f t="shared" si="9"/>
        <v>100</v>
      </c>
      <c r="T34" s="465" t="s">
        <v>1037</v>
      </c>
      <c r="U34" s="466">
        <f t="shared" si="10"/>
        <v>100</v>
      </c>
      <c r="V34" s="465" t="s">
        <v>1037</v>
      </c>
      <c r="W34" s="466">
        <f t="shared" si="11"/>
        <v>100</v>
      </c>
      <c r="X34" s="460"/>
      <c r="Y34" s="3844"/>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39" t="str">
        <f>A35</f>
        <v>成交单价（元/平方米）</v>
      </c>
      <c r="Q35" s="3839"/>
      <c r="R35" s="3940">
        <f>E35</f>
        <v>8414</v>
      </c>
      <c r="S35" s="3940"/>
      <c r="T35" s="3940">
        <f>G35</f>
        <v>14309</v>
      </c>
      <c r="U35" s="3940"/>
      <c r="V35" s="3940">
        <f>I35</f>
        <v>11541</v>
      </c>
      <c r="W35" s="3940"/>
      <c r="X35" s="342"/>
      <c r="Y35" s="483"/>
      <c r="Z35" s="342"/>
      <c r="AA35" s="342"/>
      <c r="AB35" s="342"/>
      <c r="AC35" s="342"/>
    </row>
    <row r="36" spans="1:29" ht="15">
      <c r="A36" s="320" t="s">
        <v>1062</v>
      </c>
      <c r="B36" s="321"/>
      <c r="C36" s="322">
        <f>R37</f>
        <v>9382</v>
      </c>
      <c r="D36" s="323" t="s">
        <v>1063</v>
      </c>
      <c r="E36" s="324">
        <f>R36</f>
        <v>8414</v>
      </c>
      <c r="F36" s="325"/>
      <c r="G36" s="322">
        <f>T36</f>
        <v>10922</v>
      </c>
      <c r="H36" s="325"/>
      <c r="I36" s="324">
        <f>V36</f>
        <v>8809</v>
      </c>
      <c r="J36" s="325"/>
      <c r="K36" s="411">
        <f>F36+H36+J36</f>
        <v>0</v>
      </c>
      <c r="L36" s="410"/>
      <c r="M36" s="340"/>
      <c r="N36" s="390"/>
      <c r="O36" s="340"/>
      <c r="P36" s="3839" t="str">
        <f>A36</f>
        <v>比较价格（元/平方米）</v>
      </c>
      <c r="Q36" s="3839"/>
      <c r="R36" s="3940">
        <f>IF(F1="售价",ROUND(PRODUCT(R35,AA7:AA34),0),ROUND(PRODUCT(R35,AA7:AA34),1))</f>
        <v>8414</v>
      </c>
      <c r="S36" s="3940"/>
      <c r="T36" s="3940">
        <f>IF(F1="售价",ROUND(PRODUCT(T35,AB7:AB34),0),ROUND(PRODUCT(T35,AB7:AB34),1))</f>
        <v>10922</v>
      </c>
      <c r="U36" s="3940"/>
      <c r="V36" s="3940">
        <f>IF(F1="售价",ROUND(PRODUCT(V35,AC7:AC34),0),ROUND(PRODUCT(V35,AC7:AC34),1))</f>
        <v>8809</v>
      </c>
      <c r="W36" s="3940"/>
      <c r="X36" s="342"/>
      <c r="Y36" s="342"/>
      <c r="Z36" s="342"/>
      <c r="AA36" s="342"/>
      <c r="AB36" s="342"/>
      <c r="AC36" s="342"/>
    </row>
    <row r="37" spans="1:29" ht="15">
      <c r="A37" s="326" t="s">
        <v>1064</v>
      </c>
      <c r="B37" s="327"/>
      <c r="C37" s="328">
        <f>R37</f>
        <v>9382</v>
      </c>
      <c r="D37" s="328"/>
      <c r="E37" s="328"/>
      <c r="F37" s="328"/>
      <c r="G37" s="328"/>
      <c r="H37" s="328"/>
      <c r="I37" s="328"/>
      <c r="J37" s="328"/>
      <c r="K37" s="412"/>
      <c r="L37" s="410"/>
      <c r="M37" s="340"/>
      <c r="N37" s="340"/>
      <c r="O37" s="340"/>
      <c r="P37" s="3865" t="str">
        <f>A37</f>
        <v>估价对象XX用房的比较价格（楼面单价，元/平方米）</v>
      </c>
      <c r="Q37" s="3866"/>
      <c r="R37" s="3942">
        <f>IF(F1="售价",ROUND(IF(D36="简单平均",AVERAGE(R36:W36),R36*F36+T36*H36+V36*J36),0),ROUND(IF(D36="简单平均",AVERAGE(R36:V36),R36*F36+T36*H36+V36*J36),1))</f>
        <v>9382</v>
      </c>
      <c r="S37" s="3942"/>
      <c r="T37" s="3942"/>
      <c r="U37" s="3942"/>
      <c r="V37" s="3942"/>
      <c r="W37" s="3942"/>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0" zoomScale="80" zoomScaleNormal="60" zoomScaleSheetLayoutView="80" workbookViewId="0">
      <selection activeCell="M41" sqref="M4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20473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5362</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28" t="s">
        <v>1024</v>
      </c>
      <c r="F4" s="3829"/>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9" t="s">
        <v>2706</v>
      </c>
      <c r="F5" s="3831"/>
      <c r="G5" s="3939" t="s">
        <v>2707</v>
      </c>
      <c r="H5" s="3831"/>
      <c r="I5" s="3939" t="s">
        <v>2721</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32" t="s">
        <v>1033</v>
      </c>
      <c r="F6" s="3833"/>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6" si="3">D8/F8</f>
        <v>1</v>
      </c>
      <c r="AB8" s="480">
        <f t="shared" ref="AB8:AB36" si="4">D8/H8</f>
        <v>1</v>
      </c>
      <c r="AC8" s="480">
        <f t="shared" ref="AC8:AC36" si="5">D8/J8</f>
        <v>1</v>
      </c>
    </row>
    <row r="9" spans="1:29" s="199" customFormat="1" ht="15">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42"/>
      <c r="Q16" s="395" t="str">
        <f>B16</f>
        <v>公共配套设施</v>
      </c>
      <c r="R16" s="465" t="s">
        <v>1037</v>
      </c>
      <c r="S16" s="466">
        <f>F16</f>
        <v>100</v>
      </c>
      <c r="T16" s="465" t="s">
        <v>1037</v>
      </c>
      <c r="U16" s="466">
        <f>H16</f>
        <v>103</v>
      </c>
      <c r="V16" s="465" t="s">
        <v>1037</v>
      </c>
      <c r="W16" s="466">
        <f>J16</f>
        <v>106</v>
      </c>
      <c r="X16" s="460"/>
      <c r="Y16" s="3842"/>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2"/>
      <c r="Q24" s="395">
        <f t="shared" ref="Q24:Q36"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3"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44"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4"/>
      <c r="Q27" s="467" t="str">
        <f t="shared" si="8"/>
        <v>项目停车位配比</v>
      </c>
      <c r="R27" s="468" t="s">
        <v>1037</v>
      </c>
      <c r="S27" s="469">
        <f t="shared" si="9"/>
        <v>100</v>
      </c>
      <c r="T27" s="468" t="s">
        <v>1037</v>
      </c>
      <c r="U27" s="469">
        <f t="shared" si="10"/>
        <v>100</v>
      </c>
      <c r="V27" s="468" t="s">
        <v>1037</v>
      </c>
      <c r="W27" s="469">
        <f t="shared" si="11"/>
        <v>100</v>
      </c>
      <c r="X27" s="470"/>
      <c r="Y27" s="3844"/>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4"/>
      <c r="Q28" s="395" t="str">
        <f t="shared" si="8"/>
        <v>公共部分装修</v>
      </c>
      <c r="R28" s="465" t="s">
        <v>1037</v>
      </c>
      <c r="S28" s="466">
        <f t="shared" si="9"/>
        <v>100</v>
      </c>
      <c r="T28" s="465" t="s">
        <v>1037</v>
      </c>
      <c r="U28" s="466">
        <f t="shared" si="10"/>
        <v>100</v>
      </c>
      <c r="V28" s="465" t="s">
        <v>1037</v>
      </c>
      <c r="W28" s="466">
        <f t="shared" si="11"/>
        <v>100</v>
      </c>
      <c r="X28" s="460"/>
      <c r="Y28" s="3844"/>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4"/>
      <c r="Q29" s="395" t="str">
        <f t="shared" si="8"/>
        <v>成新率</v>
      </c>
      <c r="R29" s="465" t="s">
        <v>1037</v>
      </c>
      <c r="S29" s="466">
        <f t="shared" si="9"/>
        <v>100</v>
      </c>
      <c r="T29" s="465" t="s">
        <v>1037</v>
      </c>
      <c r="U29" s="466">
        <f t="shared" si="10"/>
        <v>100</v>
      </c>
      <c r="V29" s="465" t="s">
        <v>1037</v>
      </c>
      <c r="W29" s="466">
        <f t="shared" si="11"/>
        <v>100</v>
      </c>
      <c r="X29" s="460"/>
      <c r="Y29" s="3844"/>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4"/>
      <c r="Q30" s="395" t="str">
        <f t="shared" si="8"/>
        <v>物业等级</v>
      </c>
      <c r="R30" s="465" t="s">
        <v>1037</v>
      </c>
      <c r="S30" s="466">
        <f t="shared" si="9"/>
        <v>100</v>
      </c>
      <c r="T30" s="465" t="s">
        <v>1037</v>
      </c>
      <c r="U30" s="466">
        <f t="shared" si="10"/>
        <v>100</v>
      </c>
      <c r="V30" s="465" t="s">
        <v>1037</v>
      </c>
      <c r="W30" s="466">
        <f t="shared" si="11"/>
        <v>100</v>
      </c>
      <c r="X30" s="460"/>
      <c r="Y30" s="3844"/>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44"/>
      <c r="Q31" s="464" t="str">
        <f t="shared" si="8"/>
        <v>停车位面积</v>
      </c>
      <c r="R31" s="461" t="s">
        <v>1037</v>
      </c>
      <c r="S31" s="462">
        <f t="shared" si="9"/>
        <v>100</v>
      </c>
      <c r="T31" s="461" t="s">
        <v>1037</v>
      </c>
      <c r="U31" s="462">
        <f t="shared" si="10"/>
        <v>100</v>
      </c>
      <c r="V31" s="461" t="s">
        <v>1037</v>
      </c>
      <c r="W31" s="462">
        <f t="shared" si="11"/>
        <v>100</v>
      </c>
      <c r="X31" s="463"/>
      <c r="Y31" s="3844"/>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44" t="s">
        <v>1053</v>
      </c>
      <c r="Q32" s="395" t="str">
        <f t="shared" si="8"/>
        <v>车位类型</v>
      </c>
      <c r="R32" s="465" t="s">
        <v>1037</v>
      </c>
      <c r="S32" s="466">
        <f t="shared" si="9"/>
        <v>100</v>
      </c>
      <c r="T32" s="465" t="s">
        <v>1037</v>
      </c>
      <c r="U32" s="466">
        <f t="shared" si="10"/>
        <v>100</v>
      </c>
      <c r="V32" s="465" t="s">
        <v>1037</v>
      </c>
      <c r="W32" s="466">
        <f t="shared" si="11"/>
        <v>100</v>
      </c>
      <c r="X32" s="460"/>
      <c r="Y32" s="3844"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44"/>
      <c r="Q33" s="395" t="str">
        <f t="shared" si="8"/>
        <v>是否直接入户</v>
      </c>
      <c r="R33" s="465" t="s">
        <v>1037</v>
      </c>
      <c r="S33" s="466">
        <f t="shared" si="9"/>
        <v>100</v>
      </c>
      <c r="T33" s="465" t="s">
        <v>1037</v>
      </c>
      <c r="U33" s="466">
        <f t="shared" si="10"/>
        <v>100</v>
      </c>
      <c r="V33" s="465" t="s">
        <v>1037</v>
      </c>
      <c r="W33" s="466">
        <f t="shared" si="11"/>
        <v>100</v>
      </c>
      <c r="X33" s="460"/>
      <c r="Y33" s="3844"/>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44"/>
      <c r="Q34" s="395">
        <f t="shared" si="8"/>
        <v>0</v>
      </c>
      <c r="R34" s="465" t="s">
        <v>1037</v>
      </c>
      <c r="S34" s="466">
        <f t="shared" si="9"/>
        <v>100</v>
      </c>
      <c r="T34" s="465" t="s">
        <v>1037</v>
      </c>
      <c r="U34" s="466">
        <f t="shared" si="10"/>
        <v>100</v>
      </c>
      <c r="V34" s="465" t="s">
        <v>1037</v>
      </c>
      <c r="W34" s="466">
        <f t="shared" si="11"/>
        <v>100</v>
      </c>
      <c r="X34" s="460"/>
      <c r="Y34" s="3844"/>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120</v>
      </c>
      <c r="I35" s="3646" t="s">
        <v>2722</v>
      </c>
      <c r="J35" s="256">
        <f>SUMIF(99:99,I35,100:100)-SUMIF(99:99,C35,100:100)+100</f>
        <v>120</v>
      </c>
      <c r="K35" s="399"/>
      <c r="L35" s="400"/>
      <c r="M35" s="407"/>
      <c r="N35" s="407"/>
      <c r="O35" s="408"/>
      <c r="P35" s="3844"/>
      <c r="Q35" s="467" t="str">
        <f t="shared" si="8"/>
        <v>商品房项目</v>
      </c>
      <c r="R35" s="468" t="s">
        <v>1037</v>
      </c>
      <c r="S35" s="469">
        <f t="shared" si="9"/>
        <v>100</v>
      </c>
      <c r="T35" s="468" t="s">
        <v>1037</v>
      </c>
      <c r="U35" s="469">
        <f t="shared" si="10"/>
        <v>120</v>
      </c>
      <c r="V35" s="468" t="s">
        <v>1037</v>
      </c>
      <c r="W35" s="469">
        <f t="shared" si="11"/>
        <v>120</v>
      </c>
      <c r="X35" s="470"/>
      <c r="Y35" s="3844"/>
      <c r="Z35" s="482" t="str">
        <f t="shared" si="12"/>
        <v>商品房项目</v>
      </c>
      <c r="AA35" s="471">
        <f t="shared" si="3"/>
        <v>1</v>
      </c>
      <c r="AB35" s="471">
        <f t="shared" si="4"/>
        <v>0.83333333333333337</v>
      </c>
      <c r="AC35" s="471">
        <f t="shared" si="5"/>
        <v>0.83333333333333337</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4"/>
      <c r="Q36" s="395">
        <f t="shared" si="8"/>
        <v>111</v>
      </c>
      <c r="R36" s="465" t="s">
        <v>1037</v>
      </c>
      <c r="S36" s="466">
        <f t="shared" si="9"/>
        <v>100</v>
      </c>
      <c r="T36" s="465" t="s">
        <v>1037</v>
      </c>
      <c r="U36" s="466">
        <f t="shared" si="10"/>
        <v>100</v>
      </c>
      <c r="V36" s="465" t="s">
        <v>1037</v>
      </c>
      <c r="W36" s="466">
        <f t="shared" si="11"/>
        <v>100</v>
      </c>
      <c r="X36" s="460"/>
      <c r="Y36" s="3844"/>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7922</v>
      </c>
      <c r="J37" s="319"/>
      <c r="K37" s="409"/>
      <c r="L37" s="410"/>
      <c r="M37" s="340"/>
      <c r="N37" s="390"/>
      <c r="O37" s="340"/>
      <c r="P37" s="3839" t="str">
        <f>A37</f>
        <v>成交单价</v>
      </c>
      <c r="Q37" s="3839"/>
      <c r="R37" s="3940">
        <f>E37</f>
        <v>5229</v>
      </c>
      <c r="S37" s="3940"/>
      <c r="T37" s="3940">
        <f>G37</f>
        <v>6529</v>
      </c>
      <c r="U37" s="3940"/>
      <c r="V37" s="3940">
        <f>I37</f>
        <v>7922</v>
      </c>
      <c r="W37" s="3940"/>
      <c r="X37" s="342"/>
      <c r="Y37" s="483"/>
      <c r="Z37" s="342"/>
      <c r="AA37" s="342"/>
      <c r="AB37" s="342"/>
      <c r="AC37" s="342"/>
    </row>
    <row r="38" spans="1:29" ht="15">
      <c r="A38" s="320" t="s">
        <v>1062</v>
      </c>
      <c r="B38" s="321"/>
      <c r="C38" s="322">
        <f>R39</f>
        <v>5362</v>
      </c>
      <c r="D38" s="323" t="s">
        <v>1063</v>
      </c>
      <c r="E38" s="324">
        <f>R38</f>
        <v>5229</v>
      </c>
      <c r="F38" s="325"/>
      <c r="G38" s="322">
        <f>T38</f>
        <v>4983</v>
      </c>
      <c r="H38" s="325"/>
      <c r="I38" s="324">
        <f>V38</f>
        <v>5875</v>
      </c>
      <c r="J38" s="325"/>
      <c r="K38" s="411">
        <f>F38+H38+J38</f>
        <v>0</v>
      </c>
      <c r="L38" s="410"/>
      <c r="M38" s="340"/>
      <c r="N38" s="340"/>
      <c r="O38" s="340"/>
      <c r="P38" s="3839" t="str">
        <f>A38</f>
        <v>比较价格（元/平方米）</v>
      </c>
      <c r="Q38" s="3839"/>
      <c r="R38" s="3940">
        <f>IF(F1="售价",ROUND(PRODUCT(R37,AA7:AA36),0),ROUND(PRODUCT(R37,AA7:AA36),1))</f>
        <v>5229</v>
      </c>
      <c r="S38" s="3940"/>
      <c r="T38" s="3940">
        <f>IF(F1="售价",ROUND(PRODUCT(T37,AB7:AB36),0),ROUND(PRODUCT(T37,AB7:AB36),1))</f>
        <v>4983</v>
      </c>
      <c r="U38" s="3940"/>
      <c r="V38" s="3940">
        <f>IF(F1="售价",ROUND(PRODUCT(V37,AC7:AC36),0),ROUND(PRODUCT(V37,AC7:AC36),1))</f>
        <v>5875</v>
      </c>
      <c r="W38" s="3940"/>
      <c r="X38" s="342"/>
      <c r="Y38" s="342"/>
      <c r="Z38" s="342"/>
      <c r="AA38" s="342"/>
      <c r="AB38" s="342"/>
      <c r="AC38" s="342"/>
    </row>
    <row r="39" spans="1:29" ht="15">
      <c r="A39" s="326" t="s">
        <v>1064</v>
      </c>
      <c r="B39" s="327"/>
      <c r="C39" s="328">
        <f>R39</f>
        <v>5362</v>
      </c>
      <c r="D39" s="328"/>
      <c r="E39" s="328"/>
      <c r="F39" s="328"/>
      <c r="G39" s="328"/>
      <c r="H39" s="328"/>
      <c r="I39" s="328"/>
      <c r="J39" s="328"/>
      <c r="K39" s="412"/>
      <c r="L39" s="410"/>
      <c r="M39" s="340"/>
      <c r="N39" s="340"/>
      <c r="O39" s="340"/>
      <c r="P39" s="3865" t="str">
        <f>A39</f>
        <v>估价对象XX用房的比较价格（楼面单价，元/平方米）</v>
      </c>
      <c r="Q39" s="3866"/>
      <c r="R39" s="3942">
        <f>IF(F1="售价",ROUND(IF(D38="简单平均",AVERAGE(R38:W38),R38*F38+T38*H38+V38*J38),0),ROUND(IF(D38="简单平均",AVERAGE(R38:V38),R38*F38+T38*H38+V38*J38),1))</f>
        <v>5362</v>
      </c>
      <c r="S39" s="3942"/>
      <c r="T39" s="3942"/>
      <c r="U39" s="3942"/>
      <c r="V39" s="3942"/>
      <c r="W39" s="394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0.31025486654625722</v>
      </c>
      <c r="H42" s="334" t="str">
        <f>IF(OR(G42&gt;=0.3,G42&lt;=-0.3),"超过30%","")</f>
        <v>超过30%</v>
      </c>
      <c r="I42" s="333">
        <f>IF(I37&lt;I38,I38/I37-1,I37/I38-1)</f>
        <v>0.34842553191489367</v>
      </c>
      <c r="J42" s="334" t="str">
        <f>IF(OR(I42&gt;=0.3,I42&lt;=-0.3),"超过30%","")</f>
        <v>超过30%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4.9367850692354054E-2</v>
      </c>
      <c r="F43" s="334" t="str">
        <f>IF(OR(E43&gt;=0.2,E43&lt;=-0.2),"超过20%","")</f>
        <v/>
      </c>
      <c r="G43" s="333">
        <f>IF(G38&lt;I38,I38/G38-1,G38/I38-1)</f>
        <v>0.17900862933975525</v>
      </c>
      <c r="H43" s="334" t="str">
        <f>IF(OR(G43&gt;=0.2,G43&lt;=-0.2),"超过20%","")</f>
        <v/>
      </c>
      <c r="I43" s="333">
        <f>IF(I38&lt;E38,E38/I38-1,I38/E38-1)</f>
        <v>0.12354178619238865</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80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8" t="s">
        <v>2462</v>
      </c>
      <c r="D1" s="3969"/>
      <c r="E1" s="3969"/>
      <c r="F1" s="3969"/>
      <c r="G1" s="3969"/>
      <c r="H1" s="3969"/>
      <c r="I1" s="3969"/>
      <c r="J1" s="3969"/>
      <c r="K1" s="3969"/>
      <c r="L1" s="3969"/>
      <c r="M1" s="3969"/>
      <c r="N1" s="3969"/>
      <c r="O1" s="3969"/>
      <c r="P1" s="3969"/>
      <c r="Q1" s="3969"/>
      <c r="R1" s="3969"/>
      <c r="S1" s="3970"/>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1" t="s">
        <v>138</v>
      </c>
      <c r="D22" s="3972"/>
      <c r="E22" s="3972"/>
      <c r="F22" s="3972"/>
      <c r="G22" s="3972"/>
      <c r="H22" s="3972"/>
      <c r="I22" s="3972"/>
      <c r="J22" s="3972"/>
      <c r="K22" s="3972"/>
      <c r="L22" s="3972"/>
      <c r="M22" s="3972"/>
      <c r="N22" s="3972"/>
      <c r="O22" s="3972"/>
      <c r="P22" s="3972"/>
      <c r="Q22" s="3973"/>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2.5</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zoomScale="90" zoomScaleNormal="90" workbookViewId="0">
      <selection activeCell="AG88" sqref="AG88"/>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4" t="s">
        <v>98</v>
      </c>
      <c r="B1" s="3654"/>
      <c r="C1" s="3654"/>
      <c r="D1" s="3654"/>
      <c r="E1" s="3654"/>
      <c r="F1" s="3654"/>
      <c r="G1" s="3654"/>
      <c r="H1" s="3654"/>
      <c r="I1" s="3654"/>
      <c r="J1" s="3654"/>
      <c r="K1" s="3654"/>
      <c r="L1" s="3654"/>
      <c r="M1" s="3654"/>
      <c r="N1" s="3654"/>
      <c r="O1" s="3654"/>
      <c r="P1" s="3654"/>
      <c r="Q1" s="3654"/>
      <c r="R1" s="3654"/>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60" t="s">
        <v>100</v>
      </c>
      <c r="B3" s="3660" t="s">
        <v>101</v>
      </c>
      <c r="C3" s="3659" t="s">
        <v>102</v>
      </c>
      <c r="D3" s="3660" t="s">
        <v>103</v>
      </c>
      <c r="E3" s="3655" t="s">
        <v>104</v>
      </c>
      <c r="F3" s="3655"/>
      <c r="G3" s="3655"/>
      <c r="H3" s="3655" t="s">
        <v>105</v>
      </c>
      <c r="I3" s="3655"/>
      <c r="J3" s="3655"/>
      <c r="K3" s="3659" t="s">
        <v>106</v>
      </c>
      <c r="L3" s="3659" t="s">
        <v>107</v>
      </c>
      <c r="M3" s="3660" t="s">
        <v>108</v>
      </c>
      <c r="N3" s="3661" t="str">
        <f>"（分摊）"&amp;项目基本情况!A17&amp;"国有建设用地使用权面积/㎡"</f>
        <v>（分摊）出让国有建设用地使用权面积/㎡</v>
      </c>
      <c r="O3" s="3660" t="s">
        <v>109</v>
      </c>
      <c r="P3" s="3659" t="s">
        <v>110</v>
      </c>
      <c r="Q3" s="3659" t="s">
        <v>111</v>
      </c>
      <c r="R3" s="3659" t="s">
        <v>112</v>
      </c>
    </row>
    <row r="4" spans="1:18" ht="36.75" customHeight="1">
      <c r="A4" s="3660"/>
      <c r="B4" s="3660"/>
      <c r="C4" s="3659"/>
      <c r="D4" s="3660"/>
      <c r="E4" s="3561" t="s">
        <v>113</v>
      </c>
      <c r="F4" s="3561" t="s">
        <v>114</v>
      </c>
      <c r="G4" s="3561" t="s">
        <v>115</v>
      </c>
      <c r="H4" s="3561" t="s">
        <v>116</v>
      </c>
      <c r="I4" s="3561" t="s">
        <v>117</v>
      </c>
      <c r="J4" s="3561" t="s">
        <v>115</v>
      </c>
      <c r="K4" s="3659"/>
      <c r="L4" s="3659"/>
      <c r="M4" s="3660"/>
      <c r="N4" s="3661"/>
      <c r="O4" s="3660"/>
      <c r="P4" s="3659"/>
      <c r="Q4" s="3659"/>
      <c r="R4" s="3659"/>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34167</v>
      </c>
      <c r="Q5" s="3565">
        <f ca="1">结果表!D42</f>
        <v>9935</v>
      </c>
      <c r="R5" s="3574">
        <f ca="1">结果表!C42</f>
        <v>188725</v>
      </c>
    </row>
    <row r="6" spans="1:18">
      <c r="A6" s="3656" t="str">
        <f>IF(项目基本情况!B9="市场价格","——","抵押价格")</f>
        <v>抵押价格</v>
      </c>
      <c r="B6" s="3657"/>
      <c r="C6" s="3657"/>
      <c r="D6" s="3657"/>
      <c r="E6" s="3657"/>
      <c r="F6" s="3657"/>
      <c r="G6" s="3657"/>
      <c r="H6" s="3657"/>
      <c r="I6" s="3657"/>
      <c r="J6" s="3657"/>
      <c r="K6" s="3657"/>
      <c r="L6" s="3657"/>
      <c r="M6" s="3657"/>
      <c r="N6" s="3657"/>
      <c r="O6" s="3657"/>
      <c r="P6" s="3657"/>
      <c r="Q6" s="3658"/>
      <c r="R6" s="3575">
        <f ca="1">结果表!O39</f>
        <v>188725</v>
      </c>
    </row>
    <row r="7" spans="1:18">
      <c r="A7" s="3656" t="str">
        <f>IF(项目基本情况!B9="市场价格","——",IF(项目基本情况!E8="已注销及未注销","抵押担保权已注销时的抵押价格","——"))</f>
        <v>——</v>
      </c>
      <c r="B7" s="3657"/>
      <c r="C7" s="3657"/>
      <c r="D7" s="3657"/>
      <c r="E7" s="3657"/>
      <c r="F7" s="3657"/>
      <c r="G7" s="3657"/>
      <c r="H7" s="3657"/>
      <c r="I7" s="3657"/>
      <c r="J7" s="3657"/>
      <c r="K7" s="3657"/>
      <c r="L7" s="3657"/>
      <c r="M7" s="3657"/>
      <c r="N7" s="3657"/>
      <c r="O7" s="3657"/>
      <c r="P7" s="3657"/>
      <c r="Q7" s="3658"/>
      <c r="R7" s="3575" t="str">
        <f>结果表!O40</f>
        <v>——</v>
      </c>
    </row>
    <row r="8" spans="1:18">
      <c r="A8" s="3656" t="str">
        <f>IF(项目基本情况!B9="市场价格","——",项目基本情况!E9)</f>
        <v>抵押净值</v>
      </c>
      <c r="B8" s="3657"/>
      <c r="C8" s="3657"/>
      <c r="D8" s="3657"/>
      <c r="E8" s="3657"/>
      <c r="F8" s="3657"/>
      <c r="G8" s="3657"/>
      <c r="H8" s="3657"/>
      <c r="I8" s="3657"/>
      <c r="J8" s="3657"/>
      <c r="K8" s="3657"/>
      <c r="L8" s="3657"/>
      <c r="M8" s="3657"/>
      <c r="N8" s="3657"/>
      <c r="O8" s="3657"/>
      <c r="P8" s="3657"/>
      <c r="Q8" s="3658"/>
      <c r="R8" s="3575">
        <f ca="1">结果表!O41</f>
        <v>178745</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62" t="s">
        <v>122</v>
      </c>
      <c r="B1" s="3662"/>
      <c r="C1" s="3662"/>
      <c r="D1" s="3662"/>
    </row>
    <row r="2" spans="1:4" ht="47.25" customHeight="1">
      <c r="A2" s="3663" t="str">
        <f>"1.权利限制："&amp;项目基本情况!L24&amp;"未设定租赁等其他他项权利。"</f>
        <v>1.权利限制：根据估价对象《不动产权证书》原件、《国有土地使用权》复印件，截至估价期日，估价对象抵押权未见登记。未设定租赁等其他他项权利。</v>
      </c>
      <c r="B2" s="3663"/>
      <c r="C2" s="3663"/>
      <c r="D2" s="3663"/>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5"/>
      <c r="C11" s="3665"/>
      <c r="D11" s="3665"/>
    </row>
    <row r="12" spans="1:4" ht="168" customHeight="1">
      <c r="A12" s="3664" t="s">
        <v>126</v>
      </c>
      <c r="B12" s="3664"/>
      <c r="C12" s="3664"/>
      <c r="D12" s="3664"/>
    </row>
    <row r="13" spans="1:4">
      <c r="A13" s="3666" t="s">
        <v>127</v>
      </c>
      <c r="B13" s="3666"/>
      <c r="C13" s="3666"/>
      <c r="D13" s="3666"/>
    </row>
    <row r="14" spans="1:4">
      <c r="A14" s="3665" t="str">
        <f>IF(项目基本情况!B8="抵押","综上，"&amp;结果表!K47,"——")</f>
        <v>综上，本次评估不存在估价师知悉的法定优先受偿款</v>
      </c>
      <c r="B14" s="3665"/>
      <c r="C14" s="3665"/>
      <c r="D14" s="3665"/>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2" t="s">
        <v>135</v>
      </c>
      <c r="B23" s="3662"/>
      <c r="C23" s="3662"/>
      <c r="D23" s="3662"/>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7" t="s">
        <v>151</v>
      </c>
      <c r="B15" s="3675" t="s">
        <v>152</v>
      </c>
      <c r="C15" s="3676"/>
    </row>
    <row r="16" spans="1:7" ht="14.25">
      <c r="A16" s="3667"/>
      <c r="B16" s="3669" t="s">
        <v>153</v>
      </c>
      <c r="C16" s="3541" t="s">
        <v>151</v>
      </c>
    </row>
    <row r="17" spans="1:3" ht="14.25">
      <c r="A17" s="3667"/>
      <c r="B17" s="3669"/>
      <c r="C17" s="3541" t="s">
        <v>154</v>
      </c>
    </row>
    <row r="18" spans="1:3" ht="14.25">
      <c r="A18" s="3667"/>
      <c r="B18" s="3669"/>
      <c r="C18" s="3541" t="s">
        <v>155</v>
      </c>
    </row>
    <row r="19" spans="1:3" ht="14.25">
      <c r="A19" s="3667"/>
      <c r="B19" s="3677" t="s">
        <v>156</v>
      </c>
      <c r="C19" s="3676"/>
    </row>
    <row r="20" spans="1:3" ht="14.25">
      <c r="A20" s="3542" t="s">
        <v>157</v>
      </c>
      <c r="B20" s="3543"/>
      <c r="C20" s="3544"/>
    </row>
    <row r="21" spans="1:3" ht="14.25">
      <c r="A21" s="3668" t="s">
        <v>158</v>
      </c>
      <c r="B21" s="3677" t="s">
        <v>159</v>
      </c>
      <c r="C21" s="3676"/>
    </row>
    <row r="22" spans="1:3" ht="14.25">
      <c r="A22" s="3668"/>
      <c r="B22" s="3677" t="s">
        <v>160</v>
      </c>
      <c r="C22" s="3676"/>
    </row>
    <row r="23" spans="1:3" ht="14.25">
      <c r="A23" s="3668"/>
      <c r="B23" s="3677" t="s">
        <v>161</v>
      </c>
      <c r="C23" s="3676"/>
    </row>
    <row r="24" spans="1:3" ht="14.25">
      <c r="A24" s="3668"/>
      <c r="B24" s="3670" t="s">
        <v>162</v>
      </c>
      <c r="C24" s="3545" t="s">
        <v>163</v>
      </c>
    </row>
    <row r="25" spans="1:3" ht="14.25">
      <c r="A25" s="3668"/>
      <c r="B25" s="3671"/>
      <c r="C25" s="3545" t="s">
        <v>164</v>
      </c>
    </row>
    <row r="26" spans="1:3" ht="14.25">
      <c r="A26" s="3668"/>
      <c r="B26" s="3671"/>
      <c r="C26" s="3545" t="s">
        <v>165</v>
      </c>
    </row>
    <row r="27" spans="1:3" ht="14.25">
      <c r="A27" s="3668"/>
      <c r="B27" s="3671"/>
      <c r="C27" s="3545" t="s">
        <v>166</v>
      </c>
    </row>
    <row r="28" spans="1:3" ht="14.25">
      <c r="A28" s="3668"/>
      <c r="B28" s="3671"/>
      <c r="C28" s="3545" t="s">
        <v>167</v>
      </c>
    </row>
    <row r="29" spans="1:3" ht="14.25">
      <c r="A29" s="3668"/>
      <c r="B29" s="3671"/>
      <c r="C29" s="3545" t="s">
        <v>168</v>
      </c>
    </row>
    <row r="30" spans="1:3" ht="14.25">
      <c r="A30" s="3668"/>
      <c r="B30" s="3671"/>
      <c r="C30" s="3545" t="s">
        <v>169</v>
      </c>
    </row>
    <row r="31" spans="1:3" ht="14.25">
      <c r="A31" s="3668"/>
      <c r="B31" s="3671"/>
      <c r="C31" s="3545" t="s">
        <v>170</v>
      </c>
    </row>
    <row r="32" spans="1:3" ht="14.25">
      <c r="A32" s="3668"/>
      <c r="B32" s="3671"/>
      <c r="C32" s="3545" t="s">
        <v>171</v>
      </c>
    </row>
    <row r="33" spans="1:3" ht="14.25">
      <c r="A33" s="3668"/>
      <c r="B33" s="3672" t="s">
        <v>172</v>
      </c>
      <c r="C33" s="3545" t="s">
        <v>173</v>
      </c>
    </row>
    <row r="34" spans="1:3" ht="14.25">
      <c r="A34" s="3668"/>
      <c r="B34" s="3673"/>
      <c r="C34" s="3546" t="s">
        <v>174</v>
      </c>
    </row>
    <row r="35" spans="1:3" ht="14.25">
      <c r="A35" s="3668"/>
      <c r="B35" s="3673"/>
      <c r="C35" s="3547" t="s">
        <v>175</v>
      </c>
    </row>
    <row r="36" spans="1:3" ht="14.25">
      <c r="A36" s="3668"/>
      <c r="B36" s="3673"/>
      <c r="C36" s="3547" t="s">
        <v>176</v>
      </c>
    </row>
    <row r="37" spans="1:3" ht="14.25">
      <c r="A37" s="3668"/>
      <c r="B37" s="3674"/>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8" t="s">
        <v>204</v>
      </c>
      <c r="B18" s="3679"/>
      <c r="C18" s="3679"/>
      <c r="D18" s="3679"/>
      <c r="E18" s="3679"/>
      <c r="F18" s="3679"/>
      <c r="G18" s="3517"/>
    </row>
    <row r="19" spans="1:7" ht="20.25" customHeight="1">
      <c r="A19" s="3680" t="s">
        <v>205</v>
      </c>
      <c r="B19" s="3680"/>
      <c r="C19" s="3681"/>
      <c r="D19" s="3682" t="s">
        <v>206</v>
      </c>
      <c r="E19" s="3680"/>
      <c r="F19" s="3680"/>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3"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3"/>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3"/>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3"/>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3"/>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2017-03-09T08:11:00Z</cp:lastPrinted>
  <dcterms:created xsi:type="dcterms:W3CDTF">2015-07-13T07:17:00Z</dcterms:created>
  <dcterms:modified xsi:type="dcterms:W3CDTF">2023-06-02T03:13:04Z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