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L14" i="1" l="1"/>
  <c r="L8" i="1"/>
  <c r="AA25" i="73"/>
  <c r="G17" i="4"/>
  <c r="C28" i="9" l="1"/>
  <c r="C38" i="9" s="1"/>
  <c r="E38" i="9" s="1"/>
  <c r="D28" i="9" s="1"/>
  <c r="C27" i="9"/>
  <c r="C37" i="9" s="1"/>
  <c r="E37" i="9" s="1"/>
  <c r="I46" i="73"/>
  <c r="K46" i="73" s="1"/>
  <c r="I45" i="73"/>
  <c r="I47" i="73" s="1"/>
  <c r="B28" i="9"/>
  <c r="B27" i="9"/>
  <c r="AL9" i="73"/>
  <c r="C106" i="9" s="1"/>
  <c r="I27" i="36"/>
  <c r="G27" i="36"/>
  <c r="I8" i="1"/>
  <c r="I7" i="1"/>
  <c r="H7" i="1"/>
  <c r="H8" i="1" s="1"/>
  <c r="AA28" i="73"/>
  <c r="AT13" i="3" s="1"/>
  <c r="AJ13" i="3"/>
  <c r="AL13" i="3"/>
  <c r="AH13" i="3"/>
  <c r="M13" i="3"/>
  <c r="G21" i="6" s="1"/>
  <c r="K13" i="3"/>
  <c r="G20" i="6" s="1"/>
  <c r="I13" i="3"/>
  <c r="AN13" i="3"/>
  <c r="J47" i="73" l="1"/>
  <c r="K45" i="73"/>
  <c r="K47" i="73" s="1"/>
  <c r="B30" i="9"/>
  <c r="D27" i="9"/>
  <c r="D30" i="9" s="1"/>
  <c r="E39" i="9"/>
  <c r="AA27" i="73"/>
  <c r="AA29" i="73" s="1"/>
  <c r="AF13" i="3"/>
  <c r="G40" i="39" l="1"/>
  <c r="G9" i="39"/>
  <c r="I48" i="39"/>
  <c r="I40" i="39"/>
  <c r="I9" i="39"/>
  <c r="E40" i="39"/>
  <c r="C40" i="39"/>
  <c r="D72" i="39"/>
  <c r="E72" i="39" s="1"/>
  <c r="F72" i="39" s="1"/>
  <c r="G72" i="39" s="1"/>
  <c r="H72" i="39" s="1"/>
  <c r="I72" i="39" s="1"/>
  <c r="J72" i="39" s="1"/>
  <c r="K72" i="39" s="1"/>
  <c r="L72" i="39" s="1"/>
  <c r="M72" i="39" s="1"/>
  <c r="N72" i="39" s="1"/>
  <c r="E9" i="39"/>
  <c r="D12" i="69"/>
  <c r="D11" i="69"/>
  <c r="G16" i="65"/>
  <c r="F16" i="65"/>
  <c r="E16" i="65"/>
  <c r="G15" i="65"/>
  <c r="F15" i="65"/>
  <c r="E15" i="65"/>
  <c r="G14" i="65"/>
  <c r="F14" i="65"/>
  <c r="E14" i="65"/>
  <c r="G13" i="65"/>
  <c r="F13" i="65"/>
  <c r="E13"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F24" i="36" s="1"/>
  <c r="AA24" i="36" s="1"/>
  <c r="B71" i="36"/>
  <c r="D70" i="36"/>
  <c r="D68" i="36"/>
  <c r="E68" i="36" s="1"/>
  <c r="F68" i="36" s="1"/>
  <c r="G68" i="36" s="1"/>
  <c r="D66" i="36"/>
  <c r="E66" i="36" s="1"/>
  <c r="F66" i="36" s="1"/>
  <c r="G66" i="36" s="1"/>
  <c r="D64" i="36"/>
  <c r="E64" i="36" s="1"/>
  <c r="F64" i="36" s="1"/>
  <c r="D62" i="36"/>
  <c r="E62" i="36" s="1"/>
  <c r="F62" i="36" s="1"/>
  <c r="J14" i="36" s="1"/>
  <c r="AC14" i="36" s="1"/>
  <c r="B59" i="36"/>
  <c r="B57" i="36"/>
  <c r="F12" i="36" s="1"/>
  <c r="AA12" i="36" s="1"/>
  <c r="B55" i="36"/>
  <c r="C51" i="36"/>
  <c r="I42" i="36"/>
  <c r="J42" i="36" s="1"/>
  <c r="G42" i="36"/>
  <c r="H42" i="36" s="1"/>
  <c r="E42" i="36"/>
  <c r="F42" i="36" s="1"/>
  <c r="P37" i="36"/>
  <c r="P36" i="36"/>
  <c r="K36" i="36"/>
  <c r="V35" i="36"/>
  <c r="T35" i="36"/>
  <c r="R35" i="36"/>
  <c r="P35" i="36"/>
  <c r="Q34" i="36"/>
  <c r="Z34" i="36" s="1"/>
  <c r="J34" i="36"/>
  <c r="H34" i="36"/>
  <c r="AB34" i="36" s="1"/>
  <c r="F34" i="36"/>
  <c r="S34" i="36" s="1"/>
  <c r="Q33" i="36"/>
  <c r="Z33" i="36" s="1"/>
  <c r="H33" i="36"/>
  <c r="Q32" i="36"/>
  <c r="Z32" i="36" s="1"/>
  <c r="J32" i="36"/>
  <c r="W32" i="36" s="1"/>
  <c r="H32" i="36"/>
  <c r="AB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H27" i="36"/>
  <c r="F27" i="36"/>
  <c r="AA27" i="36" s="1"/>
  <c r="Q26" i="36"/>
  <c r="Z26" i="36" s="1"/>
  <c r="J26" i="36"/>
  <c r="H26" i="36"/>
  <c r="AB26" i="36" s="1"/>
  <c r="F26" i="36"/>
  <c r="S26" i="36" s="1"/>
  <c r="Q25" i="36"/>
  <c r="Z25" i="36" s="1"/>
  <c r="Q24" i="36"/>
  <c r="Z24" i="36" s="1"/>
  <c r="Q23" i="36"/>
  <c r="Z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H16" i="36"/>
  <c r="C16" i="36"/>
  <c r="Q14" i="36"/>
  <c r="Z14" i="36" s="1"/>
  <c r="C14" i="36"/>
  <c r="Q13" i="36"/>
  <c r="Z13" i="36" s="1"/>
  <c r="Q12" i="36"/>
  <c r="Z12" i="36" s="1"/>
  <c r="Q11" i="36"/>
  <c r="Z11" i="36" s="1"/>
  <c r="Q10" i="36"/>
  <c r="Z10" i="36" s="1"/>
  <c r="J10" i="36"/>
  <c r="H10" i="36"/>
  <c r="AB10" i="36" s="1"/>
  <c r="F10" i="36"/>
  <c r="S10" i="36" s="1"/>
  <c r="Q9" i="36"/>
  <c r="Z9" i="36" s="1"/>
  <c r="J8" i="36"/>
  <c r="H8" i="36"/>
  <c r="AB8" i="36" s="1"/>
  <c r="F8" i="36"/>
  <c r="S8" i="36" s="1"/>
  <c r="B101" i="35"/>
  <c r="B99" i="35"/>
  <c r="F35" i="35" s="1"/>
  <c r="AA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B61" i="35"/>
  <c r="B59" i="35"/>
  <c r="B57" i="35"/>
  <c r="C53" i="35"/>
  <c r="I44" i="35"/>
  <c r="J44" i="35" s="1"/>
  <c r="G44" i="35"/>
  <c r="H44" i="35" s="1"/>
  <c r="E44" i="35"/>
  <c r="F44" i="35" s="1"/>
  <c r="P39" i="35"/>
  <c r="P38" i="35"/>
  <c r="K38" i="35"/>
  <c r="V37" i="35"/>
  <c r="T37" i="35"/>
  <c r="R37" i="35"/>
  <c r="P37" i="35"/>
  <c r="Q36" i="35"/>
  <c r="Z36" i="35" s="1"/>
  <c r="J36" i="35"/>
  <c r="AC36" i="35" s="1"/>
  <c r="Q35" i="35"/>
  <c r="Z35" i="35" s="1"/>
  <c r="Q34" i="35"/>
  <c r="Z34" i="35" s="1"/>
  <c r="F34" i="35"/>
  <c r="AA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J24" i="35"/>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J14" i="35"/>
  <c r="AC14" i="35" s="1"/>
  <c r="F14" i="35"/>
  <c r="AA14" i="35" s="1"/>
  <c r="C14" i="35"/>
  <c r="U13" i="35"/>
  <c r="Q13" i="35"/>
  <c r="Z13" i="35" s="1"/>
  <c r="J13" i="35"/>
  <c r="AC13" i="35" s="1"/>
  <c r="H13" i="35"/>
  <c r="AB13" i="35" s="1"/>
  <c r="F13" i="35"/>
  <c r="AA13" i="35" s="1"/>
  <c r="Q12" i="35"/>
  <c r="Z12" i="35" s="1"/>
  <c r="Z11" i="35"/>
  <c r="Q11" i="35"/>
  <c r="J11" i="35"/>
  <c r="AC11" i="35" s="1"/>
  <c r="H11" i="35"/>
  <c r="F11" i="35"/>
  <c r="AA11" i="35" s="1"/>
  <c r="Q10" i="35"/>
  <c r="Z10" i="35" s="1"/>
  <c r="J10" i="35"/>
  <c r="AC10" i="35" s="1"/>
  <c r="H10" i="35"/>
  <c r="AB10" i="35" s="1"/>
  <c r="F10" i="35"/>
  <c r="AA10" i="35" s="1"/>
  <c r="Q9" i="35"/>
  <c r="Z9" i="35" s="1"/>
  <c r="J9" i="35"/>
  <c r="AC9" i="35" s="1"/>
  <c r="J8" i="35"/>
  <c r="H8" i="35"/>
  <c r="AB8" i="35" s="1"/>
  <c r="F8" i="35"/>
  <c r="S8"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D79" i="37"/>
  <c r="E79" i="37" s="1"/>
  <c r="F79" i="37" s="1"/>
  <c r="G79" i="37" s="1"/>
  <c r="D77" i="37"/>
  <c r="E77" i="37" s="1"/>
  <c r="F77" i="37" s="1"/>
  <c r="G77" i="37" s="1"/>
  <c r="E75" i="37"/>
  <c r="F75" i="37" s="1"/>
  <c r="G75" i="37" s="1"/>
  <c r="D75" i="37"/>
  <c r="E73" i="37"/>
  <c r="F73" i="37" s="1"/>
  <c r="G73" i="37" s="1"/>
  <c r="D73" i="37"/>
  <c r="D71" i="37"/>
  <c r="E71" i="37" s="1"/>
  <c r="F71" i="37" s="1"/>
  <c r="G71" i="37" s="1"/>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F40" i="37"/>
  <c r="Q39" i="37"/>
  <c r="Z39" i="37" s="1"/>
  <c r="H39" i="37"/>
  <c r="AB39" i="37" s="1"/>
  <c r="Q38" i="37"/>
  <c r="Z38" i="37" s="1"/>
  <c r="AB37" i="37"/>
  <c r="Q37" i="37"/>
  <c r="Z37" i="37" s="1"/>
  <c r="J37" i="37"/>
  <c r="AC37" i="37" s="1"/>
  <c r="H37" i="37"/>
  <c r="U37" i="37" s="1"/>
  <c r="F37" i="37"/>
  <c r="AA37" i="37" s="1"/>
  <c r="Q36" i="37"/>
  <c r="Z36" i="37" s="1"/>
  <c r="J36" i="37"/>
  <c r="H36" i="37"/>
  <c r="AB36" i="37" s="1"/>
  <c r="F36" i="37"/>
  <c r="AA36" i="37" s="1"/>
  <c r="Q35" i="37"/>
  <c r="Z35" i="37" s="1"/>
  <c r="J35" i="37"/>
  <c r="AC35" i="37" s="1"/>
  <c r="H35" i="37"/>
  <c r="F35" i="37"/>
  <c r="AA35" i="37" s="1"/>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Q29" i="37"/>
  <c r="Z29" i="37" s="1"/>
  <c r="J29" i="37"/>
  <c r="AC29" i="37" s="1"/>
  <c r="H29" i="37"/>
  <c r="F29" i="37"/>
  <c r="AA29" i="37" s="1"/>
  <c r="Q28" i="37"/>
  <c r="Z28" i="37" s="1"/>
  <c r="Q27" i="37"/>
  <c r="Z27" i="37" s="1"/>
  <c r="H27" i="37"/>
  <c r="Q26" i="37"/>
  <c r="Z26" i="37" s="1"/>
  <c r="Q25" i="37"/>
  <c r="Z25" i="37" s="1"/>
  <c r="H25" i="37"/>
  <c r="Q23" i="37"/>
  <c r="Z23" i="37" s="1"/>
  <c r="J23" i="37"/>
  <c r="H23" i="37"/>
  <c r="AB23" i="37" s="1"/>
  <c r="F23" i="37"/>
  <c r="AA23" i="37" s="1"/>
  <c r="C23" i="37"/>
  <c r="Q21" i="37"/>
  <c r="Z21" i="37" s="1"/>
  <c r="J21" i="37"/>
  <c r="W21" i="37" s="1"/>
  <c r="H21" i="37"/>
  <c r="AB21" i="37" s="1"/>
  <c r="F21" i="37"/>
  <c r="AA21" i="37" s="1"/>
  <c r="C21" i="37"/>
  <c r="Q19" i="37"/>
  <c r="Z19" i="37" s="1"/>
  <c r="J19" i="37"/>
  <c r="H19" i="37"/>
  <c r="AB19" i="37" s="1"/>
  <c r="F19" i="37"/>
  <c r="AA19" i="37" s="1"/>
  <c r="C19" i="37"/>
  <c r="Q17" i="37"/>
  <c r="Z17" i="37" s="1"/>
  <c r="J17" i="37"/>
  <c r="W17" i="37" s="1"/>
  <c r="H17" i="37"/>
  <c r="AB17" i="37" s="1"/>
  <c r="F17" i="37"/>
  <c r="AA17" i="37" s="1"/>
  <c r="C17" i="37"/>
  <c r="Q15" i="37"/>
  <c r="Z15" i="37" s="1"/>
  <c r="J15" i="37"/>
  <c r="H15" i="37"/>
  <c r="AB15" i="37" s="1"/>
  <c r="F15" i="37"/>
  <c r="AA15" i="37" s="1"/>
  <c r="C15" i="37"/>
  <c r="Q14" i="37"/>
  <c r="Z14" i="37" s="1"/>
  <c r="J14" i="37"/>
  <c r="W14" i="37" s="1"/>
  <c r="F14" i="37"/>
  <c r="Q13" i="37"/>
  <c r="Z13" i="37" s="1"/>
  <c r="J13" i="37"/>
  <c r="AC13" i="37" s="1"/>
  <c r="Q12" i="37"/>
  <c r="Z12" i="37" s="1"/>
  <c r="J12" i="37"/>
  <c r="AC12" i="37" s="1"/>
  <c r="F12" i="37"/>
  <c r="Q11" i="37"/>
  <c r="Z11" i="37" s="1"/>
  <c r="J11" i="37"/>
  <c r="AC11" i="37" s="1"/>
  <c r="H11" i="37"/>
  <c r="F11" i="37"/>
  <c r="AA11" i="37" s="1"/>
  <c r="Q10" i="37"/>
  <c r="Z10" i="37" s="1"/>
  <c r="J10" i="37"/>
  <c r="W10" i="37" s="1"/>
  <c r="H10" i="37"/>
  <c r="AB10" i="37" s="1"/>
  <c r="F10" i="37"/>
  <c r="AA10" i="37" s="1"/>
  <c r="Q9" i="37"/>
  <c r="Z9" i="37" s="1"/>
  <c r="J8" i="37"/>
  <c r="H8" i="37"/>
  <c r="AB8" i="37" s="1"/>
  <c r="F8" i="37"/>
  <c r="S8" i="37" s="1"/>
  <c r="D3" i="37"/>
  <c r="B131" i="34"/>
  <c r="B129" i="34"/>
  <c r="B127" i="34"/>
  <c r="D126" i="34"/>
  <c r="E126" i="34" s="1"/>
  <c r="F126" i="34" s="1"/>
  <c r="G126" i="34" s="1"/>
  <c r="J124" i="34"/>
  <c r="K124" i="34" s="1"/>
  <c r="L124" i="34" s="1"/>
  <c r="M124" i="34" s="1"/>
  <c r="D124" i="34"/>
  <c r="E124" i="34" s="1"/>
  <c r="F124" i="34" s="1"/>
  <c r="G124" i="34" s="1"/>
  <c r="H124" i="34" s="1"/>
  <c r="I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H46" i="34"/>
  <c r="AB46" i="34" s="1"/>
  <c r="F46" i="34"/>
  <c r="AA46" i="34" s="1"/>
  <c r="Q45" i="34"/>
  <c r="Z45" i="34" s="1"/>
  <c r="Q44" i="34"/>
  <c r="Z44" i="34" s="1"/>
  <c r="J44" i="34"/>
  <c r="H44" i="34"/>
  <c r="AB44" i="34" s="1"/>
  <c r="F44" i="34"/>
  <c r="S44" i="34" s="1"/>
  <c r="Q43" i="34"/>
  <c r="Z43" i="34" s="1"/>
  <c r="J43" i="34"/>
  <c r="AC43" i="34" s="1"/>
  <c r="H43" i="34"/>
  <c r="F43" i="34"/>
  <c r="AA43" i="34" s="1"/>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Q34" i="34"/>
  <c r="Z34" i="34" s="1"/>
  <c r="J34" i="34"/>
  <c r="W34" i="34" s="1"/>
  <c r="H34" i="34"/>
  <c r="AB34" i="34" s="1"/>
  <c r="F34" i="34"/>
  <c r="AA34" i="34" s="1"/>
  <c r="AB33" i="34"/>
  <c r="Q33" i="34"/>
  <c r="Z33" i="34" s="1"/>
  <c r="J33" i="34"/>
  <c r="AC33" i="34" s="1"/>
  <c r="H33" i="34"/>
  <c r="U33" i="34" s="1"/>
  <c r="F33" i="34"/>
  <c r="AA33" i="34" s="1"/>
  <c r="Q32" i="34"/>
  <c r="Z32" i="34" s="1"/>
  <c r="H32" i="34"/>
  <c r="AB32" i="34" s="1"/>
  <c r="Q31" i="34"/>
  <c r="Z31" i="34" s="1"/>
  <c r="Q30" i="34"/>
  <c r="Z30" i="34" s="1"/>
  <c r="F30" i="34"/>
  <c r="AA30" i="34" s="1"/>
  <c r="Q29" i="34"/>
  <c r="Z29" i="34" s="1"/>
  <c r="H29" i="34"/>
  <c r="AB29" i="34" s="1"/>
  <c r="Q28" i="34"/>
  <c r="Z28" i="34" s="1"/>
  <c r="J28" i="34"/>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F14" i="34"/>
  <c r="AA14" i="34" s="1"/>
  <c r="Q13" i="34"/>
  <c r="Z13" i="34" s="1"/>
  <c r="Q12" i="34"/>
  <c r="Z12" i="34" s="1"/>
  <c r="J12" i="34"/>
  <c r="AC12" i="34" s="1"/>
  <c r="Q11" i="34"/>
  <c r="Z11" i="34" s="1"/>
  <c r="J11" i="34"/>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Q40" i="33"/>
  <c r="Z40" i="33" s="1"/>
  <c r="J40" i="33"/>
  <c r="W40" i="33" s="1"/>
  <c r="H40" i="33"/>
  <c r="AB40" i="33" s="1"/>
  <c r="F40" i="33"/>
  <c r="AA40" i="33" s="1"/>
  <c r="AB39" i="33"/>
  <c r="Q39" i="33"/>
  <c r="Z39" i="33" s="1"/>
  <c r="J39" i="33"/>
  <c r="AC39" i="33" s="1"/>
  <c r="H39" i="33"/>
  <c r="U39" i="33" s="1"/>
  <c r="F39" i="33"/>
  <c r="AA39" i="33" s="1"/>
  <c r="Q38" i="33"/>
  <c r="Z38" i="33" s="1"/>
  <c r="J38" i="33"/>
  <c r="H38" i="33"/>
  <c r="AB38" i="33" s="1"/>
  <c r="F38" i="33"/>
  <c r="S38" i="33" s="1"/>
  <c r="Q37" i="33"/>
  <c r="Z37" i="33" s="1"/>
  <c r="J37" i="33"/>
  <c r="AC37" i="33" s="1"/>
  <c r="H37" i="33"/>
  <c r="F37" i="33"/>
  <c r="AA37" i="33" s="1"/>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Q32" i="33"/>
  <c r="Z32" i="33" s="1"/>
  <c r="J32" i="33"/>
  <c r="W32" i="33" s="1"/>
  <c r="H32" i="33"/>
  <c r="AB32" i="33" s="1"/>
  <c r="F32" i="33"/>
  <c r="AA32" i="33" s="1"/>
  <c r="Q31" i="33"/>
  <c r="Z31" i="33" s="1"/>
  <c r="H31" i="33"/>
  <c r="U31" i="33" s="1"/>
  <c r="Q30" i="33"/>
  <c r="Z30" i="33" s="1"/>
  <c r="H30" i="33"/>
  <c r="AB30" i="33" s="1"/>
  <c r="Q29" i="33"/>
  <c r="Z29" i="33" s="1"/>
  <c r="Q28" i="33"/>
  <c r="Z28" i="33" s="1"/>
  <c r="H28" i="33"/>
  <c r="AB28" i="33" s="1"/>
  <c r="Q27" i="33"/>
  <c r="Z27" i="33" s="1"/>
  <c r="H27" i="33"/>
  <c r="U27" i="33" s="1"/>
  <c r="Q26" i="33"/>
  <c r="Z26" i="33" s="1"/>
  <c r="J26" i="33"/>
  <c r="H26" i="33"/>
  <c r="AB26" i="33" s="1"/>
  <c r="F26" i="33"/>
  <c r="S26" i="33" s="1"/>
  <c r="Q25" i="33"/>
  <c r="Z25" i="33" s="1"/>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F14" i="33"/>
  <c r="S14" i="33" s="1"/>
  <c r="Q13" i="33"/>
  <c r="Z13" i="33" s="1"/>
  <c r="H13" i="33"/>
  <c r="Q12" i="33"/>
  <c r="Z12" i="33" s="1"/>
  <c r="J12" i="33"/>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K139" i="21" s="1"/>
  <c r="J142" i="21"/>
  <c r="J140" i="21"/>
  <c r="B130" i="21"/>
  <c r="B128" i="21"/>
  <c r="H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F81" i="21" s="1"/>
  <c r="D79" i="21"/>
  <c r="E79" i="21" s="1"/>
  <c r="F79" i="21" s="1"/>
  <c r="G79" i="21" s="1"/>
  <c r="D77" i="21"/>
  <c r="E77" i="21" s="1"/>
  <c r="B74" i="21"/>
  <c r="B72" i="21"/>
  <c r="H13" i="21" s="1"/>
  <c r="AB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Q45" i="21"/>
  <c r="Z45" i="21" s="1"/>
  <c r="F45" i="21"/>
  <c r="Q44" i="21"/>
  <c r="Z44" i="21" s="1"/>
  <c r="F44" i="21"/>
  <c r="AA44" i="21" s="1"/>
  <c r="Q43" i="21"/>
  <c r="Z43" i="21" s="1"/>
  <c r="J43" i="21"/>
  <c r="AC43" i="21" s="1"/>
  <c r="H43" i="21"/>
  <c r="F43" i="21"/>
  <c r="AA43" i="21" s="1"/>
  <c r="Q42" i="21"/>
  <c r="Z42" i="21" s="1"/>
  <c r="J42" i="21"/>
  <c r="AC42" i="21" s="1"/>
  <c r="H42" i="21"/>
  <c r="AB42" i="21" s="1"/>
  <c r="F42" i="21"/>
  <c r="Q41" i="21"/>
  <c r="Z41" i="21" s="1"/>
  <c r="J41" i="21"/>
  <c r="AC41" i="21" s="1"/>
  <c r="H41" i="21"/>
  <c r="F41" i="21"/>
  <c r="AA41" i="21" s="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W36" i="21" s="1"/>
  <c r="H36" i="21"/>
  <c r="AB36" i="21" s="1"/>
  <c r="F36" i="21"/>
  <c r="AA36" i="21" s="1"/>
  <c r="Q35" i="21"/>
  <c r="Z35" i="21" s="1"/>
  <c r="J35" i="21"/>
  <c r="AC35" i="21" s="1"/>
  <c r="H35" i="2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Q30" i="21"/>
  <c r="Z30" i="21" s="1"/>
  <c r="Q29" i="21"/>
  <c r="Z29" i="21" s="1"/>
  <c r="F29" i="21"/>
  <c r="AA29" i="21" s="1"/>
  <c r="Q28" i="21"/>
  <c r="Z28" i="21" s="1"/>
  <c r="Q27" i="21"/>
  <c r="Z27" i="21" s="1"/>
  <c r="Q26" i="21"/>
  <c r="Z26" i="21" s="1"/>
  <c r="J26" i="21"/>
  <c r="W26" i="21" s="1"/>
  <c r="H26" i="21"/>
  <c r="AB26" i="21" s="1"/>
  <c r="F26" i="21"/>
  <c r="AA26" i="21" s="1"/>
  <c r="Q25" i="21"/>
  <c r="Z25" i="21" s="1"/>
  <c r="J25" i="21"/>
  <c r="AC25" i="21" s="1"/>
  <c r="H25" i="21"/>
  <c r="U25" i="21" s="1"/>
  <c r="F25" i="21"/>
  <c r="AA25" i="21" s="1"/>
  <c r="Q23" i="21"/>
  <c r="Z23" i="21" s="1"/>
  <c r="J23" i="21"/>
  <c r="AC23" i="21" s="1"/>
  <c r="F23" i="21"/>
  <c r="AA23" i="21" s="1"/>
  <c r="C23" i="21"/>
  <c r="Q21" i="21"/>
  <c r="Z21" i="21" s="1"/>
  <c r="J21" i="21"/>
  <c r="AC21" i="21" s="1"/>
  <c r="H21" i="21"/>
  <c r="AB21" i="21" s="1"/>
  <c r="F21" i="21"/>
  <c r="AA21" i="21" s="1"/>
  <c r="C21" i="21"/>
  <c r="Q19" i="21"/>
  <c r="Z19" i="21" s="1"/>
  <c r="J19" i="21"/>
  <c r="AC19" i="21" s="1"/>
  <c r="F19" i="21"/>
  <c r="AA19" i="21" s="1"/>
  <c r="C19" i="21"/>
  <c r="Q17" i="21"/>
  <c r="Z17" i="21" s="1"/>
  <c r="J17" i="21"/>
  <c r="AC17" i="21" s="1"/>
  <c r="H17" i="21"/>
  <c r="AB17" i="21" s="1"/>
  <c r="F17" i="21"/>
  <c r="AA17" i="21" s="1"/>
  <c r="C17" i="21"/>
  <c r="Q15" i="21"/>
  <c r="Z15" i="21" s="1"/>
  <c r="J15" i="21"/>
  <c r="AC15" i="21" s="1"/>
  <c r="F15" i="21"/>
  <c r="AA15" i="21" s="1"/>
  <c r="C15" i="21"/>
  <c r="Q14" i="21"/>
  <c r="Z14" i="21" s="1"/>
  <c r="Q13" i="21"/>
  <c r="Z13" i="21" s="1"/>
  <c r="J13" i="21"/>
  <c r="AC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U9" i="21"/>
  <c r="Q9" i="21"/>
  <c r="Z9" i="21" s="1"/>
  <c r="J9" i="21"/>
  <c r="AC9" i="21" s="1"/>
  <c r="F9" i="21"/>
  <c r="AA9" i="21" s="1"/>
  <c r="J8" i="21"/>
  <c r="W8" i="21" s="1"/>
  <c r="H8" i="21"/>
  <c r="AB8" i="21" s="1"/>
  <c r="F8" i="21"/>
  <c r="S8" i="21" s="1"/>
  <c r="G17" i="11"/>
  <c r="C16" i="11"/>
  <c r="C15" i="11"/>
  <c r="C14" i="11"/>
  <c r="E13" i="11"/>
  <c r="E12" i="11"/>
  <c r="C11" i="11"/>
  <c r="C10" i="11" s="1"/>
  <c r="C9" i="11"/>
  <c r="C8" i="11"/>
  <c r="R43" i="68"/>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Q73" i="15"/>
  <c r="Q60" i="15"/>
  <c r="D60" i="15"/>
  <c r="Q59" i="15"/>
  <c r="K59" i="15"/>
  <c r="F58" i="15"/>
  <c r="Q52" i="15"/>
  <c r="J50" i="15"/>
  <c r="J51" i="15" s="1"/>
  <c r="M47" i="15"/>
  <c r="F33" i="15"/>
  <c r="F60" i="15" s="1"/>
  <c r="F31" i="15"/>
  <c r="F23" i="15"/>
  <c r="D24" i="15" s="1"/>
  <c r="F21" i="15"/>
  <c r="F20" i="15"/>
  <c r="M19" i="15"/>
  <c r="F18" i="15"/>
  <c r="M17" i="15"/>
  <c r="F17" i="15"/>
  <c r="F15" i="15"/>
  <c r="Q74" i="44"/>
  <c r="Q61" i="44"/>
  <c r="Q60" i="44"/>
  <c r="Q53"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M34" i="70"/>
  <c r="L34" i="70"/>
  <c r="I34" i="70"/>
  <c r="AB33" i="70"/>
  <c r="AA33" i="70"/>
  <c r="Z33" i="70"/>
  <c r="N33" i="70"/>
  <c r="M33" i="70"/>
  <c r="L33" i="70"/>
  <c r="I33" i="70"/>
  <c r="AD33" i="70" s="1"/>
  <c r="AB32" i="70"/>
  <c r="AA32" i="70"/>
  <c r="Z32" i="70"/>
  <c r="N32" i="70"/>
  <c r="M32" i="70"/>
  <c r="L32" i="70"/>
  <c r="I32" i="70"/>
  <c r="AB31" i="70"/>
  <c r="AA31" i="70"/>
  <c r="Z31" i="70"/>
  <c r="N31" i="70"/>
  <c r="M31" i="70"/>
  <c r="L31" i="70"/>
  <c r="I31" i="70"/>
  <c r="AD31" i="70" s="1"/>
  <c r="AB30" i="70"/>
  <c r="AA30" i="70"/>
  <c r="Z30" i="70"/>
  <c r="N30" i="70"/>
  <c r="M30" i="70"/>
  <c r="L30" i="70"/>
  <c r="I30" i="70"/>
  <c r="AB29" i="70"/>
  <c r="AA29" i="70"/>
  <c r="Z29" i="70"/>
  <c r="N29" i="70"/>
  <c r="M29" i="70"/>
  <c r="L29" i="70"/>
  <c r="I29" i="70"/>
  <c r="AD29" i="70" s="1"/>
  <c r="AB28" i="70"/>
  <c r="AA28" i="70"/>
  <c r="Z28" i="70"/>
  <c r="N28" i="70"/>
  <c r="M28" i="70"/>
  <c r="L28" i="70"/>
  <c r="I28" i="70"/>
  <c r="AB27" i="70"/>
  <c r="AA27" i="70"/>
  <c r="Z27" i="70"/>
  <c r="N27" i="70"/>
  <c r="M27" i="70"/>
  <c r="L27" i="70"/>
  <c r="I27" i="70"/>
  <c r="AD27" i="70" s="1"/>
  <c r="AB26" i="70"/>
  <c r="AA26" i="70"/>
  <c r="Z26" i="70"/>
  <c r="N26" i="70"/>
  <c r="M26" i="70"/>
  <c r="L26" i="70"/>
  <c r="I26" i="70"/>
  <c r="AD26" i="70" s="1"/>
  <c r="AB25" i="70"/>
  <c r="AB23" i="70" s="1"/>
  <c r="AA25" i="70"/>
  <c r="Z25" i="70"/>
  <c r="Z23" i="70" s="1"/>
  <c r="N25" i="70"/>
  <c r="M25" i="70"/>
  <c r="L25" i="70"/>
  <c r="I25" i="70"/>
  <c r="AD25" i="70" s="1"/>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N9" i="70"/>
  <c r="M9" i="70"/>
  <c r="P9" i="70" s="1"/>
  <c r="L9" i="70"/>
  <c r="K9" i="70"/>
  <c r="I9" i="70"/>
  <c r="AC8" i="70"/>
  <c r="AB8" i="70"/>
  <c r="AA8" i="70"/>
  <c r="AD8" i="70" s="1"/>
  <c r="Z8" i="70"/>
  <c r="Y8" i="70"/>
  <c r="O8" i="70"/>
  <c r="N8" i="70"/>
  <c r="M8" i="70"/>
  <c r="L8" i="70"/>
  <c r="K8" i="70"/>
  <c r="I8" i="70"/>
  <c r="AC7" i="70"/>
  <c r="AB7" i="70"/>
  <c r="AA7" i="70"/>
  <c r="AD7" i="70" s="1"/>
  <c r="Z7" i="70"/>
  <c r="Y7" i="70"/>
  <c r="O7" i="70"/>
  <c r="N7" i="70"/>
  <c r="M7" i="70"/>
  <c r="P7" i="70" s="1"/>
  <c r="L7" i="70"/>
  <c r="K7" i="70"/>
  <c r="R7" i="70" s="1"/>
  <c r="I7" i="70"/>
  <c r="AC6" i="70"/>
  <c r="AB6" i="70"/>
  <c r="AA6" i="70"/>
  <c r="AD6" i="70" s="1"/>
  <c r="Z6" i="70"/>
  <c r="Y6" i="70"/>
  <c r="O6" i="70"/>
  <c r="N6" i="70"/>
  <c r="M6" i="70"/>
  <c r="L6" i="70"/>
  <c r="K6" i="70"/>
  <c r="I6" i="70"/>
  <c r="AC5" i="70"/>
  <c r="AB5" i="70"/>
  <c r="AA5" i="70"/>
  <c r="Z5" i="70"/>
  <c r="Y5" i="70"/>
  <c r="O5" i="70"/>
  <c r="V5" i="70" s="1"/>
  <c r="N5" i="70"/>
  <c r="M5" i="70"/>
  <c r="L5" i="70"/>
  <c r="K5" i="70"/>
  <c r="I5" i="70"/>
  <c r="Z3" i="70"/>
  <c r="H3" i="70"/>
  <c r="G3" i="70"/>
  <c r="F3" i="70"/>
  <c r="I3" i="70" s="1"/>
  <c r="E3" i="70"/>
  <c r="D3" i="70"/>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U77" i="59" s="1"/>
  <c r="C77" i="59"/>
  <c r="B77" i="59"/>
  <c r="Q76" i="59"/>
  <c r="P76" i="59"/>
  <c r="O76" i="59"/>
  <c r="N76" i="59"/>
  <c r="E76" i="59"/>
  <c r="E75" i="59" s="1"/>
  <c r="Q75" i="59"/>
  <c r="P75" i="59"/>
  <c r="O75" i="59"/>
  <c r="N75" i="59"/>
  <c r="Q74" i="59"/>
  <c r="P74" i="59"/>
  <c r="O74" i="59"/>
  <c r="N74" i="59"/>
  <c r="D74" i="59"/>
  <c r="Q73" i="59"/>
  <c r="P73" i="59"/>
  <c r="O73" i="59"/>
  <c r="N73" i="59"/>
  <c r="F73" i="59"/>
  <c r="F72" i="59" s="1"/>
  <c r="F71" i="59" s="1"/>
  <c r="E73" i="59"/>
  <c r="U73" i="59" s="1"/>
  <c r="C73" i="59"/>
  <c r="B73" i="59"/>
  <c r="Q72" i="59"/>
  <c r="P72" i="59"/>
  <c r="O72" i="59"/>
  <c r="N72" i="59"/>
  <c r="E72" i="59"/>
  <c r="E71" i="59" s="1"/>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F39" i="59"/>
  <c r="AE39" i="59"/>
  <c r="AD39" i="59"/>
  <c r="Q39" i="59"/>
  <c r="P39" i="59"/>
  <c r="AA39" i="59" s="1"/>
  <c r="O39" i="59"/>
  <c r="N39" i="59"/>
  <c r="X39" i="59" s="1"/>
  <c r="AH38" i="59"/>
  <c r="AG38" i="59"/>
  <c r="AE38" i="59"/>
  <c r="AF38" i="59" s="1"/>
  <c r="AD38" i="59"/>
  <c r="Q38" i="59"/>
  <c r="F39" i="59" s="1"/>
  <c r="F40" i="59" s="1"/>
  <c r="P38" i="59"/>
  <c r="O38" i="59"/>
  <c r="C39" i="59" s="1"/>
  <c r="C40" i="59" s="1"/>
  <c r="N38" i="59"/>
  <c r="D38" i="59"/>
  <c r="AH37" i="59"/>
  <c r="AG37" i="59"/>
  <c r="AE37" i="59"/>
  <c r="AF37" i="59" s="1"/>
  <c r="AD37" i="59"/>
  <c r="Q37" i="59"/>
  <c r="P37" i="59"/>
  <c r="O37" i="59"/>
  <c r="Y37" i="59" s="1"/>
  <c r="Z37" i="59" s="1"/>
  <c r="N37" i="59"/>
  <c r="X37" i="59" s="1"/>
  <c r="AH36" i="59"/>
  <c r="AG36" i="59"/>
  <c r="AE36" i="59"/>
  <c r="AF36" i="59" s="1"/>
  <c r="AD36" i="59"/>
  <c r="Q36" i="59"/>
  <c r="AB36" i="59" s="1"/>
  <c r="P36" i="59"/>
  <c r="O36" i="59"/>
  <c r="Y36" i="59" s="1"/>
  <c r="Z36" i="59" s="1"/>
  <c r="N36" i="59"/>
  <c r="AH35" i="59"/>
  <c r="AG35" i="59"/>
  <c r="AF35" i="59"/>
  <c r="AE35" i="59"/>
  <c r="AD35" i="59"/>
  <c r="Q35" i="59"/>
  <c r="P35" i="59"/>
  <c r="AA35" i="59" s="1"/>
  <c r="O35" i="59"/>
  <c r="N35" i="59"/>
  <c r="AH34" i="59"/>
  <c r="AG34" i="59"/>
  <c r="AE34" i="59"/>
  <c r="AF34" i="59" s="1"/>
  <c r="AD34" i="59"/>
  <c r="Q34" i="59"/>
  <c r="F35" i="59" s="1"/>
  <c r="F36" i="59" s="1"/>
  <c r="P34" i="59"/>
  <c r="O34" i="59"/>
  <c r="C35" i="59" s="1"/>
  <c r="C36" i="59" s="1"/>
  <c r="N34" i="59"/>
  <c r="D34" i="59"/>
  <c r="AH33" i="59"/>
  <c r="AG33" i="59"/>
  <c r="AE33" i="59"/>
  <c r="AF33" i="59" s="1"/>
  <c r="AD33" i="59"/>
  <c r="Q33" i="59"/>
  <c r="P33" i="59"/>
  <c r="O33" i="59"/>
  <c r="N33" i="59"/>
  <c r="AH32" i="59"/>
  <c r="AG32" i="59"/>
  <c r="AE32" i="59"/>
  <c r="AF32" i="59" s="1"/>
  <c r="AD32" i="59"/>
  <c r="Q32" i="59"/>
  <c r="AB30" i="59" s="1"/>
  <c r="P32" i="59"/>
  <c r="O32" i="59"/>
  <c r="Y32" i="59" s="1"/>
  <c r="Z32" i="59" s="1"/>
  <c r="N32" i="59"/>
  <c r="AH31" i="59"/>
  <c r="AG31" i="59"/>
  <c r="AF31" i="59"/>
  <c r="AE31" i="59"/>
  <c r="AD31" i="59"/>
  <c r="Q31" i="59"/>
  <c r="P31" i="59"/>
  <c r="O31" i="59"/>
  <c r="N31" i="59"/>
  <c r="AH30" i="59"/>
  <c r="AG30" i="59"/>
  <c r="AE30" i="59"/>
  <c r="AF30" i="59" s="1"/>
  <c r="AD30" i="59"/>
  <c r="Q30" i="59"/>
  <c r="F31" i="59" s="1"/>
  <c r="F32" i="59" s="1"/>
  <c r="F33" i="59" s="1"/>
  <c r="V33" i="59" s="1"/>
  <c r="P30" i="59"/>
  <c r="O30" i="59"/>
  <c r="C31" i="59" s="1"/>
  <c r="N30" i="59"/>
  <c r="D30" i="59"/>
  <c r="AH29" i="59"/>
  <c r="AG29" i="59"/>
  <c r="AF29" i="59"/>
  <c r="AE29" i="59"/>
  <c r="AD29" i="59"/>
  <c r="Q29" i="59"/>
  <c r="P29" i="59"/>
  <c r="O29" i="59"/>
  <c r="C29" i="59" s="1"/>
  <c r="T29" i="59" s="1"/>
  <c r="N29" i="59"/>
  <c r="F29" i="59"/>
  <c r="E29" i="59"/>
  <c r="U29" i="59" s="1"/>
  <c r="D29" i="59"/>
  <c r="B29" i="59"/>
  <c r="AH28" i="59"/>
  <c r="AG28" i="59"/>
  <c r="AE28" i="59"/>
  <c r="AF28" i="59" s="1"/>
  <c r="AD28" i="59"/>
  <c r="Q28" i="59"/>
  <c r="AB26" i="59" s="1"/>
  <c r="P28" i="59"/>
  <c r="O28" i="59"/>
  <c r="N28" i="59"/>
  <c r="C28" i="59"/>
  <c r="AH27" i="59"/>
  <c r="AG27" i="59"/>
  <c r="AE27" i="59"/>
  <c r="AF27" i="59" s="1"/>
  <c r="AD27" i="59"/>
  <c r="Q27" i="59"/>
  <c r="P27" i="59"/>
  <c r="O27" i="59"/>
  <c r="N27" i="59"/>
  <c r="AH26" i="59"/>
  <c r="AG26" i="59"/>
  <c r="AE26" i="59"/>
  <c r="AF26" i="59" s="1"/>
  <c r="AD26" i="59"/>
  <c r="Q26" i="59"/>
  <c r="P26" i="59"/>
  <c r="O26" i="59"/>
  <c r="N26" i="59"/>
  <c r="D26" i="59"/>
  <c r="AH25" i="59"/>
  <c r="AG25" i="59"/>
  <c r="AF25" i="59"/>
  <c r="AE25" i="59"/>
  <c r="AD25" i="59"/>
  <c r="Q25" i="59"/>
  <c r="P25" i="59"/>
  <c r="O25" i="59"/>
  <c r="C25" i="59" s="1"/>
  <c r="T25" i="59" s="1"/>
  <c r="N25" i="59"/>
  <c r="F25" i="59"/>
  <c r="E25" i="59"/>
  <c r="U25" i="59" s="1"/>
  <c r="D25" i="59"/>
  <c r="B25" i="59"/>
  <c r="AH24" i="59"/>
  <c r="AG24" i="59"/>
  <c r="AE24" i="59"/>
  <c r="AF24" i="59" s="1"/>
  <c r="AD24" i="59"/>
  <c r="Q24" i="59"/>
  <c r="AB24" i="59" s="1"/>
  <c r="P24" i="59"/>
  <c r="O24" i="59"/>
  <c r="Y24" i="59" s="1"/>
  <c r="Z24" i="59" s="1"/>
  <c r="N24" i="59"/>
  <c r="E24" i="59"/>
  <c r="E23" i="59" s="1"/>
  <c r="E22" i="59" s="1"/>
  <c r="E21" i="59" s="1"/>
  <c r="AH23" i="59"/>
  <c r="AG23" i="59"/>
  <c r="AE23" i="59"/>
  <c r="AF23" i="59" s="1"/>
  <c r="AD23" i="59"/>
  <c r="Q23" i="59"/>
  <c r="P23" i="59"/>
  <c r="O23" i="59"/>
  <c r="N23" i="59"/>
  <c r="AH22" i="59"/>
  <c r="AG22" i="59"/>
  <c r="AE22" i="59"/>
  <c r="AF22" i="59" s="1"/>
  <c r="AD22" i="59"/>
  <c r="Q22" i="59"/>
  <c r="P22" i="59"/>
  <c r="O22" i="59"/>
  <c r="N22" i="59"/>
  <c r="AH21" i="59"/>
  <c r="AG21" i="59"/>
  <c r="AF21" i="59"/>
  <c r="AE21" i="59"/>
  <c r="AD21" i="59"/>
  <c r="Q21" i="59"/>
  <c r="P21" i="59"/>
  <c r="O21" i="59"/>
  <c r="N21" i="59"/>
  <c r="AH20" i="59"/>
  <c r="AG20" i="59"/>
  <c r="AE20" i="59"/>
  <c r="AF20" i="59" s="1"/>
  <c r="AD20" i="59"/>
  <c r="Q20" i="59"/>
  <c r="P20" i="59"/>
  <c r="O20" i="59"/>
  <c r="N20" i="59"/>
  <c r="AH19" i="59"/>
  <c r="AG19" i="59"/>
  <c r="AE19" i="59"/>
  <c r="AF19" i="59" s="1"/>
  <c r="AD19" i="59"/>
  <c r="Q19" i="59"/>
  <c r="P19" i="59"/>
  <c r="O19" i="59"/>
  <c r="Y19" i="59" s="1"/>
  <c r="Z19" i="59" s="1"/>
  <c r="N19" i="59"/>
  <c r="AH18" i="59"/>
  <c r="AG18" i="59"/>
  <c r="AE18" i="59"/>
  <c r="AF18" i="59" s="1"/>
  <c r="AD18" i="59"/>
  <c r="Q18" i="59"/>
  <c r="AB18" i="59" s="1"/>
  <c r="P18" i="59"/>
  <c r="O18" i="59"/>
  <c r="N18" i="59"/>
  <c r="AH17" i="59"/>
  <c r="AG17" i="59"/>
  <c r="AF17" i="59"/>
  <c r="AE17" i="59"/>
  <c r="AD17" i="59"/>
  <c r="Q17" i="59"/>
  <c r="P17" i="59"/>
  <c r="AA17" i="59" s="1"/>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Y11" i="59" s="1"/>
  <c r="Z11" i="59" s="1"/>
  <c r="N11" i="59"/>
  <c r="AH10" i="59"/>
  <c r="AG10" i="59"/>
  <c r="AE10" i="59"/>
  <c r="AF10" i="59" s="1"/>
  <c r="AD10" i="59"/>
  <c r="Q10" i="59"/>
  <c r="AB10" i="59" s="1"/>
  <c r="P10" i="59"/>
  <c r="O10" i="59"/>
  <c r="N10" i="59"/>
  <c r="AH9" i="59"/>
  <c r="AG9" i="59"/>
  <c r="AF9" i="59"/>
  <c r="AE9" i="59"/>
  <c r="AD9" i="59"/>
  <c r="Q9" i="59"/>
  <c r="P9" i="59"/>
  <c r="O9" i="59"/>
  <c r="N9" i="59"/>
  <c r="AH8" i="59"/>
  <c r="AG8" i="59"/>
  <c r="AE8" i="59"/>
  <c r="AF8" i="59" s="1"/>
  <c r="AD8" i="59"/>
  <c r="Q8" i="59"/>
  <c r="P8" i="59"/>
  <c r="O8" i="59"/>
  <c r="N8" i="59"/>
  <c r="X8" i="59" s="1"/>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s="1"/>
  <c r="D96" i="46"/>
  <c r="M95" i="46"/>
  <c r="N95" i="46" s="1"/>
  <c r="K95" i="46"/>
  <c r="J95" i="46" s="1"/>
  <c r="D95" i="46"/>
  <c r="B95" i="46"/>
  <c r="M94" i="46"/>
  <c r="N94" i="46" s="1"/>
  <c r="K94" i="46"/>
  <c r="J94" i="46"/>
  <c r="D94" i="46"/>
  <c r="N93" i="46"/>
  <c r="M93" i="46"/>
  <c r="K93" i="46"/>
  <c r="J93" i="46" s="1"/>
  <c r="F93" i="46"/>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M85" i="46"/>
  <c r="N85" i="46" s="1"/>
  <c r="K85" i="46"/>
  <c r="J85" i="46" s="1"/>
  <c r="D85" i="46"/>
  <c r="B85" i="46"/>
  <c r="N84" i="46"/>
  <c r="M84" i="46"/>
  <c r="K84" i="46"/>
  <c r="J84" i="46" s="1"/>
  <c r="D84" i="46"/>
  <c r="M83" i="46"/>
  <c r="N83" i="46" s="1"/>
  <c r="K83" i="46"/>
  <c r="J83" i="46"/>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s="1"/>
  <c r="D73" i="46"/>
  <c r="M72" i="46"/>
  <c r="N72" i="46" s="1"/>
  <c r="K72" i="46"/>
  <c r="J72" i="46" s="1"/>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s="1"/>
  <c r="D51" i="46"/>
  <c r="M50" i="46"/>
  <c r="N50" i="46" s="1"/>
  <c r="K50" i="46"/>
  <c r="J50" i="46" s="1"/>
  <c r="F50" i="46"/>
  <c r="D50" i="46"/>
  <c r="H42" i="46"/>
  <c r="H41" i="46"/>
  <c r="H40" i="46"/>
  <c r="H39" i="46"/>
  <c r="H38" i="46"/>
  <c r="H37" i="46"/>
  <c r="C28" i="46"/>
  <c r="J24" i="46"/>
  <c r="I24" i="46"/>
  <c r="G24" i="46"/>
  <c r="E24" i="46"/>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S3" i="46"/>
  <c r="G3" i="46"/>
  <c r="I2" i="46"/>
  <c r="M11" i="46" s="1"/>
  <c r="G2" i="46"/>
  <c r="N21" i="46" s="1"/>
  <c r="M1" i="46"/>
  <c r="D1" i="46"/>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H34" i="40" s="1"/>
  <c r="AB34" i="40" s="1"/>
  <c r="B102" i="40"/>
  <c r="H33" i="40" s="1"/>
  <c r="AB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E87" i="40"/>
  <c r="F87" i="40" s="1"/>
  <c r="G87" i="40" s="1"/>
  <c r="D87" i="40"/>
  <c r="E85" i="40"/>
  <c r="F85" i="40" s="1"/>
  <c r="G85" i="40" s="1"/>
  <c r="D85" i="40"/>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H41" i="40"/>
  <c r="F41" i="40"/>
  <c r="AA41" i="40" s="1"/>
  <c r="Q40" i="40"/>
  <c r="Z40" i="40" s="1"/>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Q35" i="40"/>
  <c r="Z35" i="40" s="1"/>
  <c r="Q34" i="40"/>
  <c r="Z34" i="40" s="1"/>
  <c r="J34" i="40"/>
  <c r="AC34" i="40" s="1"/>
  <c r="Q33" i="40"/>
  <c r="Z33" i="40" s="1"/>
  <c r="Q32" i="40"/>
  <c r="Z32" i="40" s="1"/>
  <c r="C32" i="40"/>
  <c r="J32" i="40" s="1"/>
  <c r="Q30" i="40"/>
  <c r="Z30" i="40" s="1"/>
  <c r="J30" i="40"/>
  <c r="H30" i="40"/>
  <c r="AB30" i="40" s="1"/>
  <c r="F30" i="40"/>
  <c r="AA30" i="40" s="1"/>
  <c r="C30" i="40"/>
  <c r="Q29" i="40"/>
  <c r="Z29" i="40" s="1"/>
  <c r="AB27" i="40"/>
  <c r="Q27" i="40"/>
  <c r="Z27" i="40" s="1"/>
  <c r="J27" i="40"/>
  <c r="AC27" i="40" s="1"/>
  <c r="H27" i="40"/>
  <c r="U27" i="40" s="1"/>
  <c r="F27" i="40"/>
  <c r="AA27" i="40" s="1"/>
  <c r="Q25" i="40"/>
  <c r="Z25" i="40" s="1"/>
  <c r="J25" i="40"/>
  <c r="AC25" i="40" s="1"/>
  <c r="H25" i="40"/>
  <c r="U25" i="40" s="1"/>
  <c r="F25" i="40"/>
  <c r="AA25" i="40" s="1"/>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J15" i="40"/>
  <c r="AC15" i="40" s="1"/>
  <c r="H15" i="40"/>
  <c r="AB15" i="40" s="1"/>
  <c r="F15" i="40"/>
  <c r="AA15" i="40" s="1"/>
  <c r="Q14" i="40"/>
  <c r="Z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F102" i="39" s="1"/>
  <c r="D100" i="39"/>
  <c r="E100" i="39" s="1"/>
  <c r="F100" i="39" s="1"/>
  <c r="G100" i="39" s="1"/>
  <c r="D98" i="39"/>
  <c r="D96" i="39"/>
  <c r="E96" i="39" s="1"/>
  <c r="F96" i="39" s="1"/>
  <c r="G96" i="39" s="1"/>
  <c r="D94" i="39"/>
  <c r="E94" i="39" s="1"/>
  <c r="F94" i="39" s="1"/>
  <c r="G94" i="39" s="1"/>
  <c r="D92" i="39"/>
  <c r="E92" i="39" s="1"/>
  <c r="F92" i="39" s="1"/>
  <c r="G92" i="39" s="1"/>
  <c r="D90" i="39"/>
  <c r="E90" i="39" s="1"/>
  <c r="B87" i="39"/>
  <c r="B85" i="39"/>
  <c r="H15" i="39" s="1"/>
  <c r="AB15" i="39" s="1"/>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G55" i="39"/>
  <c r="H55" i="39" s="1"/>
  <c r="P50" i="39"/>
  <c r="P49" i="39"/>
  <c r="K49" i="39"/>
  <c r="V48" i="39"/>
  <c r="T48" i="39"/>
  <c r="P48" i="39"/>
  <c r="Q47" i="39"/>
  <c r="Z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F42" i="39"/>
  <c r="AA42" i="39" s="1"/>
  <c r="Q41" i="39"/>
  <c r="Z41" i="39" s="1"/>
  <c r="H41" i="39"/>
  <c r="AB41" i="39" s="1"/>
  <c r="Q40" i="39"/>
  <c r="Z40" i="39" s="1"/>
  <c r="J40" i="39"/>
  <c r="AC40" i="39" s="1"/>
  <c r="H40" i="39"/>
  <c r="AB40" i="39" s="1"/>
  <c r="F40" i="39"/>
  <c r="AA40" i="39" s="1"/>
  <c r="Q39" i="39"/>
  <c r="Z39" i="39" s="1"/>
  <c r="F39" i="39"/>
  <c r="AA39" i="39" s="1"/>
  <c r="Q38" i="39"/>
  <c r="Z38" i="39" s="1"/>
  <c r="Q37" i="39"/>
  <c r="Z37" i="39" s="1"/>
  <c r="J37" i="39"/>
  <c r="W37" i="39" s="1"/>
  <c r="Q36" i="39"/>
  <c r="Z36" i="39" s="1"/>
  <c r="J36" i="39"/>
  <c r="AC36" i="39" s="1"/>
  <c r="H36" i="39"/>
  <c r="AB36" i="39" s="1"/>
  <c r="F36" i="39"/>
  <c r="AA36" i="39" s="1"/>
  <c r="Q34" i="39"/>
  <c r="Z34" i="39" s="1"/>
  <c r="J34" i="39"/>
  <c r="AC34" i="39" s="1"/>
  <c r="H34" i="39"/>
  <c r="AB34" i="39" s="1"/>
  <c r="F34" i="39"/>
  <c r="AA34" i="39" s="1"/>
  <c r="Q33" i="39"/>
  <c r="Z33" i="39" s="1"/>
  <c r="F33" i="39"/>
  <c r="AA33" i="39" s="1"/>
  <c r="Q31" i="39"/>
  <c r="Z31" i="39" s="1"/>
  <c r="J31" i="39"/>
  <c r="AC31" i="39" s="1"/>
  <c r="H31" i="39"/>
  <c r="AB31" i="39" s="1"/>
  <c r="F31" i="39"/>
  <c r="AA31" i="39" s="1"/>
  <c r="Q29" i="39"/>
  <c r="Z29" i="39" s="1"/>
  <c r="J29" i="39"/>
  <c r="AC29" i="39" s="1"/>
  <c r="F29" i="39"/>
  <c r="AA29" i="39" s="1"/>
  <c r="Q27" i="39"/>
  <c r="Z27" i="39" s="1"/>
  <c r="J27" i="39"/>
  <c r="AC27" i="39" s="1"/>
  <c r="H27" i="39"/>
  <c r="AB27" i="39" s="1"/>
  <c r="F27" i="39"/>
  <c r="AA27" i="39" s="1"/>
  <c r="Q25" i="39"/>
  <c r="Z25" i="39" s="1"/>
  <c r="J25" i="39"/>
  <c r="AC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H16" i="39"/>
  <c r="AB16" i="39" s="1"/>
  <c r="F16" i="39"/>
  <c r="AA16" i="39" s="1"/>
  <c r="Q15" i="39"/>
  <c r="Z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c r="P73" i="9" s="1"/>
  <c r="E66" i="9"/>
  <c r="O72" i="9" s="1"/>
  <c r="A46" i="9"/>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S13" i="1"/>
  <c r="F13" i="1"/>
  <c r="AP13" i="1" s="1"/>
  <c r="D13" i="1"/>
  <c r="A13" i="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BT13" i="3"/>
  <c r="BT5" i="3" s="1"/>
  <c r="BS13" i="3"/>
  <c r="BR13" i="3"/>
  <c r="BR5" i="3" s="1"/>
  <c r="G28" i="6" s="1"/>
  <c r="BQ13" i="3"/>
  <c r="BQ5" i="3" s="1"/>
  <c r="BP13" i="3"/>
  <c r="BP5" i="3" s="1"/>
  <c r="BO13" i="3"/>
  <c r="BN13" i="3"/>
  <c r="BN5" i="3" s="1"/>
  <c r="BM13" i="3"/>
  <c r="BK13" i="3"/>
  <c r="BJ13" i="3"/>
  <c r="BI13" i="3"/>
  <c r="BH13" i="3"/>
  <c r="BG13" i="3"/>
  <c r="BF13" i="3"/>
  <c r="BE13" i="3"/>
  <c r="BD13" i="3"/>
  <c r="BC13" i="3"/>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O5" i="3"/>
  <c r="BM5" i="3"/>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F23" i="4"/>
  <c r="I19" i="4"/>
  <c r="H19" i="4"/>
  <c r="G19" i="4"/>
  <c r="F7" i="1" s="1"/>
  <c r="AP7" i="1" s="1"/>
  <c r="F19" i="4"/>
  <c r="F8" i="1" s="1"/>
  <c r="AP8" i="1" s="1"/>
  <c r="E19" i="4"/>
  <c r="D19" i="4"/>
  <c r="C19" i="4"/>
  <c r="F6" i="1" s="1"/>
  <c r="AP6" i="1" s="1"/>
  <c r="U16" i="4"/>
  <c r="S16" i="4"/>
  <c r="Q16" i="4"/>
  <c r="O16" i="4"/>
  <c r="M16" i="4"/>
  <c r="K16" i="4"/>
  <c r="D14" i="4"/>
  <c r="K6" i="4"/>
  <c r="K4" i="4"/>
  <c r="I4" i="4"/>
  <c r="G4" i="4"/>
  <c r="E4" i="4"/>
  <c r="C4" i="4"/>
  <c r="B20" i="55" s="1"/>
  <c r="B70" i="63" s="1"/>
  <c r="K2" i="4"/>
  <c r="A2" i="9" s="1"/>
  <c r="K1" i="4"/>
  <c r="B1" i="4"/>
  <c r="E25" i="69"/>
  <c r="E24" i="69"/>
  <c r="F23" i="69"/>
  <c r="F24" i="69" s="1"/>
  <c r="F25" i="69" s="1"/>
  <c r="E23" i="69"/>
  <c r="E22" i="69"/>
  <c r="G22" i="69" s="1"/>
  <c r="F12" i="69"/>
  <c r="F11" i="69"/>
  <c r="B3" i="69"/>
  <c r="C7" i="69" s="1"/>
  <c r="D7" i="69" s="1"/>
  <c r="C57" i="10"/>
  <c r="C56" i="10"/>
  <c r="C55" i="10"/>
  <c r="C54" i="10"/>
  <c r="D51" i="10"/>
  <c r="B51" i="10"/>
  <c r="B2" i="52"/>
  <c r="B15" i="52" s="1"/>
  <c r="B21" i="55"/>
  <c r="A21" i="55"/>
  <c r="B71" i="63" s="1"/>
  <c r="A20" i="55"/>
  <c r="B69" i="63" s="1"/>
  <c r="A16" i="55"/>
  <c r="A15" i="55"/>
  <c r="A14" i="55"/>
  <c r="A11" i="55"/>
  <c r="A10" i="55"/>
  <c r="A9" i="55"/>
  <c r="A8" i="55"/>
  <c r="A4" i="55"/>
  <c r="B57" i="63" s="1"/>
  <c r="A2" i="55"/>
  <c r="A8" i="54"/>
  <c r="B53" i="63" s="1"/>
  <c r="A7" i="54"/>
  <c r="A6" i="54"/>
  <c r="B49" i="63" s="1"/>
  <c r="M5" i="54"/>
  <c r="G5" i="54"/>
  <c r="B34" i="63" s="1"/>
  <c r="E5" i="54"/>
  <c r="N3" i="54"/>
  <c r="B42" i="63" s="1"/>
  <c r="R2" i="54"/>
  <c r="K2" i="54"/>
  <c r="B23" i="63" s="1"/>
  <c r="A30" i="64"/>
  <c r="A28" i="64"/>
  <c r="A27" i="64"/>
  <c r="A26" i="64"/>
  <c r="A21" i="64"/>
  <c r="B75" i="63" s="1"/>
  <c r="A15" i="64"/>
  <c r="A14" i="64"/>
  <c r="A11" i="64"/>
  <c r="A4" i="64"/>
  <c r="A3" i="64"/>
  <c r="A30" i="51"/>
  <c r="B22" i="63" s="1"/>
  <c r="A28" i="51"/>
  <c r="B21" i="63" s="1"/>
  <c r="A27" i="51"/>
  <c r="A26" i="51"/>
  <c r="B19" i="63" s="1"/>
  <c r="A23" i="51"/>
  <c r="B17" i="63" s="1"/>
  <c r="A15" i="51"/>
  <c r="A14" i="51"/>
  <c r="B11" i="63" s="1"/>
  <c r="A11" i="51"/>
  <c r="B10" i="63" s="1"/>
  <c r="A4" i="51"/>
  <c r="A3" i="51"/>
  <c r="B49" i="50"/>
  <c r="B5" i="63" s="1"/>
  <c r="B46" i="50"/>
  <c r="B4" i="63" s="1"/>
  <c r="B40" i="50"/>
  <c r="B37" i="50"/>
  <c r="B2" i="63" s="1"/>
  <c r="B76" i="63"/>
  <c r="B73" i="63"/>
  <c r="B72" i="63"/>
  <c r="B68" i="63"/>
  <c r="B67" i="63"/>
  <c r="B66" i="63"/>
  <c r="B65" i="63"/>
  <c r="B64" i="63"/>
  <c r="B63" i="63"/>
  <c r="B62" i="63"/>
  <c r="B61" i="63"/>
  <c r="B60" i="63"/>
  <c r="B59" i="63"/>
  <c r="B58" i="63"/>
  <c r="B55" i="63"/>
  <c r="B51" i="63"/>
  <c r="B44" i="63"/>
  <c r="B41" i="63"/>
  <c r="B40" i="63"/>
  <c r="B37" i="63"/>
  <c r="B36" i="63"/>
  <c r="B35" i="63"/>
  <c r="B33" i="63"/>
  <c r="B32" i="63"/>
  <c r="B31" i="63"/>
  <c r="B30" i="63"/>
  <c r="B29" i="63"/>
  <c r="B28" i="63"/>
  <c r="B27" i="63"/>
  <c r="B26" i="63"/>
  <c r="B25" i="63"/>
  <c r="B24" i="63"/>
  <c r="B20" i="63"/>
  <c r="B12" i="63"/>
  <c r="B8" i="63"/>
  <c r="B6" i="63"/>
  <c r="N4" i="63"/>
  <c r="B3" i="63"/>
  <c r="E9" i="67"/>
  <c r="F10" i="67"/>
  <c r="B14" i="67"/>
  <c r="E10" i="67"/>
  <c r="B9" i="67"/>
  <c r="F13" i="67"/>
  <c r="E8" i="67"/>
  <c r="E14" i="67"/>
  <c r="E11" i="67"/>
  <c r="E12" i="67"/>
  <c r="B8" i="67"/>
  <c r="E7" i="67"/>
  <c r="B10" i="67"/>
  <c r="F8" i="67"/>
  <c r="F12" i="67"/>
  <c r="F7" i="67"/>
  <c r="B12" i="67"/>
  <c r="B11" i="67"/>
  <c r="F11" i="67"/>
  <c r="F14" i="67"/>
  <c r="B13" i="67"/>
  <c r="B7" i="67"/>
  <c r="F9" i="67"/>
  <c r="E13" i="67"/>
  <c r="D24" i="44" l="1"/>
  <c r="R16" i="4"/>
  <c r="BE5" i="3"/>
  <c r="BG5" i="3"/>
  <c r="BI5" i="3"/>
  <c r="BK5" i="3"/>
  <c r="G34" i="3"/>
  <c r="BL35" i="3"/>
  <c r="BA37" i="3"/>
  <c r="AZ37" i="3" s="1"/>
  <c r="BA38" i="3"/>
  <c r="BL38" i="3"/>
  <c r="G39" i="3"/>
  <c r="G42" i="3"/>
  <c r="BL43" i="3"/>
  <c r="BA45" i="3"/>
  <c r="AZ45" i="3" s="1"/>
  <c r="BA46" i="3"/>
  <c r="BL46" i="3"/>
  <c r="G47" i="3"/>
  <c r="G50" i="3"/>
  <c r="BL51" i="3"/>
  <c r="BA53" i="3"/>
  <c r="AZ53" i="3" s="1"/>
  <c r="BA54" i="3"/>
  <c r="BL54" i="3"/>
  <c r="G55" i="3"/>
  <c r="G58" i="3"/>
  <c r="BL59" i="3"/>
  <c r="BA61" i="3"/>
  <c r="AZ61" i="3" s="1"/>
  <c r="BA62" i="3"/>
  <c r="BL62" i="3"/>
  <c r="G63" i="3"/>
  <c r="G66" i="3"/>
  <c r="BL67" i="3"/>
  <c r="BA69" i="3"/>
  <c r="AZ69" i="3" s="1"/>
  <c r="BA70" i="3"/>
  <c r="BL70" i="3"/>
  <c r="G71" i="3"/>
  <c r="G74" i="3"/>
  <c r="BL75" i="3"/>
  <c r="BA77" i="3"/>
  <c r="AZ77" i="3" s="1"/>
  <c r="BA78" i="3"/>
  <c r="BL78" i="3"/>
  <c r="G79" i="3"/>
  <c r="G82" i="3"/>
  <c r="BL83" i="3"/>
  <c r="BA85" i="3"/>
  <c r="AZ85" i="3" s="1"/>
  <c r="BA86" i="3"/>
  <c r="BL86" i="3"/>
  <c r="G87" i="3"/>
  <c r="G90" i="3"/>
  <c r="BL91" i="3"/>
  <c r="BA93" i="3"/>
  <c r="AZ93" i="3" s="1"/>
  <c r="BA94" i="3"/>
  <c r="BL94" i="3"/>
  <c r="G95" i="3"/>
  <c r="G98" i="3"/>
  <c r="BL99" i="3"/>
  <c r="BA101" i="3"/>
  <c r="AZ101" i="3" s="1"/>
  <c r="BA102" i="3"/>
  <c r="BL102" i="3"/>
  <c r="G103" i="3"/>
  <c r="G106" i="3"/>
  <c r="BL107" i="3"/>
  <c r="BA109" i="3"/>
  <c r="AZ109" i="3" s="1"/>
  <c r="BA110" i="3"/>
  <c r="BL110" i="3"/>
  <c r="G111" i="3"/>
  <c r="G114" i="3"/>
  <c r="BL115" i="3"/>
  <c r="BA117" i="3"/>
  <c r="AZ117" i="3" s="1"/>
  <c r="BA118" i="3"/>
  <c r="BL118" i="3"/>
  <c r="G119" i="3"/>
  <c r="G122" i="3"/>
  <c r="BL123" i="3"/>
  <c r="BA125" i="3"/>
  <c r="AZ125" i="3" s="1"/>
  <c r="BA126" i="3"/>
  <c r="BL126" i="3"/>
  <c r="G127" i="3"/>
  <c r="G130" i="3"/>
  <c r="BL131" i="3"/>
  <c r="BA133" i="3"/>
  <c r="AZ133" i="3" s="1"/>
  <c r="BA134" i="3"/>
  <c r="BL134" i="3"/>
  <c r="G135" i="3"/>
  <c r="G138" i="3"/>
  <c r="BL139" i="3"/>
  <c r="BA141" i="3"/>
  <c r="AZ141" i="3" s="1"/>
  <c r="BA142" i="3"/>
  <c r="BL142" i="3"/>
  <c r="G143" i="3"/>
  <c r="G146" i="3"/>
  <c r="BL147" i="3"/>
  <c r="BA149" i="3"/>
  <c r="AZ149" i="3" s="1"/>
  <c r="BA150" i="3"/>
  <c r="BL150" i="3"/>
  <c r="G151" i="3"/>
  <c r="G154" i="3"/>
  <c r="BL155" i="3"/>
  <c r="BA157" i="3"/>
  <c r="AZ157" i="3" s="1"/>
  <c r="BA158" i="3"/>
  <c r="BL158" i="3"/>
  <c r="G159" i="3"/>
  <c r="G162" i="3"/>
  <c r="BL163" i="3"/>
  <c r="BA165" i="3"/>
  <c r="AZ165" i="3" s="1"/>
  <c r="BA166" i="3"/>
  <c r="BL166" i="3"/>
  <c r="G167" i="3"/>
  <c r="G170" i="3"/>
  <c r="BL171" i="3"/>
  <c r="BA173" i="3"/>
  <c r="AZ173" i="3" s="1"/>
  <c r="BA174" i="3"/>
  <c r="BL174" i="3"/>
  <c r="G175" i="3"/>
  <c r="G178" i="3"/>
  <c r="BL179" i="3"/>
  <c r="BA181" i="3"/>
  <c r="AZ181" i="3" s="1"/>
  <c r="BA182" i="3"/>
  <c r="BL182" i="3"/>
  <c r="G183" i="3"/>
  <c r="G186" i="3"/>
  <c r="BL187" i="3"/>
  <c r="F28" i="6"/>
  <c r="G14" i="3"/>
  <c r="BL15" i="3"/>
  <c r="BA17" i="3"/>
  <c r="AZ17" i="3" s="1"/>
  <c r="BA18" i="3"/>
  <c r="BL18" i="3"/>
  <c r="G19" i="3"/>
  <c r="G22" i="3"/>
  <c r="BL23" i="3"/>
  <c r="BA25" i="3"/>
  <c r="AZ25" i="3" s="1"/>
  <c r="BA26" i="3"/>
  <c r="BL26" i="3"/>
  <c r="G27" i="3"/>
  <c r="G30" i="3"/>
  <c r="BL31" i="3"/>
  <c r="BA189" i="3"/>
  <c r="AZ189" i="3" s="1"/>
  <c r="BA190" i="3"/>
  <c r="BL190" i="3"/>
  <c r="G191" i="3"/>
  <c r="G194" i="3"/>
  <c r="BL195" i="3"/>
  <c r="BA197" i="3"/>
  <c r="AZ197" i="3" s="1"/>
  <c r="BA198" i="3"/>
  <c r="BL198" i="3"/>
  <c r="G199" i="3"/>
  <c r="G202" i="3"/>
  <c r="BL203" i="3"/>
  <c r="BA205" i="3"/>
  <c r="AZ205" i="3" s="1"/>
  <c r="BA206" i="3"/>
  <c r="BL206" i="3"/>
  <c r="G207" i="3"/>
  <c r="G210" i="3"/>
  <c r="BL211" i="3"/>
  <c r="BA213" i="3"/>
  <c r="AZ213" i="3" s="1"/>
  <c r="BA214" i="3"/>
  <c r="BL214" i="3"/>
  <c r="G215" i="3"/>
  <c r="G218" i="3"/>
  <c r="BL219" i="3"/>
  <c r="BA221" i="3"/>
  <c r="AZ221" i="3" s="1"/>
  <c r="BA222" i="3"/>
  <c r="BL222" i="3"/>
  <c r="G223" i="3"/>
  <c r="G226" i="3"/>
  <c r="BL227" i="3"/>
  <c r="BA229" i="3"/>
  <c r="AZ229" i="3" s="1"/>
  <c r="BA230" i="3"/>
  <c r="BL230" i="3"/>
  <c r="G231" i="3"/>
  <c r="G234" i="3"/>
  <c r="BL235" i="3"/>
  <c r="BA237" i="3"/>
  <c r="AZ237" i="3" s="1"/>
  <c r="BA238" i="3"/>
  <c r="BL238" i="3"/>
  <c r="G239" i="3"/>
  <c r="G242" i="3"/>
  <c r="BL243" i="3"/>
  <c r="BA245" i="3"/>
  <c r="AZ245" i="3" s="1"/>
  <c r="BA246" i="3"/>
  <c r="BL246" i="3"/>
  <c r="G247" i="3"/>
  <c r="G250" i="3"/>
  <c r="BL251" i="3"/>
  <c r="BA253" i="3"/>
  <c r="AZ253" i="3" s="1"/>
  <c r="BA254" i="3"/>
  <c r="BL254" i="3"/>
  <c r="G255" i="3"/>
  <c r="G258" i="3"/>
  <c r="BL259" i="3"/>
  <c r="BA261" i="3"/>
  <c r="AZ261" i="3" s="1"/>
  <c r="BA262" i="3"/>
  <c r="BL262" i="3"/>
  <c r="G263" i="3"/>
  <c r="G266" i="3"/>
  <c r="BL267" i="3"/>
  <c r="BA269" i="3"/>
  <c r="AZ269" i="3" s="1"/>
  <c r="BA270" i="3"/>
  <c r="BL270" i="3"/>
  <c r="G271" i="3"/>
  <c r="G274" i="3"/>
  <c r="BL275" i="3"/>
  <c r="BA277" i="3"/>
  <c r="AZ277" i="3" s="1"/>
  <c r="BA278" i="3"/>
  <c r="BL278" i="3"/>
  <c r="G279" i="3"/>
  <c r="G282" i="3"/>
  <c r="BL283" i="3"/>
  <c r="BA285" i="3"/>
  <c r="AZ285" i="3" s="1"/>
  <c r="BA286" i="3"/>
  <c r="BL286" i="3"/>
  <c r="G287" i="3"/>
  <c r="G290" i="3"/>
  <c r="BL291" i="3"/>
  <c r="BA293" i="3"/>
  <c r="AZ293" i="3" s="1"/>
  <c r="BA294" i="3"/>
  <c r="BL294" i="3"/>
  <c r="G295" i="3"/>
  <c r="G299" i="3"/>
  <c r="BL300" i="3"/>
  <c r="BA302" i="3"/>
  <c r="AZ302" i="3" s="1"/>
  <c r="BA303" i="3"/>
  <c r="AZ303" i="3" s="1"/>
  <c r="BL303" i="3"/>
  <c r="G304" i="3"/>
  <c r="G307" i="3"/>
  <c r="BL308" i="3"/>
  <c r="BA310" i="3"/>
  <c r="AZ310" i="3" s="1"/>
  <c r="BA311" i="3"/>
  <c r="AZ311" i="3" s="1"/>
  <c r="BL311" i="3"/>
  <c r="G312" i="3"/>
  <c r="G315" i="3"/>
  <c r="BL316" i="3"/>
  <c r="BA318" i="3"/>
  <c r="AZ318" i="3" s="1"/>
  <c r="BA319" i="3"/>
  <c r="AZ319" i="3" s="1"/>
  <c r="BL319" i="3"/>
  <c r="G320" i="3"/>
  <c r="G323" i="3"/>
  <c r="BL324" i="3"/>
  <c r="BA326" i="3"/>
  <c r="AZ326" i="3" s="1"/>
  <c r="BA327" i="3"/>
  <c r="AZ327" i="3" s="1"/>
  <c r="BL327" i="3"/>
  <c r="G328" i="3"/>
  <c r="G331" i="3"/>
  <c r="BL332" i="3"/>
  <c r="BL334" i="3"/>
  <c r="BL336" i="3"/>
  <c r="BA338" i="3"/>
  <c r="AZ338" i="3" s="1"/>
  <c r="BA339" i="3"/>
  <c r="BL339" i="3"/>
  <c r="G340" i="3"/>
  <c r="G343" i="3"/>
  <c r="BL344" i="3"/>
  <c r="BA346" i="3"/>
  <c r="AZ346" i="3" s="1"/>
  <c r="BA347" i="3"/>
  <c r="AZ347" i="3" s="1"/>
  <c r="BL347" i="3"/>
  <c r="G348" i="3"/>
  <c r="G351" i="3"/>
  <c r="BL352" i="3"/>
  <c r="BA354" i="3"/>
  <c r="AZ354" i="3" s="1"/>
  <c r="BA355" i="3"/>
  <c r="BL355" i="3"/>
  <c r="G356" i="3"/>
  <c r="G359" i="3"/>
  <c r="BL360" i="3"/>
  <c r="BA362" i="3"/>
  <c r="AZ362" i="3" s="1"/>
  <c r="BA363" i="3"/>
  <c r="BL363" i="3"/>
  <c r="G364" i="3"/>
  <c r="G367" i="3"/>
  <c r="BL368" i="3"/>
  <c r="BA370" i="3"/>
  <c r="AZ370" i="3" s="1"/>
  <c r="BA371" i="3"/>
  <c r="BL371" i="3"/>
  <c r="G372" i="3"/>
  <c r="G375" i="3"/>
  <c r="BL376" i="3"/>
  <c r="BA378" i="3"/>
  <c r="AZ378" i="3" s="1"/>
  <c r="BA379" i="3"/>
  <c r="BL379" i="3"/>
  <c r="G380" i="3"/>
  <c r="G383" i="3"/>
  <c r="BL384" i="3"/>
  <c r="BA386" i="3"/>
  <c r="AZ386" i="3" s="1"/>
  <c r="BA387" i="3"/>
  <c r="BL387" i="3"/>
  <c r="G388" i="3"/>
  <c r="G391" i="3"/>
  <c r="BL392" i="3"/>
  <c r="BA394" i="3"/>
  <c r="AZ394" i="3" s="1"/>
  <c r="BA395" i="3"/>
  <c r="BL395" i="3"/>
  <c r="G396" i="3"/>
  <c r="G399" i="3"/>
  <c r="BL400" i="3"/>
  <c r="BA402" i="3"/>
  <c r="AZ402" i="3" s="1"/>
  <c r="BA403" i="3"/>
  <c r="BL403" i="3"/>
  <c r="G404" i="3"/>
  <c r="G407" i="3"/>
  <c r="BL408" i="3"/>
  <c r="BA410" i="3"/>
  <c r="AZ410" i="3" s="1"/>
  <c r="BA411" i="3"/>
  <c r="BL411" i="3"/>
  <c r="G412" i="3"/>
  <c r="G415" i="3"/>
  <c r="BL416" i="3"/>
  <c r="BA418" i="3"/>
  <c r="AZ418" i="3" s="1"/>
  <c r="BA419" i="3"/>
  <c r="BL419" i="3"/>
  <c r="G420" i="3"/>
  <c r="G423" i="3"/>
  <c r="BL424" i="3"/>
  <c r="BA426" i="3"/>
  <c r="AZ426" i="3" s="1"/>
  <c r="BA427" i="3"/>
  <c r="BL427" i="3"/>
  <c r="G428" i="3"/>
  <c r="G431" i="3"/>
  <c r="BL432" i="3"/>
  <c r="BA434" i="3"/>
  <c r="AZ434" i="3" s="1"/>
  <c r="BA435" i="3"/>
  <c r="BL435" i="3"/>
  <c r="G436" i="3"/>
  <c r="G439" i="3"/>
  <c r="BL440" i="3"/>
  <c r="BA442" i="3"/>
  <c r="AZ442" i="3" s="1"/>
  <c r="BA443" i="3"/>
  <c r="BL443" i="3"/>
  <c r="G444" i="3"/>
  <c r="G447" i="3"/>
  <c r="BL448" i="3"/>
  <c r="BA450" i="3"/>
  <c r="AZ450" i="3" s="1"/>
  <c r="BA451" i="3"/>
  <c r="BL451" i="3"/>
  <c r="G452" i="3"/>
  <c r="G455" i="3"/>
  <c r="BL456" i="3"/>
  <c r="BA458" i="3"/>
  <c r="AZ458" i="3" s="1"/>
  <c r="BA459" i="3"/>
  <c r="BL459" i="3"/>
  <c r="G460" i="3"/>
  <c r="G463" i="3"/>
  <c r="BL464" i="3"/>
  <c r="BA466" i="3"/>
  <c r="AZ466" i="3" s="1"/>
  <c r="BA467" i="3"/>
  <c r="BL467" i="3"/>
  <c r="G468" i="3"/>
  <c r="G471" i="3"/>
  <c r="BL472" i="3"/>
  <c r="BA474" i="3"/>
  <c r="AZ474" i="3" s="1"/>
  <c r="BA475" i="3"/>
  <c r="BL475" i="3"/>
  <c r="G476" i="3"/>
  <c r="G479" i="3"/>
  <c r="BL480" i="3"/>
  <c r="BA482" i="3"/>
  <c r="AZ482" i="3" s="1"/>
  <c r="BA483" i="3"/>
  <c r="BL483" i="3"/>
  <c r="G484" i="3"/>
  <c r="G487" i="3"/>
  <c r="BA488" i="3"/>
  <c r="AZ488" i="3" s="1"/>
  <c r="BA489" i="3"/>
  <c r="BL489" i="3"/>
  <c r="G490" i="3"/>
  <c r="G493" i="3"/>
  <c r="BL494" i="3"/>
  <c r="BA496" i="3"/>
  <c r="AZ496" i="3" s="1"/>
  <c r="BA497" i="3"/>
  <c r="BL497" i="3"/>
  <c r="G498" i="3"/>
  <c r="G501" i="3"/>
  <c r="BL502" i="3"/>
  <c r="BA504" i="3"/>
  <c r="AZ504" i="3" s="1"/>
  <c r="BA505" i="3"/>
  <c r="BL505" i="3"/>
  <c r="G506" i="3"/>
  <c r="G509" i="3"/>
  <c r="BL510" i="3"/>
  <c r="BA512" i="3"/>
  <c r="AZ512" i="3" s="1"/>
  <c r="BA513" i="3"/>
  <c r="BL513" i="3"/>
  <c r="G514" i="3"/>
  <c r="G517" i="3"/>
  <c r="BL518" i="3"/>
  <c r="BA520" i="3"/>
  <c r="AZ520" i="3" s="1"/>
  <c r="BA521" i="3"/>
  <c r="BL521" i="3"/>
  <c r="G522" i="3"/>
  <c r="G525" i="3"/>
  <c r="BL526" i="3"/>
  <c r="BA528" i="3"/>
  <c r="AZ528" i="3" s="1"/>
  <c r="AB42" i="39"/>
  <c r="U42" i="39"/>
  <c r="F90" i="39"/>
  <c r="G90" i="39" s="1"/>
  <c r="J17" i="39"/>
  <c r="AC17" i="39" s="1"/>
  <c r="F17" i="39"/>
  <c r="AA17" i="39" s="1"/>
  <c r="E98" i="39"/>
  <c r="F98" i="39" s="1"/>
  <c r="G98" i="39" s="1"/>
  <c r="H25" i="39"/>
  <c r="AB25" i="39" s="1"/>
  <c r="G102" i="39"/>
  <c r="H29" i="39"/>
  <c r="AB29" i="39" s="1"/>
  <c r="H33" i="39"/>
  <c r="AB33" i="39" s="1"/>
  <c r="J33" i="39"/>
  <c r="AC33" i="39" s="1"/>
  <c r="H37" i="39"/>
  <c r="F37" i="39"/>
  <c r="AA37" i="39" s="1"/>
  <c r="H39" i="39"/>
  <c r="J39" i="39"/>
  <c r="AC39" i="39" s="1"/>
  <c r="E121" i="39"/>
  <c r="F121" i="39" s="1"/>
  <c r="G121" i="39" s="1"/>
  <c r="H121" i="39" s="1"/>
  <c r="I121" i="39" s="1"/>
  <c r="J121" i="39" s="1"/>
  <c r="K121" i="39" s="1"/>
  <c r="L121" i="39" s="1"/>
  <c r="M121" i="39" s="1"/>
  <c r="J41" i="39"/>
  <c r="AC41" i="39" s="1"/>
  <c r="F41" i="39"/>
  <c r="AA41" i="39" s="1"/>
  <c r="H45" i="39"/>
  <c r="J45" i="39"/>
  <c r="H47" i="39"/>
  <c r="J47" i="39"/>
  <c r="AC47" i="39" s="1"/>
  <c r="AC11" i="40"/>
  <c r="H14" i="40"/>
  <c r="AB14" i="40" s="1"/>
  <c r="H16" i="40"/>
  <c r="AB16" i="40" s="1"/>
  <c r="U23" i="40"/>
  <c r="AB23" i="40"/>
  <c r="E93" i="46"/>
  <c r="B91" i="46" s="1"/>
  <c r="AA5" i="59"/>
  <c r="AB6" i="59"/>
  <c r="Y7" i="59"/>
  <c r="Z7" i="59" s="1"/>
  <c r="X12" i="59"/>
  <c r="AA13" i="59"/>
  <c r="X14" i="59"/>
  <c r="AA14" i="59"/>
  <c r="AB14" i="59"/>
  <c r="Y15" i="59"/>
  <c r="Z15" i="59" s="1"/>
  <c r="X20" i="59"/>
  <c r="AA21" i="59"/>
  <c r="Y22" i="59"/>
  <c r="Z22" i="59" s="1"/>
  <c r="AB22" i="59"/>
  <c r="Y23" i="59"/>
  <c r="Z23" i="59" s="1"/>
  <c r="AB23" i="59"/>
  <c r="X26" i="59"/>
  <c r="AA26" i="59"/>
  <c r="Y27" i="59"/>
  <c r="Z27" i="59" s="1"/>
  <c r="X30" i="59"/>
  <c r="F41" i="59"/>
  <c r="V41" i="59" s="1"/>
  <c r="Y39" i="59"/>
  <c r="Z39" i="59" s="1"/>
  <c r="D85" i="59"/>
  <c r="C84" i="59"/>
  <c r="D89" i="59"/>
  <c r="C88" i="59"/>
  <c r="AC26" i="21"/>
  <c r="U39" i="21"/>
  <c r="AB39" i="21"/>
  <c r="J13" i="33"/>
  <c r="AC13" i="33" s="1"/>
  <c r="F13" i="33"/>
  <c r="AA13" i="33" s="1"/>
  <c r="J44" i="33"/>
  <c r="F44" i="33"/>
  <c r="AA44" i="33" s="1"/>
  <c r="H44" i="33"/>
  <c r="AB44" i="33" s="1"/>
  <c r="J46" i="33"/>
  <c r="F46" i="33"/>
  <c r="AA46" i="33" s="1"/>
  <c r="AC8" i="34"/>
  <c r="W8" i="34"/>
  <c r="AB27" i="37"/>
  <c r="U27" i="37"/>
  <c r="AB29" i="37"/>
  <c r="U29" i="37"/>
  <c r="H13" i="37"/>
  <c r="F13" i="37"/>
  <c r="AA13" i="37" s="1"/>
  <c r="AC37" i="39"/>
  <c r="H40" i="40"/>
  <c r="F40" i="40"/>
  <c r="T73" i="59"/>
  <c r="D73" i="59"/>
  <c r="C72" i="59"/>
  <c r="T77" i="59"/>
  <c r="D77" i="59"/>
  <c r="C76" i="59"/>
  <c r="U81" i="59"/>
  <c r="E80" i="59"/>
  <c r="E79" i="59" s="1"/>
  <c r="P75" i="15"/>
  <c r="P62" i="15"/>
  <c r="J27" i="21"/>
  <c r="AC27" i="21" s="1"/>
  <c r="F27" i="21"/>
  <c r="AA27" i="21" s="1"/>
  <c r="H27" i="21"/>
  <c r="AB27" i="21" s="1"/>
  <c r="H29" i="21"/>
  <c r="J29" i="21"/>
  <c r="AC29" i="21" s="1"/>
  <c r="J31" i="21"/>
  <c r="AC31" i="21" s="1"/>
  <c r="F31" i="21"/>
  <c r="AA31" i="21" s="1"/>
  <c r="H44" i="21"/>
  <c r="AB44" i="21" s="1"/>
  <c r="J44" i="21"/>
  <c r="AC44" i="21" s="1"/>
  <c r="H46" i="21"/>
  <c r="J46" i="21"/>
  <c r="F46" i="21"/>
  <c r="AB13" i="33"/>
  <c r="U13" i="33"/>
  <c r="AC32" i="33"/>
  <c r="AC38" i="34"/>
  <c r="H12" i="34"/>
  <c r="F12" i="34"/>
  <c r="AA12" i="34" s="1"/>
  <c r="H14" i="34"/>
  <c r="J14" i="34"/>
  <c r="AC14" i="34" s="1"/>
  <c r="H35" i="35"/>
  <c r="AB35" i="35" s="1"/>
  <c r="J35" i="35"/>
  <c r="AC35" i="35" s="1"/>
  <c r="J9" i="36"/>
  <c r="AC9" i="36" s="1"/>
  <c r="F9" i="36"/>
  <c r="AA9" i="36" s="1"/>
  <c r="H9" i="36"/>
  <c r="H12" i="36"/>
  <c r="AB12" i="36" s="1"/>
  <c r="J12" i="36"/>
  <c r="AC12" i="36" s="1"/>
  <c r="G62" i="36"/>
  <c r="H14" i="36"/>
  <c r="F14" i="36"/>
  <c r="AA14" i="36" s="1"/>
  <c r="H24" i="36"/>
  <c r="AB24" i="36" s="1"/>
  <c r="J24" i="36"/>
  <c r="AC24" i="36" s="1"/>
  <c r="G529" i="3"/>
  <c r="BL530" i="3"/>
  <c r="BA532" i="3"/>
  <c r="AZ532" i="3" s="1"/>
  <c r="BA533" i="3"/>
  <c r="BL533" i="3"/>
  <c r="G534" i="3"/>
  <c r="G537" i="3"/>
  <c r="BL538" i="3"/>
  <c r="BA540" i="3"/>
  <c r="AZ540" i="3" s="1"/>
  <c r="BA541" i="3"/>
  <c r="BL541" i="3"/>
  <c r="G542" i="3"/>
  <c r="G545" i="3"/>
  <c r="BL546" i="3"/>
  <c r="BA548" i="3"/>
  <c r="AZ548" i="3" s="1"/>
  <c r="BA549" i="3"/>
  <c r="BL549" i="3"/>
  <c r="G550" i="3"/>
  <c r="G553" i="3"/>
  <c r="BL554" i="3"/>
  <c r="BA556" i="3"/>
  <c r="AZ556" i="3" s="1"/>
  <c r="BA557" i="3"/>
  <c r="BL557" i="3"/>
  <c r="G558" i="3"/>
  <c r="G561" i="3"/>
  <c r="BL562" i="3"/>
  <c r="BA564" i="3"/>
  <c r="AZ564" i="3" s="1"/>
  <c r="BA565" i="3"/>
  <c r="BL565" i="3"/>
  <c r="G566" i="3"/>
  <c r="G569" i="3"/>
  <c r="BL570" i="3"/>
  <c r="BA572" i="3"/>
  <c r="AZ572" i="3" s="1"/>
  <c r="C25" i="43"/>
  <c r="S6" i="46"/>
  <c r="K21" i="46"/>
  <c r="Y3" i="59"/>
  <c r="Z3" i="59" s="1"/>
  <c r="AB5" i="59"/>
  <c r="X7" i="59"/>
  <c r="X11" i="59"/>
  <c r="Y16" i="59"/>
  <c r="Z16" i="59" s="1"/>
  <c r="Y17" i="59"/>
  <c r="Z17" i="59" s="1"/>
  <c r="AB17" i="59"/>
  <c r="X19" i="59"/>
  <c r="Y21" i="59"/>
  <c r="Z21" i="59" s="1"/>
  <c r="AB21" i="59"/>
  <c r="X25" i="59"/>
  <c r="X27" i="59"/>
  <c r="X28" i="59"/>
  <c r="X29" i="59"/>
  <c r="Y31" i="59"/>
  <c r="Z31" i="59" s="1"/>
  <c r="AA33" i="59"/>
  <c r="F37" i="59"/>
  <c r="V37" i="59" s="1"/>
  <c r="Y35" i="59"/>
  <c r="Z35" i="59" s="1"/>
  <c r="AB35" i="59"/>
  <c r="T69" i="59"/>
  <c r="Y3" i="70"/>
  <c r="AC3" i="70"/>
  <c r="R6" i="70"/>
  <c r="V6" i="70"/>
  <c r="S7" i="70"/>
  <c r="U7" i="70"/>
  <c r="V9" i="70"/>
  <c r="R14" i="70"/>
  <c r="V14" i="70"/>
  <c r="AB3" i="70"/>
  <c r="S23" i="70"/>
  <c r="R35" i="68"/>
  <c r="U34" i="68" s="1"/>
  <c r="U35" i="21"/>
  <c r="AB35" i="21"/>
  <c r="AC40" i="21"/>
  <c r="AB43" i="21"/>
  <c r="U43" i="21"/>
  <c r="F77" i="21"/>
  <c r="G77" i="21" s="1"/>
  <c r="H15" i="21"/>
  <c r="AB15" i="21" s="1"/>
  <c r="G81" i="21"/>
  <c r="H19" i="21"/>
  <c r="AB19" i="21" s="1"/>
  <c r="F85" i="21"/>
  <c r="G85" i="21" s="1"/>
  <c r="H23" i="21"/>
  <c r="AB23" i="21" s="1"/>
  <c r="H28" i="34"/>
  <c r="AB28" i="34" s="1"/>
  <c r="F28" i="34"/>
  <c r="AA28" i="34" s="1"/>
  <c r="H30" i="34"/>
  <c r="AB30" i="34" s="1"/>
  <c r="J30" i="34"/>
  <c r="AC30" i="34" s="1"/>
  <c r="AC17" i="37"/>
  <c r="AB25" i="37"/>
  <c r="U25" i="37"/>
  <c r="J25" i="37"/>
  <c r="AC25" i="37" s="1"/>
  <c r="F25" i="37"/>
  <c r="AA25" i="37" s="1"/>
  <c r="J27" i="37"/>
  <c r="AC27" i="37" s="1"/>
  <c r="F27" i="37"/>
  <c r="AA27" i="37" s="1"/>
  <c r="G64" i="35"/>
  <c r="H14" i="35"/>
  <c r="U14" i="35" s="1"/>
  <c r="G64" i="36"/>
  <c r="J16" i="36"/>
  <c r="AC16" i="36" s="1"/>
  <c r="F16" i="36"/>
  <c r="AA16" i="36" s="1"/>
  <c r="AC36" i="33"/>
  <c r="AC40" i="33"/>
  <c r="AC34" i="34"/>
  <c r="AC42" i="34"/>
  <c r="AC10" i="37"/>
  <c r="AC14" i="37"/>
  <c r="AC21" i="37"/>
  <c r="AC34" i="37"/>
  <c r="AC28" i="36"/>
  <c r="BL13" i="3"/>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BA15" i="3"/>
  <c r="AZ15" i="3" s="1"/>
  <c r="BL16" i="3"/>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AB14" i="35"/>
  <c r="W22" i="35"/>
  <c r="W27" i="35"/>
  <c r="W31"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BA5" i="3"/>
  <c r="AZ13" i="3"/>
  <c r="C15" i="69"/>
  <c r="C18" i="69"/>
  <c r="AB9" i="59"/>
  <c r="X9" i="59"/>
  <c r="AA9" i="59"/>
  <c r="Y9" i="59"/>
  <c r="Z9" i="59" s="1"/>
  <c r="N76" i="9"/>
  <c r="K76" i="9"/>
  <c r="O76" i="9"/>
  <c r="L76" i="9"/>
  <c r="G30" i="6"/>
  <c r="G31" i="6" s="1"/>
  <c r="E15" i="6"/>
  <c r="E14" i="6"/>
  <c r="E13" i="6"/>
  <c r="E12" i="6"/>
  <c r="E11" i="6"/>
  <c r="E10" i="6"/>
  <c r="E8" i="6"/>
  <c r="E5" i="6"/>
  <c r="D12" i="11" s="1"/>
  <c r="C12" i="11" s="1"/>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K15" i="1" s="1"/>
  <c r="F30" i="6"/>
  <c r="E28" i="6"/>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C9" i="12"/>
  <c r="K77" i="9"/>
  <c r="K79" i="9" s="1"/>
  <c r="K81" i="9" s="1"/>
  <c r="C110" i="9"/>
  <c r="C7" i="35"/>
  <c r="C7" i="34"/>
  <c r="C59" i="34" s="1"/>
  <c r="C7" i="37"/>
  <c r="C52" i="37" s="1"/>
  <c r="G23" i="46"/>
  <c r="C7" i="36"/>
  <c r="C7" i="33"/>
  <c r="C58" i="33" s="1"/>
  <c r="C7" i="2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20" i="46"/>
  <c r="J120" i="46" s="1"/>
  <c r="K120" i="46" s="1"/>
  <c r="L120" i="46" s="1"/>
  <c r="M120"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N7" i="65"/>
  <c r="I7" i="65"/>
  <c r="I4" i="65"/>
  <c r="J4" i="65"/>
  <c r="N3" i="65"/>
  <c r="J5" i="65"/>
  <c r="J3" i="65"/>
  <c r="J6" i="65"/>
  <c r="J7" i="65"/>
  <c r="I5" i="65"/>
  <c r="I3" i="65"/>
  <c r="N4" i="65"/>
  <c r="N5" i="65"/>
  <c r="C19" i="44"/>
  <c r="I6" i="65"/>
  <c r="N6" i="65"/>
  <c r="W35" i="35" l="1"/>
  <c r="B119" i="46"/>
  <c r="C119" i="46" s="1"/>
  <c r="B120" i="46"/>
  <c r="C120" i="46" s="1"/>
  <c r="B121" i="46"/>
  <c r="C121" i="46" s="1"/>
  <c r="B122" i="46"/>
  <c r="C122" i="46" s="1"/>
  <c r="B123" i="46"/>
  <c r="C123" i="46" s="1"/>
  <c r="I121" i="46"/>
  <c r="J121" i="46" s="1"/>
  <c r="K121" i="46" s="1"/>
  <c r="L121" i="46" s="1"/>
  <c r="M121" i="46" s="1"/>
  <c r="I119" i="46"/>
  <c r="J119" i="46" s="1"/>
  <c r="K119" i="46" s="1"/>
  <c r="L119" i="46" s="1"/>
  <c r="M119" i="46" s="1"/>
  <c r="C58" i="21"/>
  <c r="I7" i="21"/>
  <c r="E7" i="21"/>
  <c r="G7" i="21"/>
  <c r="C46" i="36"/>
  <c r="I7" i="36"/>
  <c r="E7" i="36"/>
  <c r="G7" i="36"/>
  <c r="C48" i="35"/>
  <c r="G7" i="35"/>
  <c r="I7" i="35"/>
  <c r="E7" i="35"/>
  <c r="W45" i="39"/>
  <c r="AC45" i="39"/>
  <c r="AZ483" i="3"/>
  <c r="AZ475" i="3"/>
  <c r="AZ467" i="3"/>
  <c r="AZ459" i="3"/>
  <c r="AZ451" i="3"/>
  <c r="AZ443" i="3"/>
  <c r="AZ435" i="3"/>
  <c r="AZ427" i="3"/>
  <c r="AZ419" i="3"/>
  <c r="AZ411" i="3"/>
  <c r="AZ403" i="3"/>
  <c r="AZ395" i="3"/>
  <c r="AZ387" i="3"/>
  <c r="AZ379" i="3"/>
  <c r="AZ371" i="3"/>
  <c r="AZ363" i="3"/>
  <c r="AZ355" i="3"/>
  <c r="AZ339" i="3"/>
  <c r="BL5" i="3"/>
  <c r="G5" i="3"/>
  <c r="B3" i="3" s="1"/>
  <c r="E163" i="3" s="1"/>
  <c r="U14" i="34"/>
  <c r="AB14" i="34"/>
  <c r="U12" i="34"/>
  <c r="AB12" i="34"/>
  <c r="W46" i="21"/>
  <c r="AC46" i="21"/>
  <c r="W44" i="33"/>
  <c r="AC44" i="33"/>
  <c r="S33" i="36"/>
  <c r="S9" i="35"/>
  <c r="S15" i="39"/>
  <c r="E275"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72"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H13" i="39"/>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E310" i="3"/>
  <c r="E273" i="3"/>
  <c r="E246" i="3"/>
  <c r="E230" i="3"/>
  <c r="E214" i="3"/>
  <c r="E198" i="3"/>
  <c r="E182" i="3"/>
  <c r="E174" i="3"/>
  <c r="E166" i="3"/>
  <c r="E158" i="3"/>
  <c r="E150" i="3"/>
  <c r="E142" i="3"/>
  <c r="E134" i="3"/>
  <c r="E126" i="3"/>
  <c r="E118"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5" i="68"/>
  <c r="U5" i="68" s="1"/>
  <c r="R25" i="68"/>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M8" i="15"/>
  <c r="F43" i="15"/>
  <c r="F18" i="44"/>
  <c r="L48" i="44"/>
  <c r="F43" i="44"/>
  <c r="F15" i="44"/>
  <c r="F11" i="44"/>
  <c r="M11" i="44"/>
  <c r="M29" i="15"/>
  <c r="M6" i="15"/>
  <c r="F42" i="15"/>
  <c r="E3" i="65"/>
  <c r="M27" i="15"/>
  <c r="M26" i="15"/>
  <c r="M23" i="15"/>
  <c r="F9" i="44"/>
  <c r="F10" i="44"/>
  <c r="F28" i="44"/>
  <c r="J36" i="15"/>
  <c r="M23" i="44"/>
  <c r="M29" i="44"/>
  <c r="M26" i="44"/>
  <c r="F37" i="15"/>
  <c r="F13" i="15"/>
  <c r="M28" i="44"/>
  <c r="M24" i="15"/>
  <c r="F7" i="15"/>
  <c r="M22" i="15"/>
  <c r="F39" i="44"/>
  <c r="J17" i="44"/>
  <c r="F36" i="15"/>
  <c r="F8" i="44"/>
  <c r="L49" i="44"/>
  <c r="M25" i="44"/>
  <c r="E2" i="65"/>
  <c r="F8" i="15"/>
  <c r="M28" i="15"/>
  <c r="F45" i="44"/>
  <c r="F40" i="44"/>
  <c r="F38" i="15"/>
  <c r="F16" i="15"/>
  <c r="F40" i="15"/>
  <c r="F38" i="44"/>
  <c r="L48" i="15"/>
  <c r="F37" i="44"/>
  <c r="M31" i="44"/>
  <c r="M30" i="44"/>
  <c r="M10" i="44"/>
  <c r="L47" i="15"/>
  <c r="F6" i="15"/>
  <c r="M24" i="44"/>
  <c r="J15" i="15"/>
  <c r="F26" i="15"/>
  <c r="M9" i="15"/>
  <c r="F46" i="44"/>
  <c r="F9" i="15"/>
  <c r="M8" i="44"/>
  <c r="E113" i="3" l="1"/>
  <c r="E121" i="3"/>
  <c r="E129" i="3"/>
  <c r="E137" i="3"/>
  <c r="E145" i="3"/>
  <c r="E153" i="3"/>
  <c r="E161" i="3"/>
  <c r="E169" i="3"/>
  <c r="E177" i="3"/>
  <c r="E190" i="3"/>
  <c r="E206" i="3"/>
  <c r="E222" i="3"/>
  <c r="E238" i="3"/>
  <c r="E257" i="3"/>
  <c r="E289" i="3"/>
  <c r="U6" i="3"/>
  <c r="E232" i="3"/>
  <c r="E194" i="3"/>
  <c r="E185" i="3"/>
  <c r="E193" i="3"/>
  <c r="E201" i="3"/>
  <c r="E209" i="3"/>
  <c r="E217" i="3"/>
  <c r="E225" i="3"/>
  <c r="E233" i="3"/>
  <c r="E241" i="3"/>
  <c r="E249" i="3"/>
  <c r="E265" i="3"/>
  <c r="E281" i="3"/>
  <c r="E297" i="3"/>
  <c r="E326" i="3"/>
  <c r="Y6" i="3"/>
  <c r="E136" i="3"/>
  <c r="E207" i="3"/>
  <c r="E254" i="3"/>
  <c r="E262" i="3"/>
  <c r="E270" i="3"/>
  <c r="E278" i="3"/>
  <c r="E286" i="3"/>
  <c r="E294" i="3"/>
  <c r="E302" i="3"/>
  <c r="E318" i="3"/>
  <c r="E334" i="3"/>
  <c r="AM6" i="3"/>
  <c r="E40" i="3"/>
  <c r="E104" i="3"/>
  <c r="E168" i="3"/>
  <c r="E296" i="3"/>
  <c r="E43" i="3"/>
  <c r="E66" i="3"/>
  <c r="E342" i="3"/>
  <c r="M6" i="3"/>
  <c r="AE6" i="3"/>
  <c r="E306" i="3"/>
  <c r="E24" i="3"/>
  <c r="E56" i="3"/>
  <c r="E88" i="3"/>
  <c r="E120" i="3"/>
  <c r="E152" i="3"/>
  <c r="E200" i="3"/>
  <c r="E264" i="3"/>
  <c r="E258" i="3"/>
  <c r="E130" i="3"/>
  <c r="E55" i="3"/>
  <c r="E79" i="3"/>
  <c r="E406" i="3"/>
  <c r="E322" i="3"/>
  <c r="E16" i="3"/>
  <c r="E32" i="3"/>
  <c r="E48" i="3"/>
  <c r="E64" i="3"/>
  <c r="E80" i="3"/>
  <c r="E96" i="3"/>
  <c r="E112" i="3"/>
  <c r="E128" i="3"/>
  <c r="E144" i="3"/>
  <c r="E160" i="3"/>
  <c r="E184" i="3"/>
  <c r="E216" i="3"/>
  <c r="E248" i="3"/>
  <c r="E280" i="3"/>
  <c r="E328" i="3"/>
  <c r="E99" i="3"/>
  <c r="E290" i="3"/>
  <c r="E226" i="3"/>
  <c r="E162" i="3"/>
  <c r="E98" i="3"/>
  <c r="E34" i="3"/>
  <c r="E143" i="3"/>
  <c r="E271" i="3"/>
  <c r="E219" i="3"/>
  <c r="E374" i="3"/>
  <c r="B14" i="66"/>
  <c r="AT6" i="3"/>
  <c r="E176" i="3"/>
  <c r="E192" i="3"/>
  <c r="E208" i="3"/>
  <c r="E224" i="3"/>
  <c r="E240" i="3"/>
  <c r="E256" i="3"/>
  <c r="E272" i="3"/>
  <c r="E288" i="3"/>
  <c r="E312" i="3"/>
  <c r="E75" i="3"/>
  <c r="AI6" i="3"/>
  <c r="E274" i="3"/>
  <c r="E242" i="3"/>
  <c r="E210" i="3"/>
  <c r="E178" i="3"/>
  <c r="E146" i="3"/>
  <c r="E114" i="3"/>
  <c r="E82" i="3"/>
  <c r="E50" i="3"/>
  <c r="E18" i="3"/>
  <c r="E111" i="3"/>
  <c r="E175" i="3"/>
  <c r="E239" i="3"/>
  <c r="E308" i="3"/>
  <c r="E155" i="3"/>
  <c r="E283" i="3"/>
  <c r="E358" i="3"/>
  <c r="E390" i="3"/>
  <c r="E422" i="3"/>
  <c r="E291" i="3"/>
  <c r="E336" i="3"/>
  <c r="AQ6"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4" i="3"/>
  <c r="E320" i="3"/>
  <c r="E91" i="3"/>
  <c r="E59" i="3"/>
  <c r="E27" i="3"/>
  <c r="E298" i="3"/>
  <c r="E282" i="3"/>
  <c r="E266" i="3"/>
  <c r="E250" i="3"/>
  <c r="E234" i="3"/>
  <c r="E218" i="3"/>
  <c r="E202" i="3"/>
  <c r="E186" i="3"/>
  <c r="E170" i="3"/>
  <c r="E154" i="3"/>
  <c r="E138" i="3"/>
  <c r="E122" i="3"/>
  <c r="E106" i="3"/>
  <c r="E90" i="3"/>
  <c r="E74" i="3"/>
  <c r="E58" i="3"/>
  <c r="E42" i="3"/>
  <c r="E26" i="3"/>
  <c r="E23" i="3"/>
  <c r="E87" i="3"/>
  <c r="E127" i="3"/>
  <c r="E159" i="3"/>
  <c r="E191" i="3"/>
  <c r="E223" i="3"/>
  <c r="E255" i="3"/>
  <c r="E287" i="3"/>
  <c r="E15" i="3"/>
  <c r="E123" i="3"/>
  <c r="E187" i="3"/>
  <c r="E251" i="3"/>
  <c r="E332" i="3"/>
  <c r="E350" i="3"/>
  <c r="E366" i="3"/>
  <c r="E382" i="3"/>
  <c r="E398" i="3"/>
  <c r="E414" i="3"/>
  <c r="E95" i="3"/>
  <c r="E227" i="3"/>
  <c r="E147" i="3"/>
  <c r="E243" i="3"/>
  <c r="Q6" i="3"/>
  <c r="E115" i="3"/>
  <c r="E211" i="3"/>
  <c r="E63" i="3"/>
  <c r="E259" i="3"/>
  <c r="E195" i="3"/>
  <c r="E131" i="3"/>
  <c r="E31" i="3"/>
  <c r="E418" i="3"/>
  <c r="E410" i="3"/>
  <c r="E402" i="3"/>
  <c r="E394" i="3"/>
  <c r="E386" i="3"/>
  <c r="E378" i="3"/>
  <c r="E370" i="3"/>
  <c r="E362" i="3"/>
  <c r="E354" i="3"/>
  <c r="E346" i="3"/>
  <c r="E338" i="3"/>
  <c r="E300" i="3"/>
  <c r="E267" i="3"/>
  <c r="E235" i="3"/>
  <c r="E203" i="3"/>
  <c r="E171" i="3"/>
  <c r="E139" i="3"/>
  <c r="E107" i="3"/>
  <c r="E47" i="3"/>
  <c r="E324" i="3"/>
  <c r="E295" i="3"/>
  <c r="E279" i="3"/>
  <c r="E263" i="3"/>
  <c r="E247" i="3"/>
  <c r="E231" i="3"/>
  <c r="E215" i="3"/>
  <c r="E199" i="3"/>
  <c r="E183" i="3"/>
  <c r="E167" i="3"/>
  <c r="E151" i="3"/>
  <c r="E135" i="3"/>
  <c r="E119" i="3"/>
  <c r="E103" i="3"/>
  <c r="E71" i="3"/>
  <c r="E39" i="3"/>
  <c r="I3" i="6"/>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30" i="3"/>
  <c r="E19" i="3"/>
  <c r="E35" i="3"/>
  <c r="E51" i="3"/>
  <c r="E67" i="3"/>
  <c r="E83" i="3"/>
  <c r="F7" i="36"/>
  <c r="E179" i="3"/>
  <c r="E314" i="3"/>
  <c r="E343" i="3"/>
  <c r="E351" i="3"/>
  <c r="E359" i="3"/>
  <c r="E367" i="3"/>
  <c r="E375" i="3"/>
  <c r="E383" i="3"/>
  <c r="E391" i="3"/>
  <c r="E399" i="3"/>
  <c r="E407" i="3"/>
  <c r="E415"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99" i="3"/>
  <c r="E303" i="3"/>
  <c r="E307" i="3"/>
  <c r="E311" i="3"/>
  <c r="E315" i="3"/>
  <c r="E319" i="3"/>
  <c r="E323" i="3"/>
  <c r="E327" i="3"/>
  <c r="E331" i="3"/>
  <c r="E335"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316" i="3"/>
  <c r="E339" i="3"/>
  <c r="E347" i="3"/>
  <c r="E355" i="3"/>
  <c r="E363" i="3"/>
  <c r="E371" i="3"/>
  <c r="E379" i="3"/>
  <c r="E387" i="3"/>
  <c r="E395" i="3"/>
  <c r="E403" i="3"/>
  <c r="E411" i="3"/>
  <c r="E419"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I6" i="3"/>
  <c r="E301" i="3"/>
  <c r="E305" i="3"/>
  <c r="E309" i="3"/>
  <c r="E313" i="3"/>
  <c r="E317" i="3"/>
  <c r="E321" i="3"/>
  <c r="E325" i="3"/>
  <c r="E329" i="3"/>
  <c r="E333"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26" i="35"/>
  <c r="I54" i="15"/>
  <c r="H6" i="3"/>
  <c r="E27" i="6"/>
  <c r="H7" i="35"/>
  <c r="J7" i="35"/>
  <c r="AC7" i="35" s="1"/>
  <c r="H7" i="37"/>
  <c r="F7" i="37"/>
  <c r="F7" i="21"/>
  <c r="H7" i="36"/>
  <c r="U7" i="36" s="1"/>
  <c r="J7" i="36"/>
  <c r="AC7" i="36" s="1"/>
  <c r="V36" i="36" s="1"/>
  <c r="I36" i="36" s="1"/>
  <c r="H7" i="21"/>
  <c r="U7" i="21" s="1"/>
  <c r="J7" i="21"/>
  <c r="AC7" i="21" s="1"/>
  <c r="V48" i="21" s="1"/>
  <c r="I48" i="21" s="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W7" i="21"/>
  <c r="D71" i="39"/>
  <c r="E69" i="39"/>
  <c r="N67" i="59"/>
  <c r="N66" i="59"/>
  <c r="T45" i="59"/>
  <c r="D45" i="59"/>
  <c r="C41" i="46"/>
  <c r="C39" i="46"/>
  <c r="C42" i="46"/>
  <c r="C40" i="46"/>
  <c r="C38" i="46"/>
  <c r="C37" i="46"/>
  <c r="J12" i="40"/>
  <c r="F12" i="40"/>
  <c r="H12" i="40"/>
  <c r="J12" i="39"/>
  <c r="F12" i="39"/>
  <c r="H12" i="39"/>
  <c r="O14" i="1"/>
  <c r="P14" i="1" s="1"/>
  <c r="AC7" i="34"/>
  <c r="V49" i="34" s="1"/>
  <c r="I49" i="34"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32" i="68" s="1"/>
  <c r="E29" i="68"/>
  <c r="E38" i="68"/>
  <c r="E39" i="68" s="1"/>
  <c r="C40" i="68" s="1"/>
  <c r="F11" i="15"/>
  <c r="M13" i="44"/>
  <c r="J12" i="44" s="1"/>
  <c r="M11" i="15"/>
  <c r="J10" i="15" s="1"/>
  <c r="F13" i="44"/>
  <c r="C12" i="44" s="1"/>
  <c r="C18" i="44"/>
  <c r="C16" i="15"/>
  <c r="F24" i="15" l="1"/>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8" i="12" s="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B2" i="35"/>
  <c r="E10" i="12" s="1"/>
  <c r="C6" i="12" s="1"/>
  <c r="C24"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1" i="6"/>
  <c r="R8" i="1" s="1"/>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16" i="6"/>
  <c r="H69" i="39"/>
  <c r="G71" i="39"/>
  <c r="C13" i="12"/>
  <c r="F35" i="15"/>
  <c r="M21" i="15"/>
  <c r="D31" i="6" l="1"/>
  <c r="I6" i="6" s="1"/>
  <c r="C29" i="12"/>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H66" i="40"/>
  <c r="I64" i="40"/>
  <c r="C14" i="15"/>
  <c r="C16" i="44"/>
  <c r="I5" i="6" l="1"/>
  <c r="C18" i="15"/>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D19" i="9"/>
  <c r="D20" i="9"/>
  <c r="B5" i="12" l="1"/>
  <c r="B4" i="12"/>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21" i="9"/>
  <c r="C19"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<sst xmlns="http://schemas.openxmlformats.org/spreadsheetml/2006/main" count="7909" uniqueCount="2724">
  <si>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</si>
  <si>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</si>
  <si>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</si>
  <si>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</si>
  <si>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</si>
  <si>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</si>
  <si>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</si>
  <si>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</si>
  <si>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</si>
  <si>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</si>
  <si>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</si>
  <si>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</si>
  <si>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</si>
  <si>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</si>
  <si>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</si>
  <si>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</si>
  <si>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</si>
  <si>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</si>
  <si>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</si>
  <si>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</si>
  <si>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</si>
  <si>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</si>
  <si>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</si>
  <si>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</si>
  <si>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</si>
  <si>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</si>
  <si>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</si>
  <si>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</si>
  <si>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</si>
  <si>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</si>
  <si>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</si>
  <si>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</si>
  <si>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</si>
  <si>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</si>
  <si>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</si>
  <si>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</si>
  <si>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</si>
  <si>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</si>
  <si>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</si>
  <si>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</si>
  <si>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</si>
  <si>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</si>
  <si>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</si>
  <si>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</si>
  <si>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</si>
  <si>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</si>
  <si>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</si>
  <si>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</si>
  <si>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</si>
  <si>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</si>
  <si>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</si>
  <si>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</si>
  <si>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</si>
  <si>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</si>
  <si>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</si>
  <si>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</si>
  <si>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</si>
  <si>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</si>
  <si>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</si>
  <si>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</si>
  <si>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</si>
  <si>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</si>
  <si>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</si>
  <si>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</si>
  <si>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</si>
  <si>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</si>
  <si>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</si>
  <si>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</si>
  <si>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</si>
  <si>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</si>
  <si>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</si>
  <si>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</si>
  <si>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</si>
  <si>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</si>
  <si>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</si>
  <si>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</si>
  <si>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</si>
  <si>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</si>
  <si>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</si>
  <si>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</si>
  <si>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</si>
  <si>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</si>
  <si>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</si>
  <si>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</si>
  <si>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</si>
  <si>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</si>
  <si>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</si>
  <si>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</si>
  <si>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</si>
  <si>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</si>
  <si>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</si>
  <si>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</si>
  <si>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</si>
  <si>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</si>
  <si>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</si>
  <si>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</si>
  <si>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</si>
  <si>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</si>
  <si>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</si>
  <si>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</si>
  <si>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</si>
  <si>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</si>
  <si>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</si>
  <si>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</si>
  <si>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</si>
  <si>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</si>
  <si>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</si>
  <si>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</si>
  <si>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</si>
  <si>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</si>
  <si>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</si>
  <si>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</si>
  <si>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</si>
  <si>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</si>
  <si>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</si>
  <si>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</si>
  <si>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</si>
  <si>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</si>
  <si>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</si>
  <si>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</si>
  <si>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</si>
  <si>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</si>
  <si>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</si>
  <si>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</si>
  <si>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</si>
  <si>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</si>
  <si>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</si>
  <si>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</si>
  <si>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</si>
  <si>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</si>
  <si>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</si>
  <si>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</si>
  <si>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</si>
  <si>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</si>
  <si>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</si>
  <si>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</si>
  <si>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</si>
  <si>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</si>
  <si>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</si>
  <si>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</si>
  <si>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</si>
  <si>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</si>
  <si>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</si>
  <si>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</si>
  <si>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</si>
  <si>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</si>
  <si>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</si>
  <si>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</si>
  <si>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</si>
  <si>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</si>
  <si>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</si>
  <si>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</si>
  <si>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</si>
  <si>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</si>
  <si>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</si>
  <si>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</si>
  <si>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</si>
  <si>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</si>
  <si>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</si>
  <si>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</si>
  <si>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</si>
  <si>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</si>
  <si>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</si>
  <si>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</si>
  <si>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</si>
  <si>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</si>
  <si>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</si>
  <si>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</si>
  <si>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</si>
  <si>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</si>
  <si>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</si>
  <si>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</si>
  <si>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</si>
  <si>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</si>
  <si>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</si>
  <si>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</si>
  <si>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</si>
  <si>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</si>
  <si>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</si>
  <si>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</si>
  <si>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</si>
  <si>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</si>
  <si>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</si>
  <si>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</si>
  <si>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</si>
  <si>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</si>
  <si>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</si>
  <si>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</si>
  <si>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</si>
  <si>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</si>
  <si>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</si>
  <si>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</si>
  <si>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</si>
  <si>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</si>
  <si>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</si>
  <si>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</si>
  <si>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</si>
  <si>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</si>
  <si>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</si>
  <si>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</si>
  <si>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</si>
  <si>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</si>
  <si>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</si>
  <si>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</si>
  <si>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</si>
  <si>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</si>
  <si>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</si>
  <si>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</si>
  <si>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</si>
  <si>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</si>
  <si>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</si>
  <si>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</si>
  <si>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</si>
  <si>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</si>
  <si>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</si>
  <si>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</si>
  <si>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</si>
  <si>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</si>
  <si>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</si>
  <si>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</si>
  <si>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</si>
  <si>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</si>
  <si>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</si>
  <si>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</si>
  <si>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</si>
  <si>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</si>
  <si>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</si>
  <si>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</si>
  <si>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</si>
  <si>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</si>
  <si>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</si>
  <si>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</si>
  <si>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</si>
  <si>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</si>
  <si>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</si>
  <si>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</si>
  <si>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</si>
  <si>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</si>
  <si>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</si>
  <si>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</si>
  <si>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</si>
  <si>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</si>
  <si>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</si>
  <si>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</si>
  <si>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</si>
  <si>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</si>
  <si>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</si>
  <si>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</si>
  <si>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</si>
  <si>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</si>
  <si>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</si>
  <si>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</si>
  <si>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</si>
  <si>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</si>
  <si>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</si>
  <si>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</si>
  <si>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</si>
  <si>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</si>
  <si>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</si>
  <si>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</si>
  <si>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</si>
  <si>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</si>
  <si>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</si>
  <si>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</si>
  <si>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</si>
  <si>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</si>
  <si>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</si>
  <si>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</si>
  <si>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</si>
  <si>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</si>
  <si>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</si>
  <si>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</si>
  <si>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</si>
  <si>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</si>
  <si>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</si>
  <si>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</si>
  <si>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</si>
  <si>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</si>
  <si>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</si>
  <si>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</si>
  <si>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</si>
  <si>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</si>
  <si>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</si>
  <si>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</si>
  <si>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</si>
  <si>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</si>
  <si>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</si>
  <si>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</si>
  <si>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</si>
  <si>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</si>
  <si>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</si>
  <si>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</si>
  <si>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</si>
  <si>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</si>
  <si>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</si>
  <si>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</si>
  <si>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</si>
  <si>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</si>
  <si>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</si>
  <si>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</si>
  <si>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</si>
  <si>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</si>
  <si>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</si>
  <si>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</si>
  <si>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</si>
  <si>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</si>
  <si>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</si>
  <si>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</si>
  <si>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</si>
  <si>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</si>
  <si>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</si>
  <si>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</si>
  <si>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</si>
  <si>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</si>
  <si>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</si>
  <si>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</si>
  <si>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</si>
  <si>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</si>
  <si>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</si>
  <si>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</si>
  <si>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</si>
  <si>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</si>
  <si>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</si>
  <si>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</si>
  <si>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</si>
  <si>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</si>
  <si>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</si>
  <si>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</si>
  <si>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</si>
  <si>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</si>
  <si>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</si>
  <si>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</si>
  <si>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</si>
  <si>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</si>
  <si>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</si>
  <si>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</si>
  <si>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</si>
  <si>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</si>
  <si>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</si>
  <si>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</si>
  <si>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</si>
  <si>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</si>
  <si>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</si>
  <si>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</si>
  <si>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</si>
  <si>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</si>
  <si>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</si>
  <si>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</si>
  <si>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</si>
  <si>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</si>
  <si>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</si>
  <si>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</si>
  <si>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</si>
  <si>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</si>
  <si>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</si>
  <si>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</si>
  <si>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</si>
  <si>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</si>
  <si>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</si>
  <si>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</si>
  <si>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</si>
  <si>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</si>
  <si>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</si>
  <si>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</si>
  <si>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</si>
  <si>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</si>
  <si>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</si>
  <si>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</si>
  <si>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</si>
  <si>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</si>
  <si>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</si>
  <si>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</si>
  <si>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</si>
  <si>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</si>
  <si>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</si>
  <si>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</si>
  <si>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</si>
  <si>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</si>
  <si>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</si>
  <si>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</si>
  <si>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</si>
  <si>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</si>
  <si>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</si>
  <si>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</si>
  <si>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</si>
  <si>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</si>
  <si>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</si>
  <si>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</si>
  <si>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</si>
  <si>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</si>
  <si>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</si>
  <si>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</si>
  <si>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</si>
  <si>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</si>
  <si>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</si>
  <si>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</si>
  <si>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</si>
  <si>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</si>
  <si>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</si>
  <si>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</si>
  <si>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</si>
  <si>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</si>
  <si>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</si>
  <si>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</si>
  <si>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</si>
  <si>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</si>
  <si>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</si>
  <si>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</si>
  <si>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</si>
  <si>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</si>
  <si>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</si>
  <si>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</si>
  <si>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</si>
  <si>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</si>
  <si>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</si>
  <si>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</si>
  <si>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</si>
  <si>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</si>
  <si>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</si>
  <si>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</si>
  <si>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</si>
  <si>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</si>
  <si>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</si>
  <si>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</si>
  <si>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</si>
  <si>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</si>
  <si>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</si>
  <si>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</si>
  <si>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</si>
  <si>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</si>
  <si>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</si>
  <si>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</si>
  <si>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</si>
  <si>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</si>
  <si>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</si>
  <si>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</si>
  <si>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</si>
  <si>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</si>
  <si>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</si>
  <si>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</si>
  <si>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</si>
  <si>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</si>
  <si>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</si>
  <si>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</si>
  <si>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</si>
  <si>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</si>
  <si>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</si>
  <si>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</si>
  <si>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</si>
  <si>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</si>
  <si>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</si>
  <si>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</si>
  <si>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</si>
  <si>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</si>
  <si>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</si>
  <si>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</si>
  <si>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</si>
  <si>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</si>
  <si>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</si>
  <si>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</si>
  <si>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</si>
  <si>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</si>
  <si>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</si>
  <si>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</si>
  <si>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</si>
  <si>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</si>
  <si>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</si>
  <si>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</si>
  <si>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</si>
  <si>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</si>
  <si>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</si>
  <si>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</si>
  <si>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</si>
  <si>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</si>
  <si>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</si>
  <si>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</si>
  <si>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</si>
  <si>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</si>
  <si>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</si>
  <si>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</si>
  <si>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</si>
  <si>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</si>
  <si>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</si>
  <si>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</si>
  <si>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</si>
  <si>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</si>
  <si>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</si>
  <si>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</si>
  <si>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</si>
  <si>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</si>
  <si>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</si>
  <si>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</si>
  <si>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</si>
  <si>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</si>
  <si>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</si>
  <si>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</si>
  <si>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</si>
  <si>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</si>
  <si>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</si>
  <si>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</si>
  <si>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</si>
  <si>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</si>
  <si>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</si>
  <si>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</si>
  <si>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</si>
  <si>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</si>
  <si>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</si>
  <si>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</si>
  <si>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</si>
  <si>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</si>
  <si>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</si>
  <si>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</si>
  <si>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</si>
  <si>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</si>
  <si>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</si>
  <si>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</si>
  <si>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</si>
  <si>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</si>
  <si>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</si>
  <si>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</si>
  <si>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</si>
  <si>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</si>
  <si>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</si>
  <si>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</si>
  <si>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</si>
  <si>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</si>
  <si>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</si>
  <si>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</si>
  <si>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</si>
  <si>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</si>
  <si>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</si>
  <si>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</si>
  <si>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</si>
  <si>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</si>
  <si>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</si>
  <si>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</si>
  <si>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</si>
  <si>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</si>
  <si>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</si>
  <si>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</si>
  <si>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</si>
  <si>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</si>
  <si>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</si>
  <si>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</si>
  <si>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</si>
  <si>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</si>
  <si>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</si>
  <si>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</si>
  <si>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</si>
  <si>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</si>
  <si>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</si>
  <si>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</si>
  <si>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</si>
  <si>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</si>
  <si>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</si>
  <si>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</si>
  <si>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</si>
  <si>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</si>
  <si>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</si>
  <si>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</si>
  <si>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</si>
  <si>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</si>
  <si>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</si>
  <si>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</si>
  <si>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</si>
  <si>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</si>
  <si>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</si>
  <si>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</si>
  <si>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</si>
  <si>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</si>
  <si>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</si>
  <si>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</si>
  <si>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</si>
  <si>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</si>
  <si>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</si>
  <si>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</si>
  <si>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</si>
  <si>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</si>
  <si>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</si>
  <si>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</si>
  <si>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</si>
  <si>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</si>
  <si>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</si>
  <si>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</si>
  <si>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</si>
  <si>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</si>
  <si>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</si>
  <si>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</si>
  <si>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</si>
  <si>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</si>
  <si>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</si>
  <si>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</si>
  <si>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</si>
  <si>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</si>
  <si>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</si>
  <si>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</si>
  <si>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</si>
  <si>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</si>
  <si>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</si>
  <si>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</si>
  <si>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</si>
  <si>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</si>
  <si>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</si>
  <si>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</si>
  <si>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</si>
  <si>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</si>
  <si>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</si>
  <si>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</si>
  <si>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</si>
  <si>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</si>
  <si>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</si>
  <si>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</si>
  <si>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</si>
  <si>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</si>
  <si>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</si>
  <si>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</si>
  <si>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</si>
  <si>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</si>
  <si>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</si>
  <si>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</si>
  <si>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</si>
  <si>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</si>
  <si>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</si>
  <si>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</si>
  <si>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</si>
  <si>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</si>
  <si>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</si>
  <si>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</si>
  <si>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</si>
  <si>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</si>
  <si>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</si>
  <si>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</si>
  <si>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</si>
  <si>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</si>
  <si>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</si>
  <si>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</si>
  <si>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</si>
  <si>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</si>
  <si>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</si>
  <si>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</si>
  <si>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</si>
  <si>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</si>
  <si>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</si>
  <si>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</si>
  <si>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</si>
  <si>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</si>
  <si>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</si>
  <si>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</si>
  <si>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</si>
  <si>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</si>
  <si>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</si>
  <si>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</si>
  <si>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</si>
  <si>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</si>
  <si>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</si>
  <si>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</si>
  <si>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</si>
  <si>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</si>
  <si>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</si>
  <si>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</si>
  <si>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</si>
  <si>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</si>
  <si>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</si>
  <si>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</si>
  <si>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</si>
  <si>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</si>
  <si>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</si>
  <si>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</si>
  <si>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</si>
  <si>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</si>
  <si>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</si>
  <si>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</si>
  <si>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</si>
  <si>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</si>
  <si>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</si>
  <si>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</si>
  <si>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</si>
  <si>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</si>
  <si>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</si>
  <si>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</si>
  <si>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</si>
  <si>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</si>
  <si>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</si>
  <si>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</si>
  <si>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</si>
  <si>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</si>
  <si>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</si>
  <si>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</si>
  <si>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</si>
  <si>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</si>
  <si>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</si>
  <si>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</si>
  <si>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</si>
  <si>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</si>
  <si>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</si>
  <si>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</si>
  <si>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</si>
  <si>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</si>
  <si>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</si>
  <si>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</si>
  <si>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</si>
  <si>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</si>
  <si>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</si>
  <si>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</si>
  <si>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</si>
  <si>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</si>
  <si>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</si>
  <si>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</si>
  <si>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</si>
  <si>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</si>
  <si>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</si>
  <si>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</si>
  <si>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</si>
  <si>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</si>
  <si>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</si>
  <si>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</si>
  <si>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</si>
  <si>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</si>
  <si>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</si>
  <si>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</si>
  <si>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</si>
  <si>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</si>
  <si>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</si>
  <si>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</si>
  <si>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</si>
  <si>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</si>
  <si>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</si>
  <si>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</si>
  <si>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</si>
  <si>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</si>
  <si>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</si>
  <si>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</si>
  <si>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</si>
  <si>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</si>
  <si>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</si>
  <si>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</si>
  <si>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</si>
  <si>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</si>
  <si>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</si>
  <si>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</si>
  <si>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</si>
  <si>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</si>
  <si>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</si>
  <si>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</si>
  <si>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</si>
  <si>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</si>
  <si>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</si>
  <si>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</si>
  <si>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</si>
  <si>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</si>
  <si>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</si>
  <si>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</si>
  <si>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</si>
  <si>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</si>
  <si>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</si>
  <si>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</si>
  <si>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</si>
  <si>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</si>
  <si>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</si>
  <si>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</si>
  <si>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</si>
  <si>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</si>
  <si>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</si>
  <si>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</si>
  <si>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</si>
  <si>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</si>
  <si>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</si>
  <si>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</si>
  <si>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</si>
  <si>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</si>
  <si>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</si>
  <si>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</si>
  <si>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</si>
  <si>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</si>
  <si>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</si>
  <si>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</si>
  <si>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</si>
  <si>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</si>
  <si>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</si>
  <si>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</si>
  <si>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</si>
  <si>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</si>
  <si>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</si>
  <si>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</si>
  <si>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</si>
  <si>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</si>
  <si>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</si>
  <si>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</si>
  <si>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</si>
  <si>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</si>
  <si>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</si>
  <si>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</si>
  <si>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</si>
  <si>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</si>
  <si>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</si>
  <si>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</si>
  <si>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</si>
  <si>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</si>
  <si>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</si>
  <si>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</si>
  <si>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</si>
  <si>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</si>
  <si>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</si>
  <si>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</si>
  <si>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</si>
  <si>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</si>
  <si>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</si>
  <si>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</si>
  <si>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</si>
  <si>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</si>
  <si>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</si>
  <si>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</si>
  <si>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</si>
  <si>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</si>
  <si>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</si>
  <si>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</si>
  <si>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</si>
  <si>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</si>
  <si>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</si>
  <si>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</si>
  <si>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</si>
  <si>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</si>
  <si>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</si>
  <si>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</si>
  <si>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</si>
  <si>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</si>
  <si>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</si>
  <si>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</si>
  <si>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</si>
  <si>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</si>
  <si>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</si>
  <si>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</si>
  <si>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</si>
  <si>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</si>
  <si>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</si>
  <si>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</si>
  <si>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</si>
  <si>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</si>
  <si>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</si>
  <si>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</si>
  <si>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</si>
  <si>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</si>
  <si>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</si>
  <si>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</si>
  <si>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</si>
  <si>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</si>
  <si>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</si>
  <si>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</si>
  <si>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</si>
  <si>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</si>
  <si>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</si>
  <si>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</si>
  <si>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</si>
  <si>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</si>
  <si>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</si>
  <si>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</si>
  <si>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</si>
  <si>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</si>
  <si>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</si>
  <si>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</si>
  <si>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</si>
  <si>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</si>
  <si>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</si>
  <si>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</si>
  <si>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</si>
  <si>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</si>
  <si>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</si>
  <si>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</si>
  <si>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</si>
  <si>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</si>
  <si>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</si>
  <si>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</si>
  <si>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</si>
  <si>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</si>
  <si>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</si>
  <si>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</si>
  <si>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</si>
  <si>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</si>
  <si>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</si>
  <si>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</si>
  <si>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</si>
  <si>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</si>
  <si>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</si>
  <si>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</si>
  <si>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</si>
  <si>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</si>
  <si>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</si>
  <si>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</si>
  <si>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</si>
  <si>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</si>
  <si>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</si>
  <si>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</si>
  <si>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</si>
  <si>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</si>
  <si>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</si>
  <si>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</si>
  <si>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</si>
  <si>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</si>
  <si>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</si>
  <si>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</si>
  <si>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</si>
  <si>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</si>
  <si>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</si>
  <si>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</si>
  <si>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</si>
  <si>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</si>
  <si>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</si>
  <si>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</si>
  <si>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</si>
  <si>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</si>
  <si>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</si>
  <si>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</si>
  <si>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</si>
  <si>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</si>
  <si>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</si>
  <si>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</si>
  <si>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</si>
  <si>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</si>
  <si>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</si>
  <si>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</si>
  <si>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</si>
  <si>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</si>
  <si>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</si>
  <si>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</si>
  <si>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</si>
  <si>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</si>
  <si>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</si>
  <si>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</si>
  <si>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</si>
  <si>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</si>
  <si>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</si>
  <si>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</si>
  <si>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</si>
  <si>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</si>
  <si>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</si>
  <si>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</si>
  <si>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</si>
  <si>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</si>
  <si>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</si>
  <si>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</si>
  <si>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</si>
  <si>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</si>
  <si>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</si>
  <si>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</si>
  <si>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</si>
  <si>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</si>
  <si>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</si>
  <si>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</si>
  <si>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</si>
  <si>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</si>
  <si>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</si>
  <si>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</si>
  <si>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</si>
  <si>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</si>
  <si>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</si>
  <si>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</si>
  <si>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</si>
  <si>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</si>
  <si>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</si>
  <si>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</si>
  <si>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</si>
  <si>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</si>
  <si>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</si>
  <si>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</si>
  <si>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</si>
  <si>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</si>
  <si>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</si>
  <si>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</si>
  <si>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</si>
  <si>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</si>
  <si>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</si>
  <si>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</si>
  <si>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</si>
  <si>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</si>
  <si>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</si>
  <si>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</si>
  <si>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</si>
  <si>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</si>
  <si>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</si>
  <si>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</si>
  <si>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</si>
  <si>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</si>
  <si>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</si>
  <si>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</si>
  <si>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</si>
  <si>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</si>
  <si>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</si>
  <si>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</si>
  <si>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</si>
  <si>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</si>
  <si>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</si>
  <si>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</si>
  <si>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</si>
  <si>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</si>
  <si>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</si>
  <si>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</si>
  <si>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</si>
  <si>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</si>
  <si>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</si>
  <si>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</si>
  <si>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</si>
  <si>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</si>
  <si>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</si>
  <si>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</si>
  <si>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</si>
  <si>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</si>
  <si>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</si>
  <si>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</si>
  <si>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</si>
  <si>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</si>
  <si>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</si>
  <si>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</si>
  <si>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</si>
  <si>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</si>
  <si>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</si>
  <si>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</si>
  <si>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</si>
  <si>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</si>
  <si>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</si>
  <si>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</si>
  <si>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</si>
  <si>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</si>
  <si>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</si>
  <si>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</si>
  <si>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</si>
  <si>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</si>
  <si>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</si>
  <si>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</si>
  <si>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</si>
  <si>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</si>
  <si>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</si>
  <si>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</si>
  <si>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</si>
  <si>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</si>
  <si>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</si>
  <si>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</si>
  <si>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</si>
  <si>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</si>
  <si>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</si>
  <si>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</si>
  <si>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</si>
  <si>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</si>
  <si>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</si>
  <si>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</si>
  <si>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</si>
  <si>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</si>
  <si>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</si>
  <si>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</si>
  <si>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</si>
  <si>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</si>
  <si>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</si>
  <si>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</si>
  <si>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</si>
  <si>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</si>
  <si>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</si>
  <si>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</si>
  <si>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</si>
  <si>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</si>
  <si>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</si>
  <si>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</si>
  <si>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</si>
  <si>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</si>
  <si>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</si>
  <si>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</si>
  <si>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</si>
  <si>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</si>
  <si>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</si>
  <si>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</si>
  <si>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</si>
  <si>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</si>
  <si>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</si>
  <si>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</si>
  <si>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</si>
  <si>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</si>
  <si>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</si>
  <si>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</si>
  <si>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</si>
  <si>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</si>
  <si>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</si>
  <si>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</si>
  <si>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</si>
  <si>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</si>
  <si>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</si>
  <si>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</si>
  <si>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</si>
  <si>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</si>
  <si>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</si>
  <si>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</si>
  <si>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</si>
  <si>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</si>
  <si>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</si>
  <si>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</si>
  <si>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</si>
  <si>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</si>
  <si>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</si>
  <si>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</si>
  <si>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</si>
  <si>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</si>
  <si>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</si>
  <si>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</si>
  <si>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</si>
  <si>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</si>
  <si>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</si>
  <si>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</si>
  <si>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</si>
  <si>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</si>
  <si>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</si>
  <si>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</si>
  <si>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</si>
  <si>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</si>
  <si>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</si>
  <si>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</si>
  <si>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</si>
  <si>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</si>
  <si>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</si>
  <si>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</si>
  <si>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</si>
  <si>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</si>
  <si>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</si>
  <si>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</si>
  <si>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</si>
  <si>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</si>
  <si>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</si>
  <si>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</si>
  <si>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</si>
  <si>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</si>
  <si>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</si>
  <si>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</si>
  <si>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</si>
  <si>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</si>
  <si>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</si>
  <si>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</si>
  <si>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</si>
  <si>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</si>
  <si>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</si>
  <si>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</si>
  <si>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</si>
  <si>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</si>
  <si>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</si>
  <si>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</si>
  <si>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</si>
  <si>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</si>
  <si>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</si>
  <si>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</si>
  <si>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</si>
  <si>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</si>
  <si>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</si>
  <si>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</si>
  <si>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</si>
  <si>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</si>
  <si>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</si>
  <si>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</si>
  <si>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</si>
  <si>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</si>
  <si>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</si>
  <si>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</si>
  <si>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</si>
  <si>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</si>
  <si>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</si>
  <si>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</si>
  <si>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</si>
  <si>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</si>
  <si>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</si>
  <si>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</si>
  <si>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</si>
  <si>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</si>
  <si>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</si>
  <si>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</si>
  <si>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</si>
  <si>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</si>
  <si>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</si>
  <si>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</si>
  <si>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</si>
  <si>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</si>
  <si>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</si>
  <si>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</si>
  <si>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</si>
  <si>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</si>
  <si>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</si>
  <si>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</si>
  <si>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</si>
  <si>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</si>
  <si>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</si>
  <si>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</si>
  <si>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</si>
  <si>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</si>
  <si>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</si>
  <si>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</si>
  <si>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</si>
  <si>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</si>
  <si>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</si>
  <si>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</si>
  <si>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</si>
  <si>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</si>
  <si>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</si>
  <si>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</si>
  <si>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</si>
  <si>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</si>
  <si>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</si>
  <si>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</si>
  <si>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</si>
  <si>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</si>
  <si>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</si>
  <si>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</si>
  <si>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</si>
  <si>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</si>
  <si>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</si>
  <si>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</si>
  <si>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</si>
  <si>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</si>
  <si>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</si>
  <si>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</si>
  <si>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</si>
  <si>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</si>
  <si>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</si>
  <si>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</si>
  <si>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</si>
  <si>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</si>
  <si>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</si>
  <si>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</si>
  <si>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</si>
  <si>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</si>
  <si>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</si>
  <si>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</si>
  <si>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</si>
  <si>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</si>
  <si>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</si>
  <si>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</si>
  <si>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</si>
  <si>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</si>
  <si>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</si>
  <si>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</si>
  <si>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</si>
  <si>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</si>
  <si>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</si>
  <si>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</si>
  <si>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</si>
  <si>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</si>
  <si>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</si>
  <si>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</si>
  <si>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</si>
  <si>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</si>
  <si>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</si>
  <si>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</si>
  <si>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</si>
  <si>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</si>
  <si>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</si>
  <si>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</si>
  <si>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</si>
  <si>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</si>
  <si>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</si>
  <si>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</si>
  <si>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</si>
  <si>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</si>
  <si>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</si>
  <si>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</si>
  <si>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</si>
  <si>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</si>
  <si>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</si>
  <si>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</si>
  <si>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</si>
  <si>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</si>
  <si>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</si>
  <si>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</si>
  <si>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</si>
  <si>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</si>
  <si>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</si>
  <si>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</si>
  <si>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</si>
  <si>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</si>
  <si>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</si>
  <si>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</si>
  <si>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</si>
  <si>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</si>
  <si>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</si>
  <si>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</si>
  <si>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</si>
  <si>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</si>
  <si>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</si>
  <si>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</si>
  <si>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</si>
  <si>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</si>
  <si>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</si>
  <si>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</si>
  <si>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</si>
  <si>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</si>
  <si>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</si>
  <si>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</si>
  <si>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</si>
  <si>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</si>
  <si>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</si>
  <si>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</si>
  <si>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</si>
  <si>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</si>
  <si>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</si>
  <si>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</si>
  <si>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</si>
  <si>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</si>
  <si>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</si>
  <si>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</si>
  <si>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</si>
  <si>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</si>
  <si>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</si>
  <si>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</si>
  <si>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</si>
  <si>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</si>
  <si>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</si>
  <si>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</si>
  <si>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</si>
  <si>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</si>
  <si>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</si>
  <si>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</si>
  <si>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</si>
  <si>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</si>
  <si>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</si>
  <si>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</si>
  <si>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</si>
  <si>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</si>
  <si>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</si>
  <si>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</si>
  <si>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</si>
  <si>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</si>
  <si>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</si>
  <si>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</si>
  <si>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</si>
  <si>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</si>
  <si>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</si>
  <si>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</si>
  <si>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</si>
  <si>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</si>
  <si>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</si>
  <si>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</si>
  <si>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</si>
  <si>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</si>
  <si>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</si>
  <si>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</si>
  <si>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</si>
  <si>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</si>
  <si>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</si>
  <si>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</si>
  <si>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</si>
  <si>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</si>
  <si>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</si>
  <si>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</si>
  <si>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</si>
  <si>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</si>
  <si>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</si>
  <si>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</si>
  <si>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</si>
  <si>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</si>
  <si>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</si>
  <si>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</si>
  <si>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</si>
  <si>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</si>
  <si>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</si>
  <si>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</si>
  <si>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</si>
  <si>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</si>
  <si>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</si>
  <si>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</si>
  <si>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</si>
  <si>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</si>
  <si>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</si>
  <si>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</si>
  <si>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</si>
  <si>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</si>
  <si>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</si>
  <si>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</si>
  <si>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</si>
  <si>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</si>
  <si>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</si>
  <si>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</si>
  <si>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</si>
  <si>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</si>
  <si>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</si>
  <si>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</si>
  <si>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</si>
  <si>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</si>
  <si>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</si>
  <si>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</si>
  <si>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</si>
  <si>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</si>
  <si>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</si>
  <si>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</si>
  <si>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</si>
  <si>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</si>
  <si>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</si>
  <si>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</si>
  <si>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</si>
  <si>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</si>
  <si>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</si>
  <si>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</si>
  <si>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</si>
  <si>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</si>
  <si>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</si>
  <si>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</si>
  <si>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</si>
  <si>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</si>
  <si>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</si>
  <si>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</si>
  <si>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</si>
  <si>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</si>
  <si>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</si>
  <si>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</si>
  <si>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</si>
  <si>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</si>
  <si>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</si>
  <si>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</si>
  <si>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</si>
  <si>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</si>
  <si>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</si>
  <si>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</si>
  <si>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</si>
  <si>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</si>
  <si>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</si>
  <si>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</si>
  <si>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</si>
  <si>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</si>
  <si>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</si>
  <si>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</si>
  <si>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</si>
  <si>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</si>
  <si>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</si>
  <si>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</si>
  <si>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</si>
  <si>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</si>
  <si>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</si>
  <si>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</si>
  <si>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</si>
  <si>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</si>
  <si>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</si>
  <si>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</si>
  <si>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</si>
  <si>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</si>
  <si>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</si>
  <si>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</si>
  <si>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</si>
  <si>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</si>
  <si>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</si>
  <si>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</si>
  <si>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</si>
  <si>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</si>
  <si>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</si>
  <si>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</si>
  <si>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</si>
  <si>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</si>
  <si>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</si>
  <si>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</si>
  <si>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</si>
  <si>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</si>
  <si>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</si>
  <si>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</si>
  <si>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</si>
  <si>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</si>
  <si>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</si>
  <si>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</si>
  <si>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</si>
  <si>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</si>
  <si>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</si>
  <si>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</si>
  <si>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</si>
  <si>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</si>
  <si>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</si>
  <si>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</si>
  <si>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</si>
  <si>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</si>
  <si>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</si>
  <si>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</si>
  <si>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</si>
  <si>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</si>
  <si>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</si>
  <si>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</si>
  <si>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</si>
  <si>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</si>
  <si>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</si>
  <si>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</si>
  <si>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</si>
  <si>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</si>
  <si>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</si>
  <si>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</si>
  <si>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</si>
  <si>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</si>
  <si>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</si>
  <si>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</si>
  <si>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</si>
  <si>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</si>
  <si>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</si>
  <si>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</si>
  <si>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</si>
  <si>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</si>
  <si>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</si>
  <si>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</si>
  <si>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</si>
  <si>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</si>
  <si>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</si>
  <si>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</si>
  <si>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</si>
  <si>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</si>
  <si>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</si>
  <si>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</si>
  <si>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</si>
  <si>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</si>
  <si>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</si>
  <si>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</si>
  <si>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</si>
  <si>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</si>
  <si>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</si>
  <si>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</si>
  <si>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</si>
  <si>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</si>
  <si>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</si>
  <si>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</si>
  <si>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</si>
  <si>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</si>
  <si>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</si>
  <si>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</si>
  <si>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</si>
  <si>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</si>
  <si>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</si>
  <si>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</si>
  <si>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</si>
  <si>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</si>
  <si>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</si>
  <si>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</si>
  <si>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</si>
  <si>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</si>
  <si>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</si>
  <si>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</si>
  <si>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</si>
  <si>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</si>
  <si>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</si>
  <si>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</si>
  <si>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</si>
  <si>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</si>
  <si>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</si>
  <si>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</si>
  <si>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</si>
  <si>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</si>
  <si>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</si>
  <si>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</si>
  <si>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</si>
  <si>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</si>
  <si>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</si>
  <si>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</si>
  <si>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</si>
  <si>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</si>
  <si>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</si>
  <si>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</si>
  <si>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</si>
  <si>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</si>
  <si>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</si>
  <si>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</si>
  <si>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</si>
  <si>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</si>
  <si>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</si>
  <si>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</si>
  <si>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</si>
  <si>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</si>
  <si>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</si>
  <si>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</si>
  <si>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</si>
  <si>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</si>
  <si>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</si>
  <si>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</si>
  <si>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</si>
  <si>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</si>
  <si>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</si>
  <si>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</si>
  <si>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</si>
  <si>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</si>
  <si>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</si>
  <si>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</si>
  <si>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</si>
  <si>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</si>
  <si>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</si>
  <si>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</si>
  <si>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</si>
  <si>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</si>
  <si>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</si>
  <si>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</si>
  <si>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</si>
  <si>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</si>
  <si>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</si>
  <si>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</si>
  <si>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</si>
  <si>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</si>
  <si>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</si>
  <si>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</si>
  <si>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</si>
  <si>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</si>
  <si>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</si>
  <si>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</si>
  <si>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</si>
  <si>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</si>
  <si>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</si>
  <si>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</si>
  <si>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</si>
  <si>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</si>
  <si>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</si>
  <si>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</si>
  <si>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</si>
  <si>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</si>
  <si>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</si>
  <si>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</si>
  <si>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</si>
  <si>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</si>
  <si>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</si>
  <si>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</si>
  <si>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</si>
  <si>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</si>
  <si>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</si>
  <si>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</si>
  <si>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</si>
  <si>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</si>
  <si>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</si>
  <si>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</si>
  <si>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</si>
  <si>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</si>
  <si>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</si>
  <si>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</si>
  <si>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</si>
  <si>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</si>
  <si>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</si>
  <si>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</si>
  <si>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</si>
  <si>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</si>
  <si>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</si>
  <si>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</si>
  <si>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</si>
  <si>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</si>
  <si>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</si>
  <si>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</si>
  <si>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</si>
  <si>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</si>
  <si>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</si>
  <si>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</si>
  <si>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</si>
  <si>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</si>
  <si>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</si>
  <si>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</si>
  <si>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</si>
  <si>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</si>
  <si>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</si>
  <si>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</si>
  <si>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</si>
  <si>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</si>
  <si>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</si>
  <si>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</si>
  <si>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</si>
  <si>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</si>
  <si>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</si>
  <si>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</si>
  <si>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</si>
  <si>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</si>
  <si>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</si>
  <si>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</si>
  <si>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</si>
  <si>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</si>
  <si>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</si>
  <si>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</si>
  <si>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</si>
  <si>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</si>
  <si>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</si>
  <si>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</si>
  <si>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</si>
  <si>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</si>
  <si>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</si>
  <si>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</si>
  <si>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</si>
  <si>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</si>
  <si>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</si>
  <si>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</si>
  <si>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</si>
  <si>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</si>
  <si>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</si>
  <si>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</si>
  <si>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</si>
  <si>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</si>
  <si>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</si>
  <si>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</si>
  <si>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</si>
  <si>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</si>
  <si>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</si>
  <si>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</si>
  <si>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</si>
  <si>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</si>
  <si>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</si>
  <si>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</si>
  <si>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</si>
  <si>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</si>
  <si>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</si>
  <si>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</si>
  <si>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</si>
  <si>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</si>
  <si>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</si>
  <si>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</si>
  <si>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</si>
  <si>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</si>
  <si>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</si>
  <si>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</si>
  <si>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</si>
  <si>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</si>
  <si>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</si>
  <si>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</si>
  <si>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</si>
  <si>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</si>
  <si>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</si>
  <si>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</si>
  <si>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</si>
  <si>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</si>
  <si>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</si>
  <si>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</si>
  <si>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</si>
  <si>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</si>
  <si>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</si>
  <si>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</si>
  <si>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</si>
  <si>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</si>
  <si>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</si>
  <si>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</si>
  <si>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</si>
  <si>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</si>
  <si>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</si>
  <si>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</si>
  <si>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</si>
  <si>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</si>
  <si>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</si>
  <si>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</si>
  <si>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</si>
  <si>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</si>
  <si>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</si>
  <si>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</si>
  <si>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</si>
  <si>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</si>
  <si>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</si>
  <si>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</si>
  <si>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</si>
  <si>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</si>
  <si>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</si>
  <si>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</si>
  <si>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</si>
  <si>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</si>
  <si>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</si>
  <si>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</si>
  <si>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</si>
  <si>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</si>
  <si>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</si>
  <si>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</si>
  <si>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</si>
  <si>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</si>
  <si>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</si>
  <si>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</si>
  <si>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</si>
  <si>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</si>
  <si>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</si>
  <si>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</si>
  <si>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</si>
  <si>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</si>
  <si>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</si>
  <si>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</si>
  <si>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</si>
  <si>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</si>
  <si>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</si>
  <si>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</si>
  <si>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</si>
  <si>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</si>
  <si>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</si>
  <si>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</si>
  <si>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</si>
  <si>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</si>
  <si>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</si>
  <si>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</si>
  <si>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</si>
  <si>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</si>
  <si>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</si>
  <si>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</si>
  <si>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</si>
  <si>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</si>
  <si>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</si>
  <si>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</si>
  <si>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</si>
  <si>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</si>
  <si>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</si>
  <si>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</si>
  <si>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</si>
  <si>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</si>
  <si>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</si>
  <si>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</si>
  <si>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</si>
  <si>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</si>
  <si>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</si>
  <si>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</si>
  <si>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</si>
  <si>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</si>
  <si>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</si>
  <si>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</si>
  <si>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</si>
  <si>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</si>
  <si>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</si>
  <si>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</si>
  <si>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</si>
  <si>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</si>
  <si>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</si>
  <si>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</si>
  <si>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</si>
  <si>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</si>
  <si>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</si>
  <si>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</si>
  <si>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</si>
  <si>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</si>
  <si>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</si>
  <si>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</si>
  <si>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</si>
  <si>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</si>
  <si>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</si>
  <si>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</si>
  <si>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</si>
  <si>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</si>
  <si>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</si>
  <si>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</si>
  <si>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</si>
  <si>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</si>
  <si>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</si>
  <si>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</si>
  <si>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</si>
  <si>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</si>
  <si>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</si>
  <si>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</si>
  <si>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</si>
  <si>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</si>
  <si>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</si>
  <si>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</si>
  <si>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</si>
  <si>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</si>
  <si>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</si>
  <si>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</si>
  <si>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</si>
  <si>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</si>
  <si>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</si>
  <si>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</si>
  <si>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</si>
  <si>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</si>
  <si>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</si>
  <si>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</si>
  <si>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</si>
  <si>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</si>
  <si>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</si>
  <si>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</si>
  <si>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</si>
  <si>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</si>
  <si>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</si>
  <si>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</si>
  <si>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</si>
  <si>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</si>
  <si>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</si>
  <si>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</si>
  <si>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</si>
  <si>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</si>
  <si>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</si>
  <si>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</si>
  <si>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</si>
  <si>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</si>
  <si>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</si>
  <si>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</si>
  <si>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</si>
  <si>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</si>
  <si>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</si>
  <si>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</si>
  <si>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</si>
  <si>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</si>
  <si>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</si>
  <si>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</si>
  <si>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</si>
  <si>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</si>
  <si>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</si>
  <si>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</si>
  <si>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</si>
  <si>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</si>
  <si>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</si>
  <si>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</si>
  <si>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</si>
  <si>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</si>
  <si>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</si>
  <si>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</si>
  <si>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</si>
  <si>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</si>
  <si>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</si>
  <si>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</si>
  <si>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</si>
  <si>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</si>
  <si>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</si>
  <si>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</si>
  <si>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</si>
  <si>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</si>
  <si>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</si>
  <si>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</si>
  <si>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</si>
  <si>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</si>
  <si>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</si>
  <si>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</si>
  <si>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</si>
  <si>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</si>
  <si>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</si>
  <si>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</si>
  <si>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</si>
  <si>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</si>
  <si>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</si>
  <si>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</si>
  <si>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</si>
  <si>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</si>
  <si>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</si>
  <si>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</si>
  <si>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</si>
  <si>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</si>
  <si>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</si>
  <si>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</si>
  <si>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</si>
  <si>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</si>
  <si>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</si>
  <si>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</si>
  <si>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</si>
  <si>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</si>
  <si>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</si>
  <si>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</si>
  <si>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</si>
  <si>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</si>
  <si>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</si>
  <si>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</si>
  <si>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</si>
  <si>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</si>
  <si>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</si>
  <si>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</si>
  <si>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</si>
  <si>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</si>
  <si>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</si>
  <si>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</si>
  <si>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</si>
  <si>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</si>
  <si>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</si>
  <si>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</si>
  <si>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</si>
  <si>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</si>
  <si>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</si>
  <si>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</si>
  <si>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</si>
  <si>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</si>
  <si>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</si>
  <si>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</si>
  <si>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</si>
  <si>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</si>
  <si>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</si>
  <si>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</si>
  <si>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</si>
  <si>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</si>
  <si>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</si>
  <si>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</si>
  <si>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</si>
  <si>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</si>
  <si>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</si>
  <si>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</si>
  <si>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</si>
  <si>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</si>
  <si>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</si>
  <si>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</si>
  <si>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</si>
  <si>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</si>
  <si>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</si>
  <si>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</si>
  <si>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</si>
  <si>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</si>
  <si>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</si>
  <si>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</si>
  <si>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</si>
  <si>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</si>
  <si>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</si>
  <si>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</si>
  <si>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</si>
  <si>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</si>
  <si>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</si>
  <si>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</si>
  <si>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</si>
  <si>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</si>
  <si>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</si>
  <si>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</si>
  <si>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</si>
  <si>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</si>
  <si>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</si>
  <si>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</si>
  <si>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</si>
  <si>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</si>
  <si>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</si>
  <si>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</si>
  <si>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</si>
  <si>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</si>
  <si>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</si>
  <si>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</si>
  <si>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</si>
  <si>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</si>
  <si>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</si>
  <si>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</si>
  <si>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</si>
  <si>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</si>
  <si>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</si>
  <si>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</si>
  <si>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</si>
  <si>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</si>
  <si>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</si>
  <si>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</si>
  <si>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</si>
  <si>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</si>
  <si>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</si>
  <si>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</si>
  <si>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</si>
  <si>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</si>
  <si>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</si>
  <si>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</si>
  <si>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</si>
  <si>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</si>
  <si>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</si>
  <si>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</si>
  <si>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</si>
  <si>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</si>
  <si>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</si>
  <si>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</si>
  <si>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</si>
  <si>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</si>
  <si>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</si>
  <si>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</si>
  <si>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</si>
  <si>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</si>
  <si>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</si>
  <si>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</si>
  <si>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</si>
  <si>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</si>
  <si>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</si>
  <si>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</si>
  <si>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</si>
  <si>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</si>
  <si>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</si>
  <si>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</si>
  <si>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</si>
  <si>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</si>
  <si>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</si>
  <si>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</si>
  <si>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</si>
  <si>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</si>
  <si>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</si>
  <si>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</si>
  <si>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</si>
  <si>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</si>
  <si>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</si>
  <si>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</si>
  <si>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</si>
  <si>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</si>
  <si>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</si>
  <si>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</si>
  <si>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</si>
  <si>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</si>
  <si>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</si>
  <si>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</si>
  <si>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</si>
  <si>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</si>
  <si>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</si>
  <si>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</si>
  <si>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</si>
  <si>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</si>
  <si>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</si>
  <si>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</si>
  <si>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</si>
  <si>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</si>
  <si>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</si>
  <si>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</si>
  <si>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</si>
  <si>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</si>
  <si>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</si>
  <si>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</si>
  <si>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</si>
  <si>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</si>
  <si>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</si>
  <si>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</si>
  <si>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</si>
  <si>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</si>
  <si>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</si>
  <si>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</si>
  <si>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</si>
  <si>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</si>
  <si>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</si>
  <si>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</si>
  <si>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</si>
  <si>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</si>
  <si>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</si>
  <si>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</si>
  <si>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</si>
  <si>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</si>
  <si>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</si>
  <si>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</si>
  <si>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</si>
  <si>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</si>
  <si>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</si>
  <si>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</si>
  <si>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</si>
  <si>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</si>
  <si>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</si>
  <si>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</si>
  <si>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</si>
  <si>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</si>
  <si>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</si>
  <si>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</si>
  <si>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</si>
  <si>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</si>
  <si>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</si>
  <si>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</si>
  <si>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</si>
  <si>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</si>
  <si>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</si>
  <si>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</si>
  <si>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</si>
  <si>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</si>
  <si>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</si>
  <si>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</si>
  <si>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</si>
  <si>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</si>
  <si>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</si>
  <si>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</si>
  <si>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</si>
  <si>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</si>
  <si>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</si>
  <si>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</si>
  <si>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</si>
  <si>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</si>
  <si>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</si>
  <si>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</si>
  <si>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</si>
  <si>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</si>
  <si>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</si>
  <si>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</si>
  <si>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</si>
  <si>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</si>
  <si>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</si>
  <si>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</si>
  <si>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</si>
  <si>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</si>
  <si>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</si>
  <si>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</si>
  <si>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</si>
  <si>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</si>
  <si>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</si>
  <si>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</si>
  <si>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</si>
  <si>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</si>
  <si>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</si>
  <si>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</si>
  <si>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</si>
  <si>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</si>
  <si>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</si>
  <si>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</si>
  <si>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</si>
  <si>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</si>
  <si>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</si>
  <si>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</si>
  <si>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</si>
  <si>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</si>
  <si>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</si>
  <si>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</si>
  <si>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</si>
  <si>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</si>
  <si>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</si>
  <si>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</si>
  <si>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</si>
  <si>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</si>
  <si>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</si>
  <si>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</si>
  <si>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</si>
  <si>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</si>
  <si>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</si>
  <si>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</si>
  <si>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</si>
  <si>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</si>
  <si>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</si>
  <si>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</si>
  <si>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</si>
  <si>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</si>
  <si>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</si>
  <si>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</si>
  <si>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</si>
  <si>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</si>
  <si>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</si>
  <si>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</si>
  <si>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</si>
  <si>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</si>
  <si>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</si>
  <si>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</si>
  <si>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</si>
  <si>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</si>
  <si>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</si>
  <si>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</si>
  <si>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</si>
  <si>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</si>
  <si>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</si>
  <si>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</si>
  <si>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</si>
  <si>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</si>
  <si>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</si>
  <si>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</si>
  <si>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</si>
  <si>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</si>
  <si>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</si>
  <si>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</si>
  <si>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</si>
  <si>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</si>
  <si>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</si>
  <si>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</si>
  <si>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</si>
  <si>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</si>
  <si>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</si>
  <si>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</si>
  <si>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</si>
  <si>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</si>
  <si>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</si>
  <si>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</si>
  <si>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</si>
  <si>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</si>
  <si>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</si>
  <si>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</si>
  <si>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</si>
  <si>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</si>
  <si>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</si>
  <si>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</si>
  <si>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</si>
  <si>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</si>
  <si>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</si>
  <si>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</si>
  <si>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</si>
  <si>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</si>
  <si>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</si>
  <si>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</si>
  <si>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</si>
  <si>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</si>
  <si>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</si>
  <si>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</si>
  <si>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</si>
  <si>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</si>
  <si>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</si>
  <si>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</si>
  <si>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</si>
  <si>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</si>
  <si>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</si>
  <si>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</si>
  <si>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</si>
  <si>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</si>
  <si>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</si>
  <si>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</si>
  <si>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</si>
  <si>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</si>
  <si>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</si>
  <si>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</si>
  <si>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</si>
  <si>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</si>
  <si>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</si>
  <si>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</si>
  <si>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</si>
  <si>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</si>
  <si>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</si>
  <si>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</si>
  <si>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</si>
  <si>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</si>
  <si>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</si>
  <si>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</si>
  <si>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</si>
  <si>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</si>
  <si>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</si>
  <si>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</si>
  <si>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</si>
  <si>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</si>
  <si>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</si>
  <si>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</si>
  <si>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</si>
  <si>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</si>
  <si>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</si>
  <si>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</si>
  <si>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</si>
  <si>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</si>
  <si>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</si>
  <si>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</si>
  <si>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</si>
  <si>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</si>
  <si>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</si>
  <si>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</si>
  <si>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</si>
  <si>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</si>
  <si>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</si>
  <si>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</si>
  <si>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</si>
  <si>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</si>
  <si>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</si>
  <si>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</si>
  <si>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</si>
  <si>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</si>
  <si>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</si>
  <si>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</si>
  <si>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</si>
  <si>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</si>
  <si>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</si>
  <si>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</si>
  <si>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</si>
  <si>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</si>
  <si>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</si>
  <si>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</si>
  <si>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</si>
  <si>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</si>
  <si>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</si>
  <si>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</si>
  <si>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</si>
  <si>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</si>
  <si>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</si>
  <si>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</si>
  <si>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</si>
  <si>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</si>
  <si>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</si>
  <si>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</si>
  <si>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</si>
  <si>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</si>
  <si>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</si>
  <si>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</si>
  <si>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</si>
  <si>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</si>
  <si>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</si>
  <si>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</si>
  <si>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</si>
  <si>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</si>
  <si>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</si>
  <si>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</si>
  <si>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</si>
  <si>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</si>
  <si>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</si>
  <si>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</si>
  <si>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</si>
  <si>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</si>
  <si>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</si>
  <si>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</si>
  <si>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</si>
  <si>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</si>
  <si>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</si>
  <si>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</si>
  <si>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</si>
  <si>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</si>
  <si>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</si>
  <si>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</si>
  <si>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</si>
  <si>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</si>
  <si>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</si>
  <si>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</si>
  <si>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</si>
  <si>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</si>
  <si>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</si>
  <si>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</si>
  <si>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</si>
  <si>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</si>
  <si>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</si>
  <si>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</si>
  <si>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</si>
  <si>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</si>
  <si>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</si>
  <si>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</si>
  <si>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</si>
  <si>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</si>
  <si>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</si>
  <si>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</si>
  <si>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</si>
  <si>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</si>
  <si>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</si>
  <si>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</si>
  <si>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</si>
  <si>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</si>
  <si>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</si>
  <si>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</si>
  <si>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</si>
  <si>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</si>
  <si>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</si>
  <si>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</si>
  <si>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</si>
  <si>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</si>
  <si>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</si>
  <si>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</si>
  <si>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</si>
  <si>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</si>
  <si>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</si>
  <si>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</si>
  <si>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</si>
  <si>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</si>
  <si>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</si>
  <si>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</si>
  <si>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</si>
  <si>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</si>
  <si>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</si>
  <si>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</si>
  <si>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</si>
  <si>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</si>
  <si>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</si>
  <si>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</si>
  <si>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</si>
  <si>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</si>
  <si>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</si>
  <si>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</si>
  <si>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</si>
  <si>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</si>
  <si>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</si>
  <si>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</si>
  <si>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</si>
  <si>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</si>
  <si>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</si>
  <si>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</si>
  <si>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</si>
  <si>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</si>
  <si>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</si>
  <si>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</si>
  <si>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</si>
  <si>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</si>
  <si>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</si>
  <si>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</si>
  <si>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</si>
  <si>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</si>
  <si>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</si>
  <si>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</si>
  <si>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</si>
  <si>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</si>
  <si>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</si>
  <si>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</si>
  <si>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</si>
  <si>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</si>
  <si>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</si>
  <si>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</si>
  <si>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</si>
  <si>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</si>
  <si>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</si>
  <si>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</si>
  <si>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</si>
  <si>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</si>
  <si>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</si>
  <si>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</si>
  <si>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</si>
  <si>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</si>
  <si>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</si>
  <si>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</si>
  <si>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</si>
  <si>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</si>
  <si>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</si>
  <si>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</si>
  <si>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</si>
  <si>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</si>
  <si>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</si>
  <si>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</si>
  <si>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</si>
  <si>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</si>
  <si>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</si>
  <si>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</si>
  <si>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</si>
  <si>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</si>
  <si>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</si>
  <si>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</si>
  <si>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</si>
  <si>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</si>
  <si>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</si>
  <si>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</si>
  <si>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</si>
  <si>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</si>
  <si>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</si>
  <si>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</si>
  <si>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</si>
  <si>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</si>
  <si>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</si>
  <si>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</si>
  <si>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</si>
  <si>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</si>
  <si>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</si>
  <si>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</si>
  <si>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</si>
  <si>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</si>
  <si>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</si>
  <si>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</si>
  <si>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</si>
  <si>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</si>
  <si>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</si>
  <si>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</si>
  <si>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</si>
  <si>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</si>
  <si>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</si>
  <si>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</si>
  <si>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</si>
  <si>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</si>
  <si>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</si>
  <si>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</si>
  <si>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</si>
  <si>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</si>
  <si>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</si>
  <si>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</si>
  <si>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</si>
  <si>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</si>
  <si>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</si>
  <si>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</si>
  <si>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</si>
  <si>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</si>
  <si>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</si>
  <si>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</si>
  <si>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</si>
  <si>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</si>
  <si>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</si>
  <si>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</si>
  <si>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</si>
  <si>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</si>
  <si>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</si>
  <si>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</si>
  <si>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</si>
  <si>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</si>
  <si>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</si>
  <si>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</si>
  <si>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</si>
  <si>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</si>
  <si>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</si>
  <si>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</si>
  <si>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</si>
  <si>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</si>
  <si>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</si>
  <si>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</si>
  <si>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</si>
  <si>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</si>
  <si>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</si>
  <si>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</si>
  <si>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</si>
  <si>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</si>
  <si>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</si>
  <si>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</si>
  <si>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</si>
  <si>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</si>
  <si>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</si>
  <si>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</si>
  <si>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</si>
  <si>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</si>
  <si>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</si>
  <si>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</si>
  <si>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</si>
  <si>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</si>
  <si>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</si>
  <si>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</si>
  <si>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</si>
  <si>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</si>
  <si>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</si>
  <si>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</si>
  <si>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</si>
  <si>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</si>
  <si>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</si>
  <si>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</si>
  <si>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</si>
  <si>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</si>
  <si>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</si>
  <si>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</si>
  <si>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</si>
  <si>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</si>
  <si>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</si>
  <si>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</si>
  <si>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</si>
  <si>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</si>
  <si>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</si>
  <si>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</si>
  <si>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</si>
  <si>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</si>
  <si>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</si>
  <si>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</si>
  <si>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</si>
  <si>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</si>
  <si>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</si>
  <si>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</si>
  <si>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</si>
  <si>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</si>
  <si>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</si>
  <si>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</si>
  <si>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</si>
  <si>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</si>
  <si>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</si>
  <si>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</si>
  <si>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</si>
  <si>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</si>
  <si>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</si>
  <si>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</si>
  <si>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</si>
  <si>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</si>
  <si>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</si>
  <si>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</si>
  <si>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</si>
  <si>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</si>
  <si>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</si>
  <si>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</si>
  <si>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</si>
  <si>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</si>
  <si>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</si>
  <si>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</si>
  <si>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</si>
  <si>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</si>
  <si>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</si>
  <si>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</si>
  <si>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</si>
  <si>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</si>
  <si>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</si>
  <si>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</si>
  <si>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</si>
  <si>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</si>
  <si>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</si>
  <si>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</si>
  <si>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</si>
  <si>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</si>
  <si>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</si>
  <si>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</si>
  <si>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</si>
  <si>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</si>
  <si>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</si>
  <si>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</si>
  <si>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</si>
  <si>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</si>
  <si>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</si>
  <si>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</si>
  <si>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</si>
  <si>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</si>
  <si>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</si>
  <si>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</si>
  <si>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</si>
  <si>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</si>
  <si>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</si>
  <si>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</si>
  <si>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</si>
  <si>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</si>
  <si>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</si>
  <si>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</si>
  <si>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</si>
  <si>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</si>
  <si>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</si>
  <si>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</si>
  <si>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</si>
  <si>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</si>
  <si>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</si>
  <si>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</si>
  <si>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</si>
  <si>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</si>
  <si>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</si>
  <si>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</si>
  <si>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</si>
  <si>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</si>
  <si>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</si>
  <si>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</si>
  <si>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</si>
  <si>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</si>
  <si>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</si>
  <si>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</si>
  <si>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</si>
  <si>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</si>
  <si>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</si>
  <si>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</si>
  <si>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</si>
  <si>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</si>
  <si>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</si>
  <si>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</si>
  <si>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</si>
  <si>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</si>
  <si>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</si>
  <si>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</si>
  <si>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</si>
  <si>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</si>
  <si>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</si>
  <si>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</si>
  <si>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</si>
  <si>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</si>
  <si>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</si>
  <si>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</si>
  <si>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</si>
  <si>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</si>
  <si>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</si>
  <si>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</si>
  <si>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</si>
  <si>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</si>
  <si>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</si>
  <si>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</si>
  <si>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</si>
  <si>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</si>
  <si>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</si>
  <si>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</si>
  <si>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</si>
  <si>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</si>
  <si>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</si>
  <si>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</si>
  <si>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</si>
  <si>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</si>
  <si>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</si>
  <si>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</si>
  <si>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</si>
  <si>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</si>
  <si>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</si>
  <si>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</si>
  <si>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</si>
  <si>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</si>
  <si>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</si>
  <si>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</si>
  <si>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</si>
  <si>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</si>
  <si>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</si>
  <si>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</si>
  <si>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</si>
  <si>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</si>
  <si>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</si>
  <si>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</si>
  <si>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</si>
  <si>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</si>
  <si>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</si>
  <si>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</si>
  <si>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</si>
  <si>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</si>
  <si>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</si>
  <si>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</si>
  <si>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</si>
  <si>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</si>
  <si>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</si>
  <si>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</si>
  <si>
    <t>较差</t>
  </si>
  <si>
    <t>金林家园（金隅金麟府）</t>
    <phoneticPr fontId="249" type="noConversion"/>
  </si>
  <si>
    <t>是</t>
    <phoneticPr fontId="249" type="noConversion"/>
  </si>
  <si>
    <t>精装标准</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</si>
</sst>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yyyy&quot;年&quot;m&quot;月&quot;;@"/>
    <numFmt numFmtId="178" formatCode="yyyy/m/d;@"/>
    <numFmt numFmtId="179" formatCode="[DBNum1][$-804]yyyy&quot;年&quot;m&quot;月&quot;d&quot;日&quot;;@"/>
    <numFmt numFmtId="180" formatCode="0_ "/>
    <numFmt numFmtId="181" formatCode="0.000%"/>
    <numFmt numFmtId="182" formatCode="0.00_);[Red]\(0.00\)"/>
    <numFmt numFmtId="183" formatCode="0_);[Red]\(0\)"/>
    <numFmt numFmtId="184" formatCode="0.00_ "/>
    <numFmt numFmtId="185" formatCode="0.0_);[Red]\(0.0\)"/>
    <numFmt numFmtId="186" formatCode="0.0%"/>
    <numFmt numFmtId="187" formatCode="[$-F800]dddd\,\ mmmm\ dd\,\ yyyy"/>
    <numFmt numFmtId="188" formatCode="0_ ;[Red]\-0\ "/>
    <numFmt numFmtId="189" formatCode="yyyy&quot;年&quot;m&quot;月&quot;d&quot;日&quot;;@"/>
    <numFmt numFmtId="190" formatCode="0.000_);[Red]\(0.000\)"/>
    <numFmt numFmtId="191" formatCode="0.000_ "/>
    <numFmt numFmtId="192" formatCode="0.0_ "/>
    <numFmt numFmtId="193" formatCode="0.0000_ "/>
    <numFmt numFmtId="194"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79"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0"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4"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5"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3"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9"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9"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9"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6"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7" fontId="30" fillId="2" borderId="56" xfId="0" applyNumberFormat="1" applyFont="1" applyFill="1" applyBorder="1" applyAlignment="1" applyProtection="1">
      <alignment horizontal="center" vertical="center" wrapText="1"/>
    </xf>
    <xf numFmtId="17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5"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5"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2" fontId="34" fillId="8" borderId="46" xfId="0" applyNumberFormat="1" applyFont="1" applyFill="1" applyBorder="1" applyAlignment="1" applyProtection="1">
      <alignment horizontal="left" vertical="center" wrapText="1"/>
    </xf>
    <xf numFmtId="185"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5" fontId="34" fillId="9"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5"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5"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5"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5"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5"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5" fontId="30" fillId="2" borderId="44" xfId="0" applyNumberFormat="1" applyFont="1" applyFill="1" applyBorder="1" applyAlignment="1" applyProtection="1">
      <alignment horizontal="center" vertical="center" wrapText="1"/>
    </xf>
    <xf numFmtId="185"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5" fontId="34" fillId="2" borderId="46" xfId="0" applyNumberFormat="1" applyFont="1" applyFill="1" applyBorder="1" applyAlignment="1" applyProtection="1">
      <alignment horizontal="center" vertical="center"/>
    </xf>
    <xf numFmtId="185"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5"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3"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192"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2"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0"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0"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4"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0" fontId="19" fillId="2" borderId="1" xfId="13" applyNumberFormat="1" applyFont="1" applyFill="1" applyBorder="1" applyAlignment="1" applyProtection="1">
      <alignment horizontal="center" vertical="center"/>
    </xf>
    <xf numFmtId="180"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0"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0" fontId="22" fillId="2" borderId="8" xfId="13" applyNumberFormat="1" applyFont="1" applyFill="1" applyBorder="1" applyAlignment="1" applyProtection="1">
      <alignment horizontal="center" vertical="center"/>
    </xf>
    <xf numFmtId="184"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3"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3"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3" fontId="22" fillId="2" borderId="66" xfId="15" applyNumberFormat="1" applyFont="1" applyFill="1" applyBorder="1" applyAlignment="1">
      <alignment horizontal="left" vertical="center"/>
    </xf>
    <xf numFmtId="183"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3"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6"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3" fontId="19" fillId="2" borderId="1" xfId="15" applyNumberFormat="1" applyFont="1" applyFill="1" applyBorder="1" applyAlignment="1">
      <alignment horizontal="left" vertical="center"/>
    </xf>
    <xf numFmtId="186"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2" fontId="19" fillId="0" borderId="1" xfId="15" applyNumberFormat="1" applyFont="1" applyFill="1" applyBorder="1" applyAlignment="1" applyProtection="1">
      <alignment horizontal="left" vertical="center"/>
      <protection locked="0"/>
    </xf>
    <xf numFmtId="186" fontId="19" fillId="2" borderId="11" xfId="15" applyNumberFormat="1" applyFont="1" applyFill="1" applyBorder="1" applyAlignment="1">
      <alignment horizontal="right" vertical="center"/>
    </xf>
    <xf numFmtId="180" fontId="19" fillId="0" borderId="1" xfId="15" applyNumberFormat="1" applyFont="1" applyFill="1" applyBorder="1" applyAlignment="1" applyProtection="1">
      <alignment horizontal="left" vertical="center"/>
      <protection locked="0"/>
    </xf>
    <xf numFmtId="183" fontId="19" fillId="0" borderId="1" xfId="15" applyNumberFormat="1" applyFont="1" applyFill="1" applyBorder="1" applyAlignment="1" applyProtection="1">
      <alignment horizontal="left" vertical="center"/>
      <protection locked="0"/>
    </xf>
    <xf numFmtId="186"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3" fontId="22" fillId="2" borderId="8" xfId="15" applyNumberFormat="1" applyFont="1" applyFill="1" applyBorder="1" applyAlignment="1">
      <alignment horizontal="left" vertical="center"/>
    </xf>
    <xf numFmtId="186"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3" fontId="22" fillId="2" borderId="89" xfId="15" applyNumberFormat="1" applyFont="1" applyFill="1" applyBorder="1" applyAlignment="1">
      <alignment horizontal="left" vertical="center"/>
    </xf>
    <xf numFmtId="186"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3" fontId="19" fillId="2" borderId="10" xfId="15" applyNumberFormat="1" applyFont="1" applyFill="1" applyBorder="1" applyAlignment="1">
      <alignment horizontal="left" vertical="center"/>
    </xf>
    <xf numFmtId="183" fontId="19" fillId="2" borderId="101" xfId="15" applyNumberFormat="1" applyFont="1" applyFill="1" applyBorder="1" applyAlignment="1">
      <alignment horizontal="left" vertical="center"/>
    </xf>
    <xf numFmtId="183"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3" fontId="19" fillId="2" borderId="10" xfId="15" applyNumberFormat="1" applyFont="1" applyFill="1" applyBorder="1" applyAlignment="1">
      <alignment horizontal="right" vertical="center"/>
    </xf>
    <xf numFmtId="186" fontId="19" fillId="0" borderId="101" xfId="15" applyNumberFormat="1" applyFont="1" applyFill="1" applyBorder="1" applyAlignment="1" applyProtection="1">
      <alignment horizontal="right" vertical="center"/>
      <protection locked="0"/>
    </xf>
    <xf numFmtId="186"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6"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19" fillId="2" borderId="101" xfId="15" applyNumberFormat="1" applyFont="1" applyFill="1" applyBorder="1" applyAlignment="1">
      <alignment horizontal="right" vertical="center"/>
    </xf>
    <xf numFmtId="186"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186" fontId="19" fillId="0" borderId="101" xfId="15" applyNumberFormat="1" applyFont="1" applyFill="1" applyBorder="1" applyAlignment="1" applyProtection="1">
      <alignment horizontal="left" vertical="center"/>
      <protection locked="0"/>
    </xf>
    <xf numFmtId="186" fontId="19" fillId="0" borderId="11" xfId="15" applyNumberFormat="1" applyFont="1" applyFill="1" applyBorder="1" applyAlignment="1" applyProtection="1">
      <alignment horizontal="left" vertical="center"/>
      <protection locked="0"/>
    </xf>
    <xf numFmtId="182"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2" fontId="19" fillId="0" borderId="42" xfId="15" applyNumberFormat="1" applyFont="1" applyFill="1" applyBorder="1" applyAlignment="1" applyProtection="1">
      <alignment horizontal="left" vertical="center"/>
      <protection locked="0"/>
    </xf>
    <xf numFmtId="182" fontId="19" fillId="0" borderId="102" xfId="15" applyNumberFormat="1" applyFont="1" applyFill="1" applyBorder="1" applyAlignment="1" applyProtection="1">
      <alignment horizontal="left" vertical="center"/>
      <protection locked="0"/>
    </xf>
    <xf numFmtId="182" fontId="19" fillId="0" borderId="97" xfId="15" applyNumberFormat="1" applyFont="1" applyFill="1" applyBorder="1" applyAlignment="1" applyProtection="1">
      <alignment horizontal="left" vertical="center"/>
      <protection locked="0"/>
    </xf>
    <xf numFmtId="182"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3"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3"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0"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0"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0" fontId="67" fillId="0" borderId="14" xfId="13" applyNumberFormat="1" applyFont="1" applyBorder="1" applyAlignment="1" applyProtection="1">
      <alignment horizontal="left" vertical="center"/>
      <protection locked="0" hidden="1"/>
    </xf>
    <xf numFmtId="180"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0" fontId="22" fillId="2" borderId="1" xfId="15" applyNumberFormat="1" applyFont="1" applyFill="1" applyBorder="1" applyAlignment="1" applyProtection="1">
      <alignment horizontal="left" vertical="center"/>
      <protection locked="0"/>
    </xf>
    <xf numFmtId="180"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6"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0"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0"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6"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6"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6"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6"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6"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6"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6"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6"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6"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6" fontId="23" fillId="0" borderId="14" xfId="0" applyNumberFormat="1" applyFont="1" applyFill="1" applyBorder="1" applyAlignment="1" applyProtection="1">
      <alignment horizontal="center" vertical="center"/>
      <protection locked="0"/>
    </xf>
    <xf numFmtId="186"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6"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6"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6"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4"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18" fillId="2" borderId="1" xfId="0" applyFont="1" applyFill="1" applyBorder="1" applyAlignment="1" applyProtection="1"/>
    <xf numFmtId="186"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8"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0"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0"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6"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3"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3" fontId="28" fillId="12" borderId="133" xfId="9" applyNumberFormat="1" applyFont="1" applyFill="1" applyBorder="1" applyAlignment="1" applyProtection="1">
      <alignment horizontal="left" vertical="center" wrapText="1"/>
    </xf>
    <xf numFmtId="183"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3" fontId="28" fillId="12" borderId="133" xfId="9" applyNumberFormat="1" applyFont="1" applyFill="1" applyBorder="1" applyAlignment="1">
      <alignment horizontal="left" vertical="center" wrapText="1"/>
    </xf>
    <xf numFmtId="183" fontId="28" fillId="12" borderId="134" xfId="9" applyNumberFormat="1" applyFont="1" applyFill="1" applyBorder="1" applyAlignment="1">
      <alignment horizontal="left" vertical="center" wrapText="1"/>
    </xf>
    <xf numFmtId="183" fontId="28" fillId="12" borderId="133" xfId="5" applyNumberFormat="1" applyFont="1" applyFill="1" applyBorder="1" applyAlignment="1">
      <alignment horizontal="left" vertical="center" wrapText="1"/>
    </xf>
    <xf numFmtId="183"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3" fontId="28" fillId="12" borderId="117" xfId="5" applyNumberFormat="1" applyFont="1" applyFill="1" applyBorder="1" applyAlignment="1">
      <alignment horizontal="left" vertical="center" wrapText="1"/>
    </xf>
    <xf numFmtId="183"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3"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3" fontId="28" fillId="12" borderId="139" xfId="5" applyNumberFormat="1" applyFont="1" applyFill="1" applyBorder="1" applyAlignment="1">
      <alignment horizontal="left" vertical="center" wrapText="1"/>
    </xf>
    <xf numFmtId="183" fontId="28" fillId="12" borderId="140" xfId="5" applyNumberFormat="1" applyFont="1" applyFill="1" applyBorder="1" applyAlignment="1">
      <alignment horizontal="left" vertical="center" wrapText="1"/>
    </xf>
    <xf numFmtId="183"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0" fontId="67" fillId="0" borderId="0" xfId="5" applyNumberFormat="1" applyFont="1" applyAlignment="1">
      <alignment horizontal="left" vertical="center"/>
    </xf>
    <xf numFmtId="186" fontId="67" fillId="0" borderId="115" xfId="5" applyNumberFormat="1" applyFont="1" applyBorder="1" applyAlignment="1">
      <alignment horizontal="left" vertical="center"/>
    </xf>
    <xf numFmtId="186"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3"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0"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1" fontId="67" fillId="0" borderId="0" xfId="5" applyNumberFormat="1" applyFont="1" applyAlignment="1">
      <alignment horizontal="left" vertical="center"/>
    </xf>
    <xf numFmtId="191" fontId="67" fillId="0" borderId="115" xfId="5" applyNumberFormat="1" applyFont="1" applyBorder="1" applyAlignment="1">
      <alignment horizontal="left" vertical="center"/>
    </xf>
    <xf numFmtId="191"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1" fontId="90" fillId="0" borderId="0" xfId="5" applyNumberFormat="1" applyFont="1" applyAlignment="1">
      <alignment horizontal="left" vertical="center"/>
    </xf>
    <xf numFmtId="191"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2" fontId="67" fillId="0" borderId="0" xfId="5" applyNumberFormat="1" applyFont="1" applyAlignment="1">
      <alignment horizontal="left" vertical="center"/>
    </xf>
    <xf numFmtId="192" fontId="67" fillId="0" borderId="17" xfId="5" applyNumberFormat="1" applyFont="1" applyBorder="1" applyAlignment="1">
      <alignment horizontal="left" vertical="center"/>
    </xf>
    <xf numFmtId="192"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9"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4" fontId="1" fillId="0" borderId="0" xfId="10" applyNumberFormat="1" applyProtection="1">
      <alignment vertical="center"/>
    </xf>
    <xf numFmtId="0" fontId="1" fillId="0" borderId="0" xfId="10" applyNumberFormat="1" applyProtection="1">
      <alignment vertical="center"/>
    </xf>
    <xf numFmtId="182"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4"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4"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4"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3"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3"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6"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3" fontId="19" fillId="2" borderId="35" xfId="11" applyNumberFormat="1" applyFont="1" applyFill="1" applyBorder="1" applyAlignment="1" applyProtection="1">
      <alignment horizontal="center" vertical="center" wrapText="1"/>
    </xf>
    <xf numFmtId="193"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3"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3"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0"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3"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4"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0" fontId="90" fillId="0" borderId="1" xfId="11" applyNumberFormat="1" applyFont="1" applyFill="1" applyBorder="1" applyAlignment="1" applyProtection="1">
      <alignment horizontal="center" vertical="center"/>
      <protection locked="0"/>
    </xf>
    <xf numFmtId="180" fontId="90" fillId="2" borderId="1" xfId="11" applyNumberFormat="1" applyFont="1" applyFill="1" applyBorder="1" applyAlignment="1" applyProtection="1">
      <alignment horizontal="center" vertical="center"/>
    </xf>
    <xf numFmtId="193"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3" fontId="125" fillId="2" borderId="1" xfId="11" applyNumberFormat="1" applyFont="1" applyFill="1" applyBorder="1" applyAlignment="1" applyProtection="1">
      <alignment horizontal="center" vertical="center"/>
    </xf>
    <xf numFmtId="193" fontId="125" fillId="2" borderId="1" xfId="11" applyNumberFormat="1" applyFont="1" applyFill="1" applyBorder="1" applyAlignment="1" applyProtection="1">
      <alignment horizontal="center" vertical="center"/>
    </xf>
    <xf numFmtId="180" fontId="139" fillId="2" borderId="1" xfId="11" applyNumberFormat="1" applyFont="1" applyFill="1" applyBorder="1" applyAlignment="1" applyProtection="1">
      <alignment horizontal="center" vertical="center"/>
    </xf>
    <xf numFmtId="193"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4"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4"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4"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0"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5" fontId="142" fillId="2" borderId="54" xfId="0" applyNumberFormat="1" applyFont="1" applyFill="1" applyBorder="1" applyAlignment="1" applyProtection="1">
      <alignment horizontal="center" vertical="center"/>
    </xf>
    <xf numFmtId="185"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5" fontId="34" fillId="7" borderId="11"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left" vertical="center" wrapText="1"/>
    </xf>
    <xf numFmtId="185"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9"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0"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xf>
    <xf numFmtId="186"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0" fontId="18" fillId="2" borderId="1" xfId="0" applyNumberFormat="1" applyFont="1" applyFill="1" applyBorder="1" applyAlignment="1" applyProtection="1">
      <alignment horizontal="center" vertical="center"/>
    </xf>
    <xf numFmtId="184" fontId="18" fillId="2" borderId="1" xfId="13" applyNumberFormat="1" applyFont="1" applyFill="1" applyBorder="1" applyAlignment="1" applyProtection="1">
      <alignment horizontal="center"/>
    </xf>
    <xf numFmtId="186"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0"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0"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0"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0"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3" fontId="147" fillId="2" borderId="1" xfId="0" applyNumberFormat="1" applyFont="1" applyFill="1" applyBorder="1" applyAlignment="1" applyProtection="1">
      <alignment horizontal="center" vertical="center"/>
    </xf>
    <xf numFmtId="180"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3" fontId="23" fillId="2" borderId="9" xfId="0" applyNumberFormat="1" applyFont="1" applyFill="1" applyBorder="1" applyAlignment="1" applyProtection="1">
      <alignment horizontal="center"/>
    </xf>
    <xf numFmtId="193" fontId="147" fillId="2" borderId="9" xfId="0" applyNumberFormat="1" applyFont="1" applyFill="1" applyBorder="1" applyAlignment="1" applyProtection="1">
      <alignment horizontal="center" vertical="center"/>
    </xf>
    <xf numFmtId="180"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3" fontId="23" fillId="2" borderId="106" xfId="0" applyNumberFormat="1" applyFont="1" applyFill="1" applyBorder="1" applyAlignment="1" applyProtection="1">
      <alignment horizontal="center"/>
    </xf>
    <xf numFmtId="193" fontId="147" fillId="2" borderId="106" xfId="0" applyNumberFormat="1" applyFont="1" applyFill="1" applyBorder="1" applyAlignment="1" applyProtection="1">
      <alignment horizontal="center" vertical="center"/>
    </xf>
    <xf numFmtId="180"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3"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3"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3" fontId="18" fillId="3" borderId="14" xfId="0" applyNumberFormat="1"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6"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0"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0" fontId="18" fillId="2" borderId="12" xfId="13" applyNumberFormat="1" applyFont="1" applyFill="1" applyBorder="1" applyAlignment="1" applyProtection="1">
      <alignment vertical="center"/>
    </xf>
    <xf numFmtId="180"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0"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0"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3" fontId="18" fillId="2" borderId="11" xfId="0" applyNumberFormat="1" applyFont="1" applyFill="1" applyBorder="1" applyAlignment="1" applyProtection="1">
      <alignment horizontal="center" vertical="center"/>
    </xf>
    <xf numFmtId="193"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0"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3"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8" fillId="2" borderId="8" xfId="0" applyNumberFormat="1" applyFont="1" applyFill="1" applyBorder="1" applyAlignment="1" applyProtection="1">
      <alignment horizontal="center" vertical="center" wrapText="1"/>
    </xf>
    <xf numFmtId="193" fontId="18" fillId="2" borderId="8" xfId="0" applyNumberFormat="1" applyFont="1" applyFill="1" applyBorder="1" applyAlignment="1" applyProtection="1">
      <alignment horizontal="center" vertical="center"/>
    </xf>
    <xf numFmtId="180"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6"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0"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0"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7"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6"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6"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4"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4"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4"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1"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80" fontId="146" fillId="2" borderId="6" xfId="13" applyNumberFormat="1" applyFont="1" applyFill="1" applyBorder="1" applyAlignment="1" applyProtection="1">
      <alignment horizontal="left" vertical="center"/>
    </xf>
    <xf numFmtId="180" fontId="44" fillId="2" borderId="1" xfId="13" applyNumberFormat="1" applyFont="1" applyFill="1" applyBorder="1" applyAlignment="1" applyProtection="1">
      <alignment vertical="center"/>
    </xf>
    <xf numFmtId="180" fontId="30" fillId="5" borderId="10" xfId="13" applyNumberFormat="1" applyFont="1" applyFill="1" applyBorder="1" applyAlignment="1" applyProtection="1">
      <alignment vertical="center"/>
      <protection locked="0"/>
    </xf>
    <xf numFmtId="180" fontId="30" fillId="2" borderId="6" xfId="13"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4" fontId="34" fillId="2" borderId="1" xfId="13" applyNumberFormat="1" applyFont="1" applyFill="1" applyBorder="1" applyAlignment="1" applyProtection="1">
      <alignment horizontal="center" vertical="center"/>
    </xf>
    <xf numFmtId="191" fontId="34" fillId="2" borderId="1" xfId="13" applyNumberFormat="1" applyFont="1" applyFill="1" applyBorder="1" applyAlignment="1" applyProtection="1">
      <alignment horizontal="center" vertical="center"/>
    </xf>
    <xf numFmtId="186" fontId="67"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80" fontId="30" fillId="2" borderId="6" xfId="13" applyNumberFormat="1" applyFont="1" applyFill="1" applyBorder="1" applyAlignment="1" applyProtection="1">
      <alignment horizontal="left" vertical="center" wrapText="1"/>
    </xf>
    <xf numFmtId="180" fontId="30" fillId="2" borderId="1" xfId="13" applyNumberFormat="1" applyFont="1" applyFill="1" applyBorder="1" applyAlignment="1" applyProtection="1">
      <alignment vertical="center"/>
    </xf>
    <xf numFmtId="180" fontId="30" fillId="2" borderId="10" xfId="13"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80"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6"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4"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4" fontId="30" fillId="9" borderId="0" xfId="0" applyNumberFormat="1" applyFont="1" applyFill="1" applyAlignment="1" applyProtection="1">
      <alignment vertical="center"/>
      <protection locked="0"/>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4"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6"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8" fillId="0" borderId="14" xfId="0" applyNumberFormat="1" applyFont="1" applyFill="1" applyBorder="1" applyAlignment="1" applyProtection="1">
      <alignment horizontal="center" vertical="center"/>
      <protection locked="0"/>
    </xf>
    <xf numFmtId="184" fontId="152" fillId="9" borderId="0" xfId="0" applyNumberFormat="1" applyFont="1" applyFill="1" applyAlignment="1" applyProtection="1">
      <alignment vertical="center"/>
    </xf>
    <xf numFmtId="186" fontId="18" fillId="0" borderId="15" xfId="0" applyNumberFormat="1" applyFont="1" applyFill="1" applyBorder="1" applyAlignment="1" applyProtection="1">
      <alignment horizontal="center" vertical="center"/>
      <protection locked="0"/>
    </xf>
    <xf numFmtId="186"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2"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0"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4"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4" fontId="30" fillId="2" borderId="6" xfId="13" applyNumberFormat="1" applyFont="1" applyFill="1" applyBorder="1" applyAlignment="1" applyProtection="1">
      <alignment horizontal="center" vertical="center"/>
    </xf>
    <xf numFmtId="180"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0"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0"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13" applyNumberFormat="1" applyFont="1" applyFill="1" applyBorder="1" applyAlignment="1" applyProtection="1">
      <alignment horizontal="center" vertical="center"/>
    </xf>
    <xf numFmtId="184"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0" fontId="26"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0"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4" fontId="41" fillId="5" borderId="14" xfId="0" applyNumberFormat="1" applyFont="1" applyFill="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4" fontId="18"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wrapText="1"/>
    </xf>
    <xf numFmtId="184" fontId="20" fillId="2" borderId="0" xfId="0" applyNumberFormat="1" applyFont="1" applyFill="1" applyBorder="1" applyAlignment="1" applyProtection="1">
      <alignment horizontal="center" vertical="center" wrapText="1"/>
    </xf>
    <xf numFmtId="182" fontId="18" fillId="2" borderId="1" xfId="0" applyNumberFormat="1" applyFont="1" applyFill="1" applyBorder="1" applyAlignment="1" applyProtection="1">
      <alignment horizontal="center" vertical="center" wrapText="1"/>
    </xf>
    <xf numFmtId="182" fontId="18" fillId="2" borderId="12" xfId="0" applyNumberFormat="1" applyFont="1" applyFill="1" applyBorder="1" applyAlignment="1" applyProtection="1">
      <alignment horizontal="center" vertical="center" wrapText="1"/>
    </xf>
    <xf numFmtId="182" fontId="18" fillId="2" borderId="11" xfId="0" applyNumberFormat="1" applyFont="1" applyFill="1" applyBorder="1" applyAlignment="1" applyProtection="1">
      <alignment horizontal="center" vertical="center" wrapText="1"/>
    </xf>
    <xf numFmtId="182"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4" fontId="18" fillId="2" borderId="10" xfId="0" applyNumberFormat="1"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xf>
    <xf numFmtId="184"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4"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4"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8" fillId="2"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4" fontId="18" fillId="2"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2" fontId="18" fillId="2" borderId="5" xfId="0" applyNumberFormat="1" applyFont="1" applyFill="1" applyBorder="1" applyAlignment="1" applyProtection="1">
      <alignment horizontal="center" vertical="center" wrapText="1"/>
    </xf>
    <xf numFmtId="182" fontId="18" fillId="2" borderId="6" xfId="0" applyNumberFormat="1" applyFont="1" applyFill="1" applyBorder="1" applyAlignment="1" applyProtection="1">
      <alignment horizontal="center" vertical="center" wrapText="1"/>
    </xf>
    <xf numFmtId="184"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xf>
    <xf numFmtId="182" fontId="18" fillId="2" borderId="13" xfId="0" applyNumberFormat="1" applyFont="1" applyFill="1" applyBorder="1" applyAlignment="1" applyProtection="1">
      <alignment horizontal="center" vertical="center" wrapText="1"/>
    </xf>
    <xf numFmtId="182"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13" applyNumberFormat="1" applyFont="1" applyFill="1" applyBorder="1" applyAlignment="1" applyProtection="1">
      <alignment horizontal="center" vertical="center"/>
      <protection locked="0"/>
    </xf>
    <xf numFmtId="184" fontId="181" fillId="2" borderId="9" xfId="0" applyNumberFormat="1" applyFont="1" applyFill="1" applyBorder="1" applyAlignment="1" applyProtection="1">
      <alignment horizontal="center" vertical="center" wrapText="1"/>
    </xf>
    <xf numFmtId="184"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9"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9"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2"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7"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89"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7"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89"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89"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7"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9"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9"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7"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0"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4"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76" fillId="9" borderId="0" xfId="0" applyFont="1" applyFill="1" applyAlignment="1" applyProtection="1">
      <alignment horizontal="center" vertical="center"/>
      <protection locked="0"/>
    </xf>
    <xf numFmtId="0" fontId="205" fillId="0" borderId="0" xfId="16"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84" fontId="181" fillId="6" borderId="10" xfId="0" applyNumberFormat="1" applyFont="1" applyFill="1" applyBorder="1" applyAlignment="1" applyProtection="1">
      <alignment horizontal="center" vertical="center" wrapText="1"/>
      <protection locked="0"/>
    </xf>
    <xf numFmtId="184" fontId="181" fillId="6" borderId="12" xfId="0" applyNumberFormat="1" applyFont="1" applyFill="1" applyBorder="1" applyAlignment="1" applyProtection="1">
      <alignment horizontal="center" vertical="center" wrapText="1"/>
      <protection locked="0"/>
    </xf>
    <xf numFmtId="184"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51" fillId="0" borderId="10" xfId="0" applyFont="1" applyBorder="1" applyAlignment="1">
      <alignment horizontal="left" vertical="center"/>
    </xf>
    <xf numFmtId="0" fontId="251" fillId="0" borderId="11" xfId="0" applyFont="1" applyBorder="1" applyAlignment="1">
      <alignment horizontal="left" vertical="center"/>
    </xf>
    <xf numFmtId="0" fontId="251" fillId="0" borderId="12" xfId="0" applyFont="1" applyBorder="1" applyAlignment="1">
      <alignment horizontal="left" vertical="center"/>
    </xf>
    <xf numFmtId="0" fontId="251" fillId="0" borderId="1" xfId="0" applyFont="1" applyBorder="1" applyAlignment="1">
      <alignment horizontal="left"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10" fontId="75"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0" fontId="114" fillId="2" borderId="1" xfId="0" applyFont="1" applyFill="1" applyBorder="1" applyAlignment="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83"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3" fontId="39" fillId="8" borderId="1" xfId="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1"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2" fillId="12" borderId="138" xfId="5" applyFont="1" applyFill="1" applyBorder="1" applyAlignment="1" applyProtection="1">
      <alignment horizontal="left" vertical="center" wrapText="1"/>
    </xf>
    <xf numFmtId="0" fontId="102" fillId="12" borderId="11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5" applyFont="1" applyAlignment="1">
      <alignment horizontal="left" vertical="center"/>
    </xf>
    <xf numFmtId="0" fontId="28" fillId="0" borderId="0" xfId="5" applyFont="1" applyAlignment="1">
      <alignment horizontal="left" vertical="center"/>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99" fillId="0" borderId="0" xfId="5" applyFont="1" applyAlignment="1">
      <alignment horizontal="left" vertical="center"/>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0</xdr:colOff>
      <xdr:row>83</xdr:row>
      <xdr:rowOff>0</xdr:rowOff>
    </xdr:from>
    <xdr:to>
      <xdr:col>39</xdr:col>
      <xdr:colOff>451250</xdr:colOff>
      <xdr:row>86</xdr:row>
      <xdr:rowOff>15810</xdr:rowOff>
    </xdr:to>
    <xdr:pic>
      <xdr:nvPicPr>
        <xdr:cNvPr id="5" name="图片 4"/>
        <xdr:cNvPicPr>
          <a:picLocks noChangeAspect="1"/>
        </xdr:cNvPicPr>
      </xdr:nvPicPr>
      <xdr:blipFill>
        <a:blip xmlns:r="http://schemas.openxmlformats.org/officeDocument/2006/relationships" r:embed="rId15"/>
        <a:stretch>
          <a:fillRect/>
        </a:stretch>
      </xdr:blipFill>
      <xdr:spPr>
        <a:xfrm>
          <a:off x="22013333" y="14054667"/>
          <a:ext cx="5266667" cy="523810"/>
        </a:xfrm>
        <a:prstGeom prst="rect">
          <a:avLst/>
        </a:prstGeom>
      </xdr:spPr>
    </xdr:pic>
    <xdr:clientData/>
  </xdr:twoCellAnchor>
  <xdr:twoCellAnchor editAs="oneCell">
    <xdr:from>
      <xdr:col>31</xdr:col>
      <xdr:colOff>486833</xdr:colOff>
      <xdr:row>87</xdr:row>
      <xdr:rowOff>10583</xdr:rowOff>
    </xdr:from>
    <xdr:to>
      <xdr:col>46</xdr:col>
      <xdr:colOff>577608</xdr:colOff>
      <xdr:row>120</xdr:row>
      <xdr:rowOff>165441</xdr:rowOff>
    </xdr:to>
    <xdr:pic>
      <xdr:nvPicPr>
        <xdr:cNvPr id="6" name="图片 5"/>
        <xdr:cNvPicPr>
          <a:picLocks noChangeAspect="1"/>
        </xdr:cNvPicPr>
      </xdr:nvPicPr>
      <xdr:blipFill>
        <a:blip xmlns:r="http://schemas.openxmlformats.org/officeDocument/2006/relationships" r:embed="rId16"/>
        <a:stretch>
          <a:fillRect/>
        </a:stretch>
      </xdr:blipFill>
      <xdr:spPr>
        <a:xfrm>
          <a:off x="21812250" y="14742583"/>
          <a:ext cx="10409525"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2" customWidth="1"/>
    <col min="2" max="2" width="78.25" style="3603" customWidth="1"/>
    <col min="3" max="18" width="9" style="3604"/>
    <col min="19" max="19" width="17.875" style="3604" customWidth="1"/>
    <col min="20" max="51" width="9" style="3604"/>
    <col min="52" max="52" width="13.25" style="3604" customWidth="1"/>
    <col min="53" max="53" width="13.5" style="3604" customWidth="1"/>
    <col min="54" max="54" width="11.625" style="3604" customWidth="1"/>
    <col min="55" max="55" width="13.5" style="3604" customWidth="1"/>
    <col min="56" max="16384" width="9" style="3604"/>
  </cols>
  <sheetData>
    <row r="1" spans="1:55" s="3596" customFormat="1" ht="15.75">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根据《国有土地使用证》[]，估价对象（分摊）出让国有建设用地使用权面积为55236.63平方米。根据《建设工程规划许可证》[]、《出让合同》[]，估价对象规划建筑面积为189958平方米。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55236.63</v>
      </c>
    </row>
    <row r="44" spans="1:2">
      <c r="A44" s="3609" t="s">
        <v>44</v>
      </c>
      <c r="B44" s="3611" t="str">
        <f>'预评函-2'!O3</f>
        <v>规划建筑面积/㎡</v>
      </c>
    </row>
    <row r="45" spans="1:2">
      <c r="A45" s="3609" t="s">
        <v>45</v>
      </c>
      <c r="B45" s="3611">
        <f>'预评函-2'!O5</f>
        <v>189958</v>
      </c>
    </row>
    <row r="46" spans="1:2">
      <c r="A46" s="3609" t="s">
        <v>46</v>
      </c>
      <c r="B46" s="3611">
        <f ca="1">'预评函-2'!P5</f>
        <v>34026</v>
      </c>
    </row>
    <row r="47" spans="1:2">
      <c r="A47" s="3609" t="s">
        <v>47</v>
      </c>
      <c r="B47" s="3611">
        <f ca="1">'预评函-2'!Q5</f>
        <v>9894</v>
      </c>
    </row>
    <row r="48" spans="1:2">
      <c r="A48" s="3609" t="s">
        <v>48</v>
      </c>
      <c r="B48" s="3611">
        <f ca="1">'预评函-2'!R5</f>
        <v>187948</v>
      </c>
    </row>
    <row r="49" spans="1:2">
      <c r="A49" s="3609" t="s">
        <v>49</v>
      </c>
      <c r="B49" s="3611" t="str">
        <f>'预评函-2'!A6</f>
        <v>抵押价格</v>
      </c>
    </row>
    <row r="50" spans="1:2">
      <c r="A50" s="3609" t="s">
        <v>50</v>
      </c>
      <c r="B50" s="3611">
        <f ca="1">'预评函-2'!R6</f>
        <v>187948</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178009</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1" sqref="B41"/>
    </sheetView>
  </sheetViews>
  <sheetFormatPr defaultColWidth="15.25" defaultRowHeight="13.5"/>
  <cols>
    <col min="1" max="16384" width="15.2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258" customWidth="1"/>
    <col min="2" max="2" width="11.375" style="3258" customWidth="1"/>
    <col min="3" max="8" width="13.125" style="3258" customWidth="1"/>
    <col min="9" max="9" width="13.12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714" t="str">
        <f>IF(B10="北京市","北京市",C10)&amp;F10&amp;A17&amp;"国有建设用地使用权"&amp;B9&amp;"预评估"</f>
        <v>北京市出让国有建设用地使用权抵押价格预评估</v>
      </c>
      <c r="C1" s="3715"/>
      <c r="D1" s="3715"/>
      <c r="E1" s="3715"/>
      <c r="F1" s="3715"/>
      <c r="G1" s="3715"/>
      <c r="H1" s="3715"/>
      <c r="I1" s="3716"/>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6.25">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723"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724"/>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717"/>
      <c r="C12" s="3718"/>
      <c r="D12" s="3719"/>
      <c r="E12" s="3306" t="s">
        <v>430</v>
      </c>
      <c r="F12" s="3720" t="s">
        <v>431</v>
      </c>
      <c r="G12" s="3721"/>
      <c r="H12" s="3721"/>
      <c r="I12" s="3722"/>
      <c r="J12" s="3267"/>
      <c r="K12" s="3395"/>
      <c r="L12" s="3391"/>
      <c r="M12" s="3391"/>
      <c r="N12" s="3392"/>
      <c r="O12" s="3393"/>
      <c r="P12" s="3392"/>
      <c r="Q12" s="3392"/>
      <c r="R12" s="3392"/>
      <c r="S12" s="3392"/>
      <c r="T12" s="3392"/>
      <c r="U12" s="3392"/>
    </row>
    <row r="13" spans="1:21">
      <c r="A13" s="3307" t="s">
        <v>432</v>
      </c>
      <c r="B13" s="3717"/>
      <c r="C13" s="3718"/>
      <c r="D13" s="3719"/>
      <c r="E13" s="3306" t="s">
        <v>430</v>
      </c>
      <c r="F13" s="3720" t="s">
        <v>433</v>
      </c>
      <c r="G13" s="3721"/>
      <c r="H13" s="3721"/>
      <c r="I13" s="3722"/>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28.5">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车库2073年5月14日</v>
      </c>
      <c r="P16" s="3306" t="str">
        <f>IF(OR(O16="",Q16=""),"","、")</f>
        <v>、</v>
      </c>
      <c r="Q16" s="3400" t="str">
        <f>IF(G17="","",G16&amp;TEXT(G17,"yyyy年m月d日;;"))</f>
        <v>仓储2073年5月14日</v>
      </c>
      <c r="R16" s="3306" t="str">
        <f>IF(OR(Q16="",S16=""),"","、")</f>
        <v/>
      </c>
      <c r="S16" s="3400" t="str">
        <f>IF(H17="","",H16&amp;TEXT(H17,"yyyy年m月d日;;"))</f>
        <v/>
      </c>
      <c r="T16" s="3306" t="str">
        <f>IF(OR(S16="",U16=""),"","、")</f>
        <v/>
      </c>
      <c r="U16" s="3400" t="str">
        <f>IF(I17="","",I16&amp;TEXT(I17,"yyyy年m月d日;;"))</f>
        <v/>
      </c>
    </row>
    <row r="17" spans="1:21">
      <c r="A17" s="3317" t="s">
        <v>440</v>
      </c>
      <c r="B17" s="3318" t="s">
        <v>358</v>
      </c>
      <c r="C17" s="3319">
        <v>70628</v>
      </c>
      <c r="D17" s="3319"/>
      <c r="E17" s="3319"/>
      <c r="F17" s="3319">
        <v>63323</v>
      </c>
      <c r="G17" s="3319">
        <f>F17</f>
        <v>63323</v>
      </c>
      <c r="H17" s="3319"/>
      <c r="I17" s="3319"/>
      <c r="J17" s="3267"/>
      <c r="K17" s="3401" t="str">
        <f>CONCATENATE(K16,L16,M16,N16,O16,P16,Q16,R16,S16,T16,,U16)</f>
        <v>车库2073年5月14日、仓储2073年5月14日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49.98</v>
      </c>
      <c r="G19" s="3323">
        <f>IF(A17="出让",IF(G17="","",ROUNDDOWN(MIN((G17-$D$3)/365,G18),2)),G18)</f>
        <v>49.98</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704"/>
      <c r="E20" s="3705"/>
      <c r="F20" s="3705"/>
      <c r="G20" s="3705"/>
      <c r="H20" s="3705"/>
      <c r="I20" s="3706"/>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707" t="s">
        <v>446</v>
      </c>
      <c r="F21" s="3708"/>
      <c r="G21" s="3708"/>
      <c r="H21" s="3708"/>
      <c r="I21" s="3709"/>
      <c r="J21" s="3267"/>
      <c r="K21" s="3395"/>
      <c r="L21" s="3391"/>
      <c r="M21" s="3391"/>
      <c r="N21" s="3392"/>
      <c r="O21" s="3393"/>
      <c r="P21" s="3392"/>
      <c r="Q21" s="3392"/>
      <c r="R21" s="3392"/>
      <c r="S21" s="3392"/>
      <c r="T21" s="3392"/>
      <c r="U21" s="3392"/>
    </row>
    <row r="22" spans="1:21">
      <c r="A22" s="3330" t="s">
        <v>138</v>
      </c>
      <c r="B22" s="3269" t="s">
        <v>447</v>
      </c>
      <c r="C22" s="3314">
        <f>'数据-汇总表'!D3</f>
        <v>55236.63</v>
      </c>
      <c r="D22" s="3307" t="s">
        <v>445</v>
      </c>
      <c r="E22" s="3707" t="s">
        <v>431</v>
      </c>
      <c r="F22" s="3708"/>
      <c r="G22" s="3708"/>
      <c r="H22" s="3708"/>
      <c r="I22" s="3709"/>
      <c r="J22" s="3267"/>
      <c r="K22" s="3395"/>
      <c r="L22" s="3391"/>
      <c r="M22" s="3391"/>
      <c r="N22" s="3392"/>
      <c r="O22" s="3393"/>
      <c r="P22" s="3392"/>
      <c r="Q22" s="3392"/>
      <c r="R22" s="3392"/>
      <c r="S22" s="3392"/>
      <c r="T22" s="3392"/>
      <c r="U22" s="3392"/>
    </row>
    <row r="23" spans="1:21" ht="28.5">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710" t="s">
        <v>451</v>
      </c>
      <c r="C24" s="3711"/>
      <c r="D24" s="3712" t="s">
        <v>452</v>
      </c>
      <c r="E24" s="3713"/>
      <c r="F24" s="3339" t="s">
        <v>453</v>
      </c>
      <c r="G24" s="3267"/>
      <c r="H24" s="3267"/>
      <c r="I24" s="3397"/>
      <c r="J24" s="3267"/>
      <c r="K24" s="3684"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28.5">
      <c r="A25" s="3340"/>
      <c r="B25" s="3341" t="s">
        <v>455</v>
      </c>
      <c r="C25" s="3342" t="s">
        <v>456</v>
      </c>
      <c r="D25" s="3343"/>
      <c r="E25" s="3344" t="s">
        <v>138</v>
      </c>
      <c r="F25" s="3345"/>
      <c r="G25" s="3267"/>
      <c r="H25" s="3267"/>
      <c r="I25" s="3397"/>
      <c r="J25" s="3267"/>
      <c r="K25" s="3684"/>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28.5">
      <c r="A26" s="3346"/>
      <c r="B26" s="3347" t="s">
        <v>457</v>
      </c>
      <c r="C26" s="3342" t="s">
        <v>458</v>
      </c>
      <c r="D26" s="3268"/>
      <c r="E26" s="3268"/>
      <c r="F26" s="3348"/>
      <c r="G26" s="3267"/>
      <c r="H26" s="3267"/>
      <c r="I26" s="3397"/>
      <c r="J26" s="3267"/>
      <c r="K26" s="3684"/>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687" t="s">
        <v>464</v>
      </c>
      <c r="B31" s="3327" t="s">
        <v>465</v>
      </c>
      <c r="C31" s="3693"/>
      <c r="D31" s="3694"/>
      <c r="E31" s="3267"/>
      <c r="F31" s="3267"/>
      <c r="G31" s="3267"/>
      <c r="H31" s="3267"/>
      <c r="I31" s="3397"/>
      <c r="J31" s="3267"/>
      <c r="K31" s="3404"/>
      <c r="L31" s="3392"/>
      <c r="M31" s="3392"/>
      <c r="N31" s="3392"/>
      <c r="O31" s="3392"/>
      <c r="P31" s="3392"/>
      <c r="Q31" s="3392"/>
      <c r="R31" s="3392"/>
      <c r="S31" s="3392"/>
      <c r="T31" s="3392"/>
      <c r="U31" s="3392"/>
    </row>
    <row r="32" spans="1:21">
      <c r="A32" s="3687"/>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687"/>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688"/>
      <c r="B34" s="3269" t="s">
        <v>468</v>
      </c>
      <c r="C34" s="3695"/>
      <c r="D34" s="3696"/>
      <c r="E34" s="3267"/>
      <c r="F34" s="3267"/>
      <c r="G34" s="3267"/>
      <c r="H34" s="3267"/>
      <c r="I34" s="3397"/>
      <c r="J34" s="3267"/>
      <c r="K34" s="3404"/>
      <c r="L34" s="3392"/>
      <c r="M34" s="3392"/>
      <c r="N34" s="3392"/>
      <c r="O34" s="3392"/>
      <c r="P34" s="3392"/>
      <c r="Q34" s="3392"/>
      <c r="R34" s="3392"/>
      <c r="S34" s="3392"/>
      <c r="T34" s="3392"/>
      <c r="U34" s="3392"/>
    </row>
    <row r="35" spans="1:28">
      <c r="A35" s="3689" t="s">
        <v>469</v>
      </c>
      <c r="B35" s="3316"/>
      <c r="C35" s="3367" t="str">
        <f>IF(B35="场地平整","——","具体情况：")</f>
        <v>具体情况：</v>
      </c>
      <c r="D35" s="3697"/>
      <c r="E35" s="3698"/>
      <c r="F35" s="3698"/>
      <c r="G35" s="3698"/>
      <c r="H35" s="3698"/>
      <c r="I35" s="3699"/>
      <c r="J35" s="3267"/>
      <c r="K35" s="3405"/>
      <c r="L35" s="3391"/>
      <c r="M35" s="3391"/>
      <c r="N35" s="3392"/>
      <c r="O35" s="3393"/>
      <c r="P35" s="3392"/>
      <c r="Q35" s="3392"/>
      <c r="R35" s="3392"/>
      <c r="S35" s="3392"/>
      <c r="T35" s="3392"/>
      <c r="U35" s="3392"/>
    </row>
    <row r="36" spans="1:28">
      <c r="A36" s="3687"/>
      <c r="B36" s="3700" t="s">
        <v>470</v>
      </c>
      <c r="C36" s="3701"/>
      <c r="D36" s="3368"/>
      <c r="E36" s="3702"/>
      <c r="F36" s="3702"/>
      <c r="G36" s="3307" t="str">
        <f>IF(B35="场地未平整","估价结果处理","")</f>
        <v/>
      </c>
      <c r="H36" s="3703"/>
      <c r="I36" s="3703"/>
      <c r="J36" s="3267"/>
      <c r="K36" s="3405"/>
      <c r="L36" s="3391"/>
      <c r="M36" s="3391"/>
      <c r="N36" s="3392"/>
      <c r="O36" s="3393"/>
      <c r="P36" s="3392"/>
      <c r="Q36" s="3392"/>
      <c r="R36" s="3392"/>
      <c r="S36" s="3392"/>
      <c r="T36" s="3392"/>
      <c r="U36" s="3392"/>
    </row>
    <row r="37" spans="1:28" ht="28.5">
      <c r="A37" s="3687"/>
      <c r="B37" s="3690"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687"/>
      <c r="B38" s="3691"/>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688"/>
      <c r="B39" s="3692"/>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685" t="s">
        <v>379</v>
      </c>
      <c r="T40" s="3306" t="str">
        <f>NUMBERSTRING(7-K40,1)&amp;"通"</f>
        <v>七通</v>
      </c>
      <c r="U40" s="3392"/>
    </row>
    <row r="41" spans="1:28">
      <c r="A41" s="3279"/>
      <c r="B41" s="3686" t="s">
        <v>425</v>
      </c>
      <c r="C41" s="3686"/>
      <c r="D41" s="3686"/>
      <c r="E41" s="3686"/>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685"/>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25">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28.5">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C17" sqref="C17"/>
    </sheetView>
  </sheetViews>
  <sheetFormatPr defaultColWidth="8.875" defaultRowHeight="14.25"/>
  <cols>
    <col min="1" max="1" width="10.625" style="3147" customWidth="1"/>
    <col min="2" max="2" width="11" style="3147" customWidth="1"/>
    <col min="3" max="3" width="10.375" style="3147" customWidth="1"/>
    <col min="4" max="4" width="9.125" style="3147" customWidth="1"/>
    <col min="5" max="6" width="10" style="3145" customWidth="1"/>
    <col min="7" max="8" width="10" style="3147" customWidth="1"/>
    <col min="9" max="9" width="10.625" style="3147" customWidth="1"/>
    <col min="10" max="10" width="9.5" style="3147" customWidth="1"/>
    <col min="11" max="11" width="11" style="3147" customWidth="1"/>
    <col min="12" max="14" width="9.5" style="3147" customWidth="1"/>
    <col min="15" max="15" width="9.875" style="3147" customWidth="1"/>
    <col min="16" max="16" width="9.75" style="3147" customWidth="1"/>
    <col min="17" max="17" width="9.375" style="3147" hidden="1" customWidth="1"/>
    <col min="18" max="18" width="9.25" style="3147" hidden="1" customWidth="1"/>
    <col min="19" max="19" width="10.875" style="3147" hidden="1" customWidth="1"/>
    <col min="20" max="21" width="10.75" style="3147" hidden="1" customWidth="1"/>
    <col min="22" max="22" width="10.875" style="3147" hidden="1" customWidth="1"/>
    <col min="23" max="27" width="10.75" style="3147" hidden="1" customWidth="1"/>
    <col min="28" max="28" width="10.875" style="3147" hidden="1" customWidth="1"/>
    <col min="29" max="29" width="11" style="3147" customWidth="1"/>
    <col min="30" max="30" width="10" style="3147" customWidth="1"/>
    <col min="31" max="31" width="9.75" style="3147" customWidth="1"/>
    <col min="32" max="46" width="9.5" style="3147" customWidth="1"/>
    <col min="47" max="47" width="18.125" style="3147" customWidth="1"/>
    <col min="48" max="50" width="9.75" style="3147" customWidth="1"/>
    <col min="51" max="55" width="10.5" style="3147" customWidth="1"/>
    <col min="56" max="56" width="9.5" style="3147" customWidth="1"/>
    <col min="57" max="63" width="9.125" style="3147" customWidth="1"/>
    <col min="64" max="64" width="9.5" style="3147" customWidth="1"/>
    <col min="65" max="65" width="9.125" style="3147" customWidth="1"/>
    <col min="66" max="66" width="9.5" style="3147" customWidth="1"/>
    <col min="67" max="69" width="9.125" style="3147" customWidth="1"/>
    <col min="70" max="70" width="9.5" style="3147" customWidth="1"/>
    <col min="71" max="71" width="9" style="3147" customWidth="1"/>
    <col min="72" max="72" width="9.125" style="3147" customWidth="1"/>
    <col min="73" max="16384" width="8.875" style="3147"/>
  </cols>
  <sheetData>
    <row r="1" spans="1:72" ht="20.25">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2.75">
      <c r="A3" s="3151">
        <v>59523.356</v>
      </c>
      <c r="B3" s="3152">
        <f>IF(C3="否",G5-AT5,G5)</f>
        <v>204700</v>
      </c>
      <c r="C3" s="3153" t="s">
        <v>538</v>
      </c>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2.75">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2.75">
      <c r="A5" s="1104" t="s">
        <v>507</v>
      </c>
      <c r="B5" s="1210"/>
      <c r="C5" s="1210"/>
      <c r="D5" s="2552"/>
      <c r="E5" s="3157" t="s">
        <v>138</v>
      </c>
      <c r="F5" s="3157">
        <f>SUM(F13:F572)</f>
        <v>0</v>
      </c>
      <c r="G5" s="3157">
        <f>SUM(G13:G572)</f>
        <v>204700</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0</v>
      </c>
      <c r="AE5" s="3157">
        <f t="shared" si="0"/>
        <v>0</v>
      </c>
      <c r="AF5" s="3157">
        <f t="shared" si="0"/>
        <v>4711</v>
      </c>
      <c r="AG5" s="3157">
        <f t="shared" si="0"/>
        <v>0</v>
      </c>
      <c r="AH5" s="3157">
        <f t="shared" si="0"/>
        <v>100</v>
      </c>
      <c r="AI5" s="3157">
        <f t="shared" si="0"/>
        <v>0</v>
      </c>
      <c r="AJ5" s="3157">
        <f t="shared" si="0"/>
        <v>50</v>
      </c>
      <c r="AK5" s="3157">
        <f t="shared" si="0"/>
        <v>0</v>
      </c>
      <c r="AL5" s="3157">
        <f t="shared" si="0"/>
        <v>764</v>
      </c>
      <c r="AM5" s="3157">
        <f t="shared" si="0"/>
        <v>0</v>
      </c>
      <c r="AN5" s="3157">
        <f t="shared" si="0"/>
        <v>5552</v>
      </c>
      <c r="AO5" s="3157">
        <f t="shared" si="0"/>
        <v>0</v>
      </c>
      <c r="AP5" s="3157">
        <f t="shared" si="0"/>
        <v>0</v>
      </c>
      <c r="AQ5" s="3157">
        <f t="shared" si="0"/>
        <v>0</v>
      </c>
      <c r="AR5" s="3157">
        <f t="shared" si="0"/>
        <v>0</v>
      </c>
      <c r="AS5" s="3157">
        <f t="shared" si="0"/>
        <v>0</v>
      </c>
      <c r="AT5" s="3157">
        <f t="shared" si="0"/>
        <v>14742</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0</v>
      </c>
      <c r="BN5" s="3238">
        <f t="shared" si="1"/>
        <v>4711</v>
      </c>
      <c r="BO5" s="3238">
        <f t="shared" si="1"/>
        <v>100</v>
      </c>
      <c r="BP5" s="3238">
        <f t="shared" si="1"/>
        <v>50</v>
      </c>
      <c r="BQ5" s="3238">
        <f t="shared" si="1"/>
        <v>764</v>
      </c>
      <c r="BR5" s="3238">
        <f t="shared" si="1"/>
        <v>5552</v>
      </c>
      <c r="BS5" s="3238">
        <f t="shared" si="1"/>
        <v>0</v>
      </c>
      <c r="BT5" s="3247">
        <f t="shared" si="1"/>
        <v>0</v>
      </c>
    </row>
    <row r="6" spans="1:72" s="3144" customFormat="1" ht="12.75">
      <c r="A6" s="1104" t="s">
        <v>508</v>
      </c>
      <c r="B6" s="3158"/>
      <c r="C6" s="3158"/>
      <c r="D6" s="3159"/>
      <c r="E6" s="3157">
        <f>H6+AC6+AT6</f>
        <v>59523.360000000001</v>
      </c>
      <c r="F6" s="3157" t="s">
        <v>138</v>
      </c>
      <c r="G6" s="3157" t="s">
        <v>138</v>
      </c>
      <c r="H6" s="3160">
        <f>SUMIF(I$12:AB$12,"总值",I6:AB6)</f>
        <v>51986.54</v>
      </c>
      <c r="I6" s="3157">
        <f t="shared" ref="I6:AB6" si="2">ROUND($A$3*I5/$B$3,2)</f>
        <v>37772.76</v>
      </c>
      <c r="J6" s="3157">
        <f t="shared" si="2"/>
        <v>0</v>
      </c>
      <c r="K6" s="3157">
        <f t="shared" si="2"/>
        <v>3111.38</v>
      </c>
      <c r="L6" s="3157">
        <f t="shared" si="2"/>
        <v>0</v>
      </c>
      <c r="M6" s="3157">
        <f t="shared" si="2"/>
        <v>11102.4</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3250.09</v>
      </c>
      <c r="AD6" s="3157">
        <f t="shared" ref="AD6:AS6" si="3">ROUND($A$3*AD5/$B$3,2)</f>
        <v>0</v>
      </c>
      <c r="AE6" s="3157">
        <f t="shared" si="3"/>
        <v>0</v>
      </c>
      <c r="AF6" s="3157">
        <f t="shared" si="3"/>
        <v>1369.88</v>
      </c>
      <c r="AG6" s="3157">
        <f t="shared" si="3"/>
        <v>0</v>
      </c>
      <c r="AH6" s="3157">
        <f t="shared" si="3"/>
        <v>29.08</v>
      </c>
      <c r="AI6" s="3157">
        <f t="shared" si="3"/>
        <v>0</v>
      </c>
      <c r="AJ6" s="3157">
        <f t="shared" si="3"/>
        <v>14.54</v>
      </c>
      <c r="AK6" s="3157">
        <f t="shared" si="3"/>
        <v>0</v>
      </c>
      <c r="AL6" s="3157">
        <f t="shared" si="3"/>
        <v>222.16</v>
      </c>
      <c r="AM6" s="3157">
        <f t="shared" si="3"/>
        <v>0</v>
      </c>
      <c r="AN6" s="3157">
        <f t="shared" si="3"/>
        <v>1614.43</v>
      </c>
      <c r="AO6" s="3157">
        <f t="shared" si="3"/>
        <v>0</v>
      </c>
      <c r="AP6" s="3157">
        <f t="shared" si="3"/>
        <v>0</v>
      </c>
      <c r="AQ6" s="3157">
        <f t="shared" si="3"/>
        <v>0</v>
      </c>
      <c r="AR6" s="3157">
        <f t="shared" si="3"/>
        <v>0</v>
      </c>
      <c r="AS6" s="3157">
        <f t="shared" si="3"/>
        <v>0</v>
      </c>
      <c r="AT6" s="3160">
        <f>IF(C3="是",ROUND($A$3*AT5/$B$3,2),0)</f>
        <v>4286.7299999999996</v>
      </c>
      <c r="AU6" s="3214"/>
      <c r="AV6" s="1104" t="s">
        <v>508</v>
      </c>
      <c r="AW6" s="3158"/>
      <c r="AX6" s="3158"/>
      <c r="AY6" s="3239">
        <f>IF(AY3&gt;0,AY3,ROUND($A$3*AZ5/$B$3,2))</f>
        <v>55236.63</v>
      </c>
      <c r="AZ6" s="3157" t="s">
        <v>138</v>
      </c>
      <c r="BA6" s="3157">
        <f>ROUND($AY$6*BA5/$AZ$5,2)</f>
        <v>51986.54</v>
      </c>
      <c r="BB6" s="3157">
        <f>ROUND($AY$6*BB5/$AZ$5,2)</f>
        <v>37772.76</v>
      </c>
      <c r="BC6" s="3157">
        <f t="shared" ref="BC6:BH6" si="4">ROUND($AY$6*BC5/$AZ$5,2)</f>
        <v>3111.38</v>
      </c>
      <c r="BD6" s="3157">
        <f t="shared" si="4"/>
        <v>11102.4</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3250.09</v>
      </c>
      <c r="BM6" s="3157">
        <f t="shared" si="5"/>
        <v>0</v>
      </c>
      <c r="BN6" s="3157">
        <f t="shared" si="5"/>
        <v>1369.88</v>
      </c>
      <c r="BO6" s="3157">
        <f t="shared" si="5"/>
        <v>29.08</v>
      </c>
      <c r="BP6" s="3157">
        <f t="shared" si="5"/>
        <v>14.54</v>
      </c>
      <c r="BQ6" s="3157">
        <f t="shared" si="5"/>
        <v>222.16</v>
      </c>
      <c r="BR6" s="3157">
        <f t="shared" si="5"/>
        <v>1614.43</v>
      </c>
      <c r="BS6" s="3157">
        <f t="shared" si="5"/>
        <v>0</v>
      </c>
      <c r="BT6" s="3248">
        <f t="shared" si="5"/>
        <v>0</v>
      </c>
    </row>
    <row r="7" spans="1:72" s="192" customFormat="1" ht="24.75">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2.75">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2.75">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2.75">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2.75">
      <c r="A13" s="3171"/>
      <c r="B13" s="3171"/>
      <c r="C13" s="3171"/>
      <c r="D13" s="3172" t="s">
        <v>538</v>
      </c>
      <c r="E13" s="3157">
        <f t="shared" ref="E13:E20" si="6">IF($C$3="是",ROUND($A$3*G13/$B$3,2),ROUND($A$3*(G13-AT13)/$B$3,2))</f>
        <v>59523.360000000001</v>
      </c>
      <c r="F13" s="3173"/>
      <c r="G13" s="3174">
        <f t="shared" ref="G13:G20" si="7">H13+AC13+AT13</f>
        <v>204700</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c r="AE13" s="3207"/>
      <c r="AF13" s="3207">
        <f>指标!AA25</f>
        <v>4711</v>
      </c>
      <c r="AG13" s="3207"/>
      <c r="AH13" s="3207">
        <f>指标!AA18</f>
        <v>100</v>
      </c>
      <c r="AI13" s="3207"/>
      <c r="AJ13" s="3207">
        <f>指标!AA24</f>
        <v>50</v>
      </c>
      <c r="AK13" s="3207"/>
      <c r="AL13" s="3207">
        <f>指标!AA19</f>
        <v>764</v>
      </c>
      <c r="AM13" s="3207"/>
      <c r="AN13" s="3207">
        <f>指标!AA26</f>
        <v>5552</v>
      </c>
      <c r="AO13" s="3207"/>
      <c r="AP13" s="3207"/>
      <c r="AQ13" s="3207"/>
      <c r="AR13" s="3207"/>
      <c r="AS13" s="3207"/>
      <c r="AT13" s="3226">
        <f>指标!AA28</f>
        <v>14742</v>
      </c>
      <c r="AU13" s="3227"/>
      <c r="AV13" s="130">
        <f t="shared" ref="AV13:AX20" si="10">A13</f>
        <v>0</v>
      </c>
      <c r="AW13" s="130">
        <f t="shared" si="10"/>
        <v>0</v>
      </c>
      <c r="AX13" s="130">
        <f t="shared" si="10"/>
        <v>0</v>
      </c>
      <c r="AY13" s="2552">
        <f t="shared" ref="AY13:AY20" si="11">ROUND($AY$6*AZ13/$AZ$5,2)</f>
        <v>55236.63</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0</v>
      </c>
      <c r="BN13" s="3157">
        <f t="shared" ref="BN13:BN20" si="26">IF($D13="是",AF13-AG13,0)</f>
        <v>4711</v>
      </c>
      <c r="BO13" s="3157">
        <f t="shared" ref="BO13:BO20" si="27">IF($D13="是",AH13-AI13,0)</f>
        <v>100</v>
      </c>
      <c r="BP13" s="3157">
        <f t="shared" ref="BP13:BP20" si="28">IF($D13="是",AJ13-AK13,0)</f>
        <v>50</v>
      </c>
      <c r="BQ13" s="3157">
        <f t="shared" ref="BQ13:BQ20" si="29">IF($D13="是",AL13-AM13,0)</f>
        <v>764</v>
      </c>
      <c r="BR13" s="3157">
        <f t="shared" ref="BR13:BR20" si="30">IF($D13="是",AN13-AO13,0)</f>
        <v>5552</v>
      </c>
      <c r="BS13" s="3157">
        <f t="shared" ref="BS13:BS20" si="31">IF($D13="是",AP13-AQ13,0)</f>
        <v>0</v>
      </c>
      <c r="BT13" s="3248">
        <f t="shared" ref="BT13:BT20" si="32">IF($D13="是",AR13-AS13,0)</f>
        <v>0</v>
      </c>
    </row>
    <row r="14" spans="1:72" s="192" customFormat="1" ht="12.75">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2.75">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2.75">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2.75">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D38" sqref="D38"/>
    </sheetView>
  </sheetViews>
  <sheetFormatPr defaultColWidth="9.25" defaultRowHeight="14.25"/>
  <cols>
    <col min="1" max="1" width="8.25" style="3055" customWidth="1"/>
    <col min="2" max="2" width="10.25" style="3055" customWidth="1"/>
    <col min="3" max="3" width="18.5" style="3055" customWidth="1"/>
    <col min="4" max="4" width="11.125" style="3055" customWidth="1"/>
    <col min="5" max="5" width="13.375" style="3055" customWidth="1"/>
    <col min="6" max="8" width="11.5" style="3055" customWidth="1"/>
    <col min="9" max="9" width="10.375" style="3055" customWidth="1"/>
    <col min="10" max="10" width="3.125" style="3055" customWidth="1"/>
    <col min="11" max="16" width="11.625" style="3055" customWidth="1"/>
    <col min="17" max="17" width="3.375" style="3055" customWidth="1"/>
    <col min="18" max="16384" width="9.25" style="3055"/>
  </cols>
  <sheetData>
    <row r="1" spans="1:16" ht="18.75">
      <c r="A1" s="2513" t="s">
        <v>539</v>
      </c>
      <c r="B1" s="3056"/>
      <c r="C1" s="3056"/>
      <c r="D1" s="3056"/>
      <c r="E1" s="3056"/>
      <c r="F1" s="3056"/>
      <c r="G1" s="3056"/>
      <c r="H1" s="3056"/>
      <c r="I1" s="3056"/>
      <c r="J1" s="3056"/>
      <c r="K1" s="3056"/>
      <c r="L1" s="3056"/>
      <c r="M1" s="3056"/>
      <c r="N1" s="3056"/>
      <c r="O1" s="3056"/>
      <c r="P1" s="3056"/>
    </row>
    <row r="2" spans="1:16" ht="15">
      <c r="A2" s="3734" t="s">
        <v>540</v>
      </c>
      <c r="B2" s="3734"/>
      <c r="C2" s="3734"/>
      <c r="D2" s="2363" t="s">
        <v>541</v>
      </c>
      <c r="E2" s="3057" t="s">
        <v>542</v>
      </c>
      <c r="F2" s="3058"/>
      <c r="G2" s="3059"/>
      <c r="H2" s="3060"/>
      <c r="I2" s="3117" t="s">
        <v>543</v>
      </c>
      <c r="J2" s="3058"/>
      <c r="K2" s="3058"/>
      <c r="L2" s="3058"/>
      <c r="M2" s="3058"/>
      <c r="N2" s="3058"/>
      <c r="O2" s="3058"/>
      <c r="P2" s="3058"/>
    </row>
    <row r="3" spans="1:16" ht="15">
      <c r="A3" s="3735" t="s">
        <v>544</v>
      </c>
      <c r="B3" s="3735"/>
      <c r="C3" s="3735"/>
      <c r="D3" s="3061">
        <f>'数据-基础表'!AY6</f>
        <v>55236.63</v>
      </c>
      <c r="E3" s="3061">
        <f>'数据-基础表'!AZ5</f>
        <v>189958</v>
      </c>
      <c r="F3" s="3058"/>
      <c r="G3" s="2463" t="s">
        <v>545</v>
      </c>
      <c r="H3" s="2459" t="s">
        <v>546</v>
      </c>
      <c r="I3" s="481">
        <f>ROUND('数据-基础表'!B3/'数据-基础表'!A3,2)</f>
        <v>3.44</v>
      </c>
      <c r="J3" s="3058"/>
      <c r="K3" s="3058"/>
      <c r="L3" s="3058"/>
      <c r="M3" s="3058"/>
      <c r="N3" s="3058"/>
      <c r="O3" s="3058"/>
      <c r="P3" s="3058"/>
    </row>
    <row r="4" spans="1:16" ht="15">
      <c r="A4" s="3736"/>
      <c r="B4" s="3737"/>
      <c r="C4" s="3738"/>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c r="A5" s="3065" t="s">
        <v>548</v>
      </c>
      <c r="B5" s="3739" t="s">
        <v>241</v>
      </c>
      <c r="C5" s="3739"/>
      <c r="D5" s="3066">
        <f>ROUND($D$3*E5/$E$3,2)</f>
        <v>37772.76</v>
      </c>
      <c r="E5" s="3067">
        <f>SUMIF('数据-基础表'!$11:$11,"住宅",'数据-基础表'!$5:$5)</f>
        <v>129900</v>
      </c>
      <c r="F5" s="3058"/>
      <c r="G5" s="2463" t="s">
        <v>549</v>
      </c>
      <c r="H5" s="2459" t="s">
        <v>546</v>
      </c>
      <c r="I5" s="481">
        <f>ROUND(E31/D31,2)</f>
        <v>3.44</v>
      </c>
      <c r="J5" s="3058"/>
      <c r="K5" s="3058"/>
      <c r="L5" s="3058"/>
      <c r="M5" s="3058"/>
      <c r="N5" s="3058"/>
      <c r="O5" s="3058"/>
      <c r="P5" s="3058"/>
    </row>
    <row r="6" spans="1:16">
      <c r="A6" s="3068"/>
      <c r="B6" s="3739" t="s">
        <v>550</v>
      </c>
      <c r="C6" s="3739"/>
      <c r="D6" s="3066">
        <f>ROUND($D$3*E6/$E$3,2)</f>
        <v>17463.87</v>
      </c>
      <c r="E6" s="3067">
        <f>E3-E5</f>
        <v>60058</v>
      </c>
      <c r="F6" s="3058"/>
      <c r="G6" s="3064"/>
      <c r="H6" s="2459" t="s">
        <v>547</v>
      </c>
      <c r="I6" s="481">
        <f>ROUND(F31/D31,2)</f>
        <v>2.37</v>
      </c>
      <c r="J6" s="3058"/>
      <c r="K6" s="3058"/>
      <c r="L6" s="3058"/>
      <c r="M6" s="3058"/>
      <c r="N6" s="3058"/>
      <c r="O6" s="3058"/>
      <c r="P6" s="3058"/>
    </row>
    <row r="7" spans="1:16" ht="15">
      <c r="A7" s="3725"/>
      <c r="B7" s="3726"/>
      <c r="C7" s="3727"/>
      <c r="D7" s="3062" t="s">
        <v>541</v>
      </c>
      <c r="E7" s="3069" t="s">
        <v>551</v>
      </c>
      <c r="F7" s="3058"/>
      <c r="G7" s="3070" t="s">
        <v>552</v>
      </c>
      <c r="H7" s="3071"/>
      <c r="I7" s="3118"/>
      <c r="J7" s="3058"/>
      <c r="K7" s="3058"/>
      <c r="L7" s="3058"/>
      <c r="M7" s="3058"/>
      <c r="N7" s="3058"/>
      <c r="O7" s="3058"/>
      <c r="P7" s="3058"/>
    </row>
    <row r="8" spans="1:16">
      <c r="A8" s="3065" t="s">
        <v>553</v>
      </c>
      <c r="B8" s="3072" t="s">
        <v>554</v>
      </c>
      <c r="C8" s="3066" t="s">
        <v>555</v>
      </c>
      <c r="D8" s="3066">
        <f t="shared" ref="D8:D15" si="0">ROUND($D$3*E8/$E$3,2)</f>
        <v>37772.76</v>
      </c>
      <c r="E8" s="3073">
        <f>SUMIF('数据-基础表'!BB10:BK10,"地上",'数据-基础表'!BB5:BK5)</f>
        <v>129900</v>
      </c>
      <c r="F8" s="3058"/>
      <c r="G8" s="3074"/>
      <c r="H8" s="3074"/>
      <c r="I8" s="3058"/>
      <c r="J8" s="3058"/>
      <c r="K8" s="3058"/>
      <c r="L8" s="3058"/>
      <c r="M8" s="3058"/>
      <c r="N8" s="3058"/>
      <c r="O8" s="3058"/>
      <c r="P8" s="3058"/>
    </row>
    <row r="9" spans="1:16">
      <c r="A9" s="3075"/>
      <c r="B9" s="3076"/>
      <c r="C9" s="3066" t="s">
        <v>556</v>
      </c>
      <c r="D9" s="3066">
        <f t="shared" si="0"/>
        <v>0</v>
      </c>
      <c r="E9" s="3077">
        <v>0</v>
      </c>
      <c r="F9" s="3058"/>
      <c r="G9" s="3074"/>
      <c r="H9" s="3074"/>
      <c r="I9" s="3058"/>
      <c r="J9" s="3058"/>
      <c r="K9" s="3058"/>
      <c r="L9" s="3058"/>
      <c r="M9" s="3058"/>
      <c r="N9" s="3058"/>
      <c r="O9" s="3058"/>
      <c r="P9" s="3058"/>
    </row>
    <row r="10" spans="1:16">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c r="A11" s="3075"/>
      <c r="B11" s="3076"/>
      <c r="C11" s="3078" t="s">
        <v>558</v>
      </c>
      <c r="D11" s="3066">
        <f t="shared" si="0"/>
        <v>14.54</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c r="A12" s="3075"/>
      <c r="B12" s="3076"/>
      <c r="C12" s="3066" t="s">
        <v>559</v>
      </c>
      <c r="D12" s="3066">
        <f t="shared" si="0"/>
        <v>3111.38</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c r="A13" s="3075"/>
      <c r="B13" s="3076"/>
      <c r="C13" s="3078" t="s">
        <v>560</v>
      </c>
      <c r="D13" s="3066">
        <f t="shared" si="0"/>
        <v>11102.4</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5">
      <c r="A16" s="3068"/>
      <c r="B16" s="3076"/>
      <c r="C16" s="3072" t="s">
        <v>563</v>
      </c>
      <c r="D16" s="3072">
        <f>SUM(D8:D15)</f>
        <v>52001.08</v>
      </c>
      <c r="E16" s="3079">
        <f>SUM(E8:E15)</f>
        <v>178831</v>
      </c>
      <c r="F16" s="3058"/>
      <c r="G16" s="3074"/>
      <c r="H16" s="3080" t="s">
        <v>564</v>
      </c>
      <c r="I16" s="3119"/>
      <c r="J16" s="3056"/>
      <c r="K16" s="3728" t="s">
        <v>565</v>
      </c>
      <c r="L16" s="3729"/>
      <c r="M16" s="3729"/>
      <c r="N16" s="3729"/>
      <c r="O16" s="3729"/>
      <c r="P16" s="3730"/>
    </row>
    <row r="17" spans="1:19" ht="15">
      <c r="A17" s="3023" t="s">
        <v>566</v>
      </c>
      <c r="B17" s="3081" t="s">
        <v>222</v>
      </c>
      <c r="C17" s="3082" t="s">
        <v>464</v>
      </c>
      <c r="D17" s="3062" t="s">
        <v>541</v>
      </c>
      <c r="E17" s="3083" t="s">
        <v>542</v>
      </c>
      <c r="F17" s="3084"/>
      <c r="G17" s="3085"/>
      <c r="H17" s="3086" t="s">
        <v>567</v>
      </c>
      <c r="I17" s="3120" t="s">
        <v>568</v>
      </c>
      <c r="J17" s="3056"/>
      <c r="K17" s="3731" t="s">
        <v>569</v>
      </c>
      <c r="L17" s="3732"/>
      <c r="M17" s="3733"/>
      <c r="N17" s="3731" t="s">
        <v>570</v>
      </c>
      <c r="O17" s="3732"/>
      <c r="P17" s="3733"/>
      <c r="R17" s="3139" t="s">
        <v>571</v>
      </c>
      <c r="S17" s="2447"/>
    </row>
    <row r="18" spans="1:19" ht="15">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c r="A19" s="3092"/>
      <c r="B19" s="3072" t="s">
        <v>243</v>
      </c>
      <c r="C19" s="3093" t="s">
        <v>2677</v>
      </c>
      <c r="D19" s="3066">
        <f t="shared" ref="D19:D26" si="1">ROUND($D$3*E19/$E$3,2)</f>
        <v>37772.76</v>
      </c>
      <c r="E19" s="3094">
        <f t="shared" ref="E19:E26" si="2">SUM(F19:G19)</f>
        <v>129900</v>
      </c>
      <c r="F19" s="3095">
        <f>'数据-基础表'!I13</f>
        <v>129900</v>
      </c>
      <c r="G19" s="3096"/>
      <c r="H19" s="3013">
        <f>ROUND($D$3*I19/$E$3,2)</f>
        <v>1334.44</v>
      </c>
      <c r="I19" s="3073">
        <f>IF($I$17="自定义",P19,M19)</f>
        <v>4589.13</v>
      </c>
      <c r="J19" s="3056"/>
      <c r="K19" s="3125">
        <f t="shared" ref="K19:K26" si="3">ROUND(E$28*E19/E$27,2)</f>
        <v>4589.13</v>
      </c>
      <c r="L19" s="2459">
        <f t="shared" ref="L19:L26" si="4">ROUND(IF(COUNTIF(C19,"*住宅*")&gt;0,E$29*E19/E$32,0),2)</f>
        <v>0</v>
      </c>
      <c r="M19" s="3126">
        <f>K19+L19</f>
        <v>4589.13</v>
      </c>
      <c r="N19" s="3127"/>
      <c r="O19" s="3128"/>
      <c r="P19" s="3129">
        <f>N19+O19</f>
        <v>0</v>
      </c>
      <c r="R19" s="2459">
        <f t="shared" ref="R19:S26" si="5">D19+H19</f>
        <v>39107.200000000004</v>
      </c>
      <c r="S19" s="3141">
        <f t="shared" si="5"/>
        <v>134489.13</v>
      </c>
    </row>
    <row r="20" spans="1:19">
      <c r="A20" s="3097"/>
      <c r="B20" s="3072" t="s">
        <v>243</v>
      </c>
      <c r="C20" s="3093" t="s">
        <v>2678</v>
      </c>
      <c r="D20" s="3066">
        <f t="shared" si="1"/>
        <v>3111.38</v>
      </c>
      <c r="E20" s="3094">
        <f t="shared" si="2"/>
        <v>10700</v>
      </c>
      <c r="F20" s="3095"/>
      <c r="G20" s="3096">
        <f>'数据-基础表'!K13</f>
        <v>10700</v>
      </c>
      <c r="H20" s="3013">
        <f t="shared" ref="H20:H26" si="6">ROUND($D$3*I20/$E$3,2)</f>
        <v>109.92</v>
      </c>
      <c r="I20" s="3073">
        <f t="shared" ref="I20:I26" si="7">IF($I$17="自定义",P20,M20)</f>
        <v>378.01</v>
      </c>
      <c r="J20" s="3056"/>
      <c r="K20" s="3125">
        <f t="shared" si="3"/>
        <v>378.01</v>
      </c>
      <c r="L20" s="2459">
        <f t="shared" si="4"/>
        <v>0</v>
      </c>
      <c r="M20" s="3126">
        <f t="shared" ref="M20:M26" si="8">K20+L20</f>
        <v>378.01</v>
      </c>
      <c r="N20" s="3127"/>
      <c r="O20" s="3128"/>
      <c r="P20" s="3129">
        <f t="shared" ref="P20:P26" si="9">N20+O20</f>
        <v>0</v>
      </c>
      <c r="R20" s="2459">
        <f t="shared" si="5"/>
        <v>3221.3</v>
      </c>
      <c r="S20" s="3141">
        <f t="shared" si="5"/>
        <v>11078.01</v>
      </c>
    </row>
    <row r="21" spans="1:19">
      <c r="A21" s="3097"/>
      <c r="B21" s="3072" t="s">
        <v>243</v>
      </c>
      <c r="C21" s="3093" t="s">
        <v>2679</v>
      </c>
      <c r="D21" s="3066">
        <f t="shared" si="1"/>
        <v>11102.4</v>
      </c>
      <c r="E21" s="3094">
        <f t="shared" si="2"/>
        <v>38181</v>
      </c>
      <c r="F21" s="3095"/>
      <c r="G21" s="3096">
        <f>'数据-基础表'!M13</f>
        <v>38181</v>
      </c>
      <c r="H21" s="3013">
        <f t="shared" si="6"/>
        <v>392.23</v>
      </c>
      <c r="I21" s="3073">
        <f t="shared" si="7"/>
        <v>1348.86</v>
      </c>
      <c r="J21" s="3056"/>
      <c r="K21" s="3125">
        <f t="shared" si="3"/>
        <v>1348.86</v>
      </c>
      <c r="L21" s="2459">
        <f t="shared" si="4"/>
        <v>0</v>
      </c>
      <c r="M21" s="3126">
        <f t="shared" si="8"/>
        <v>1348.86</v>
      </c>
      <c r="N21" s="3127"/>
      <c r="O21" s="3128"/>
      <c r="P21" s="3129">
        <f t="shared" si="9"/>
        <v>0</v>
      </c>
      <c r="R21" s="2459">
        <f t="shared" si="5"/>
        <v>11494.63</v>
      </c>
      <c r="S21" s="3141">
        <f t="shared" si="5"/>
        <v>39529.86</v>
      </c>
    </row>
    <row r="22" spans="1:19">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2.75">
      <c r="A27" s="3097"/>
      <c r="B27" s="3066"/>
      <c r="C27" s="2498" t="s">
        <v>563</v>
      </c>
      <c r="D27" s="3094">
        <f>SUM(D19:D26)</f>
        <v>51986.54</v>
      </c>
      <c r="E27" s="3102">
        <f>IF(SUM(E19:E26)='数据-基础表'!BA5,SUM(E19:E26),IF(F27="地上面积有误","面积有误","地下面积有误"))</f>
        <v>178781</v>
      </c>
      <c r="F27" s="3094">
        <f>IF(SUM(F19:F26)=E8,SUM(F19:F26),"地上面积有误")</f>
        <v>129900</v>
      </c>
      <c r="G27" s="3067">
        <f>SUM(G19:G26)</f>
        <v>48881</v>
      </c>
      <c r="H27" s="3103">
        <f>SUM(H19:H26)</f>
        <v>1836.5900000000001</v>
      </c>
      <c r="I27" s="3134">
        <f>SUM(I19:I26)</f>
        <v>6316</v>
      </c>
      <c r="J27" s="3056"/>
      <c r="K27" s="3135">
        <f t="shared" ref="K27:P27" si="10">SUM(K19:K26)</f>
        <v>6316</v>
      </c>
      <c r="L27" s="3136">
        <f t="shared" si="10"/>
        <v>0</v>
      </c>
      <c r="M27" s="3137">
        <f t="shared" si="10"/>
        <v>6316</v>
      </c>
      <c r="N27" s="3135">
        <f t="shared" si="10"/>
        <v>0</v>
      </c>
      <c r="O27" s="3136">
        <f t="shared" si="10"/>
        <v>0</v>
      </c>
      <c r="P27" s="3138">
        <f t="shared" si="10"/>
        <v>0</v>
      </c>
      <c r="R27" s="3142" t="str">
        <f>IF(SUM(R19:R26)=$D$3,SUM(R19:R26),SUM(R19:R26)&amp;"误差"&amp;ROUND(SUM(R19:R26)-$D$3,2))</f>
        <v>53823.13误差-1413.5</v>
      </c>
      <c r="S27" s="2459" t="str">
        <f>IF(SUM(S19:S26)=$E$3,SUM(S19:S26),SUM(S19:S26)&amp;"误差"&amp;ROUND(SUM(S19:S26)-E3,2))</f>
        <v>185097误差-4861</v>
      </c>
    </row>
    <row r="28" spans="1:19">
      <c r="A28" s="3097"/>
      <c r="B28" s="3072" t="s">
        <v>255</v>
      </c>
      <c r="C28" s="3033" t="s">
        <v>578</v>
      </c>
      <c r="D28" s="3066">
        <f>ROUND($D$3*E28/$E$3,2)</f>
        <v>1836.59</v>
      </c>
      <c r="E28" s="3094">
        <f>SUM(F28:G28)</f>
        <v>6316</v>
      </c>
      <c r="F28" s="2447">
        <f>'数据-基础表'!BQ5+'数据-基础表'!BS5</f>
        <v>764</v>
      </c>
      <c r="G28" s="3104">
        <f>'数据-基础表'!BR5+'数据-基础表'!BT5</f>
        <v>5552</v>
      </c>
      <c r="H28" s="3058"/>
      <c r="I28" s="3058"/>
      <c r="J28" s="3058"/>
      <c r="K28" s="3058"/>
      <c r="L28" s="3058"/>
      <c r="M28" s="3058"/>
      <c r="N28" s="3058"/>
      <c r="O28" s="3058"/>
      <c r="P28" s="3058"/>
    </row>
    <row r="29" spans="1:19">
      <c r="A29" s="3097"/>
      <c r="B29" s="3072" t="s">
        <v>255</v>
      </c>
      <c r="C29" s="3105" t="s">
        <v>579</v>
      </c>
      <c r="D29" s="3066">
        <f>ROUND($D$3*E29/$E$3,2)</f>
        <v>1413.5</v>
      </c>
      <c r="E29" s="3094">
        <f>SUM(F29:G29)</f>
        <v>4861</v>
      </c>
      <c r="F29" s="2447">
        <f>'数据-基础表'!BM5+'数据-基础表'!BO5</f>
        <v>100</v>
      </c>
      <c r="G29" s="3106">
        <f>'数据-基础表'!BN5+'数据-基础表'!BP5</f>
        <v>4761</v>
      </c>
      <c r="H29" s="3058"/>
      <c r="I29" s="3058"/>
      <c r="J29" s="3058"/>
      <c r="K29" s="3058"/>
      <c r="L29" s="3058"/>
      <c r="M29" s="3058"/>
      <c r="N29" s="3058"/>
      <c r="O29" s="3058"/>
      <c r="P29" s="3058"/>
    </row>
    <row r="30" spans="1:19">
      <c r="A30" s="3097"/>
      <c r="B30" s="3066"/>
      <c r="C30" s="3107" t="s">
        <v>563</v>
      </c>
      <c r="D30" s="3094">
        <f>SUM(D28:D29)</f>
        <v>3250.09</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55236.630000000005</v>
      </c>
      <c r="E31" s="3111">
        <f>E27+E30</f>
        <v>189958</v>
      </c>
      <c r="F31" s="3112">
        <f>F27+F30</f>
        <v>130764</v>
      </c>
      <c r="G31" s="3113">
        <f>G27+G30</f>
        <v>59194</v>
      </c>
      <c r="H31" s="3058"/>
      <c r="I31" s="3058"/>
      <c r="J31" s="3058"/>
      <c r="K31" s="3058"/>
      <c r="L31" s="3058"/>
      <c r="M31" s="3058"/>
      <c r="N31" s="3058"/>
      <c r="O31" s="3058"/>
      <c r="P31" s="3058"/>
    </row>
    <row r="32" spans="1:19">
      <c r="A32" s="3056"/>
      <c r="B32" s="3114" t="s">
        <v>582</v>
      </c>
      <c r="C32" s="3115"/>
      <c r="D32" s="3064"/>
      <c r="E32" s="3064">
        <f>SUMIF(C19:C26,"*住宅*",E19:E26)</f>
        <v>0</v>
      </c>
      <c r="F32" s="3064"/>
      <c r="G32" s="3064"/>
      <c r="H32" s="3058"/>
      <c r="I32" s="3058"/>
      <c r="J32" s="3058"/>
      <c r="K32" s="3058"/>
      <c r="L32" s="3058"/>
      <c r="M32" s="3058"/>
      <c r="N32" s="3058"/>
      <c r="O32" s="3058"/>
      <c r="P32" s="3058"/>
    </row>
    <row r="33" spans="4:4">
      <c r="D33" s="31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L20" sqref="L20"/>
    </sheetView>
  </sheetViews>
  <sheetFormatPr defaultColWidth="13.75" defaultRowHeight="12.75"/>
  <cols>
    <col min="1" max="1" width="23.125" style="2860" customWidth="1"/>
    <col min="2" max="3" width="12" style="2861" customWidth="1"/>
    <col min="4" max="4" width="9.125" style="2862" customWidth="1"/>
    <col min="5" max="5" width="15" style="2861" customWidth="1"/>
    <col min="6" max="10" width="8.875" style="2861" customWidth="1"/>
    <col min="11" max="12" width="12.375" style="82" customWidth="1"/>
    <col min="13" max="13" width="11.875" style="2861" customWidth="1"/>
    <col min="14" max="14" width="9.75" style="2861" customWidth="1"/>
    <col min="15" max="16" width="9.625" style="2861" customWidth="1"/>
    <col min="17" max="17" width="10.875" style="2861" customWidth="1"/>
    <col min="18" max="19" width="12.5" style="2861" customWidth="1"/>
    <col min="20" max="20" width="12.125" style="2861" customWidth="1"/>
    <col min="21" max="21" width="7.5" style="2861" customWidth="1"/>
    <col min="22" max="22" width="6.375" style="2861" customWidth="1"/>
    <col min="23" max="24" width="6.75" style="2861" customWidth="1"/>
    <col min="25" max="25" width="8.125" style="2861" customWidth="1"/>
    <col min="26" max="30" width="6.75" style="2861" customWidth="1"/>
    <col min="31" max="31" width="6.5" style="2861" customWidth="1"/>
    <col min="32" max="34" width="7.25" style="2861" customWidth="1"/>
    <col min="35" max="39" width="8" style="2861" customWidth="1"/>
    <col min="40" max="41" width="13.75" style="2859"/>
    <col min="42" max="42" width="13.75" style="2859" customWidth="1"/>
    <col min="43" max="83" width="13.75" style="2859"/>
    <col min="84" max="16384" width="13.75" style="2861"/>
  </cols>
  <sheetData>
    <row r="1" spans="1:83" ht="18.75">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5">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4.25">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25">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4">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25">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70628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5400</v>
      </c>
      <c r="M6" s="2983">
        <f t="shared" ref="M6:M14" si="1">ROUND(K6*L6/10000,0)</f>
        <v>70146</v>
      </c>
      <c r="N6" s="2984">
        <v>0</v>
      </c>
      <c r="O6" s="2983">
        <f>IF($N$5="成新度","——",ROUND(M6*N6,0))</f>
        <v>0</v>
      </c>
      <c r="P6" s="2985">
        <f>IF($N$5="成新度","——",M6-O6)</f>
        <v>70146</v>
      </c>
      <c r="Q6" s="3002">
        <v>0.15</v>
      </c>
      <c r="R6" s="2981">
        <f>SUMIF('数据-汇总表'!C$19:C$33,A6,'数据-汇总表'!R$19:R$33)</f>
        <v>39107.200000000004</v>
      </c>
      <c r="S6" s="3003">
        <f>IF('数据-汇总表'!$I$17="按面积比例",SUMIF('数据-汇总表'!C$19:C$33,A6,'数据-汇总表'!K$19:K$33),SUMIF('数据-汇总表'!C$19:C$33,A6,'数据-汇总表'!N$19:N$33))</f>
        <v>4589.13</v>
      </c>
      <c r="T6" s="3004">
        <f>IF($T$4="按面积比例",IF(ISERROR(ROUND($M$14*S6/S$16,0)),"0",ROUND($M$14*S6/S$16,0)),"需自行计算录入")</f>
        <v>1928</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25">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63323</v>
      </c>
      <c r="F7" s="2888">
        <f>SUMIF(项目基本情况!C$15:I$15,C7,项目基本情况!C$19:I$19)</f>
        <v>49.98</v>
      </c>
      <c r="G7" s="2889">
        <f t="shared" si="0"/>
        <v>1</v>
      </c>
      <c r="H7" s="2890">
        <f>H6</f>
        <v>4.4999999999999998E-2</v>
      </c>
      <c r="I7" s="2890">
        <f>I6</f>
        <v>0.05</v>
      </c>
      <c r="J7" s="2891">
        <v>7.0000000000000007E-2</v>
      </c>
      <c r="K7" s="2981">
        <f>SUMIF('数据-汇总表'!C$19:C$33,'数据-取费表'!A7,'数据-汇总表'!E$19:E$33)</f>
        <v>10700</v>
      </c>
      <c r="L7" s="2982">
        <v>4200</v>
      </c>
      <c r="M7" s="2983">
        <f t="shared" si="1"/>
        <v>4494</v>
      </c>
      <c r="N7" s="2984">
        <v>0</v>
      </c>
      <c r="O7" s="2983">
        <f t="shared" ref="O7:O14" si="3">IF($N$5="成新度","——",ROUND(M7*N7,0))</f>
        <v>0</v>
      </c>
      <c r="P7" s="2985">
        <f t="shared" ref="P7:P14" si="4">IF($N$5="成新度","——",M7-O7)</f>
        <v>4494</v>
      </c>
      <c r="Q7" s="3002">
        <v>0.05</v>
      </c>
      <c r="R7" s="2981">
        <f>SUMIF('数据-汇总表'!C$19:C$33,A7,'数据-汇总表'!R$19:R$33)</f>
        <v>3221.3</v>
      </c>
      <c r="S7" s="3003">
        <f>IF('数据-汇总表'!$I$17="按面积比例",SUMIF('数据-汇总表'!C$19:C$33,A7,'数据-汇总表'!K$19:K$33),SUMIF('数据-汇总表'!C$19:C$33,A7,'数据-汇总表'!N$19:N$33))</f>
        <v>378.01</v>
      </c>
      <c r="T7" s="3004">
        <f t="shared" ref="T7:T13" si="5">IF($T$4="按面积比例",IF(ISERROR(ROUND($M$14*S7/S$16,0)),"0",ROUND($M$14*S7/S$16,0)),"需自行计算录入")</f>
        <v>159</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25">
      <c r="A8" s="2883" t="str">
        <f>'数据-汇总表'!C21</f>
        <v>车库</v>
      </c>
      <c r="B8" s="2884" t="str">
        <f t="shared" si="2"/>
        <v>经营性</v>
      </c>
      <c r="C8" s="2885" t="s">
        <v>437</v>
      </c>
      <c r="D8" s="2886">
        <f>SUMIF(项目基本情况!C$15:I$15,C8,项目基本情况!C$18:I$18)</f>
        <v>50</v>
      </c>
      <c r="E8" s="2887">
        <f>IF(B8="","",SUMIF(项目基本情况!C$15:I$15,C8,项目基本情况!C$17:I$17))</f>
        <v>63323</v>
      </c>
      <c r="F8" s="2888">
        <f>SUMIF(项目基本情况!C$15:I$15,C8,项目基本情况!C$19:I$19)</f>
        <v>49.98</v>
      </c>
      <c r="G8" s="2889">
        <f t="shared" si="0"/>
        <v>1</v>
      </c>
      <c r="H8" s="2890">
        <f>H7</f>
        <v>4.4999999999999998E-2</v>
      </c>
      <c r="I8" s="2890">
        <f>I6</f>
        <v>0.05</v>
      </c>
      <c r="J8" s="2891">
        <v>7.0000000000000007E-2</v>
      </c>
      <c r="K8" s="2981">
        <f>SUMIF('数据-汇总表'!C$19:C$33,'数据-取费表'!A8,'数据-汇总表'!E$19:E$33)</f>
        <v>38181</v>
      </c>
      <c r="L8" s="2982">
        <f>L7</f>
        <v>4200</v>
      </c>
      <c r="M8" s="2983">
        <f t="shared" si="1"/>
        <v>16036</v>
      </c>
      <c r="N8" s="2984">
        <v>0</v>
      </c>
      <c r="O8" s="2983">
        <f t="shared" si="3"/>
        <v>0</v>
      </c>
      <c r="P8" s="2985">
        <f t="shared" si="4"/>
        <v>16036</v>
      </c>
      <c r="Q8" s="3002">
        <v>0.03</v>
      </c>
      <c r="R8" s="2981">
        <f>SUMIF('数据-汇总表'!C$19:C$33,A8,'数据-汇总表'!R$19:R$33)</f>
        <v>11494.63</v>
      </c>
      <c r="S8" s="3003">
        <f>IF('数据-汇总表'!$I$17="按面积比例",SUMIF('数据-汇总表'!C$19:C$33,A8,'数据-汇总表'!K$19:K$33),SUMIF('数据-汇总表'!C$19:C$33,A8,'数据-汇总表'!N$19:N$33))</f>
        <v>1348.86</v>
      </c>
      <c r="T8" s="3004">
        <f t="shared" si="5"/>
        <v>567</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25">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25">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25">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25">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25">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4.25">
      <c r="A14" s="2892" t="s">
        <v>531</v>
      </c>
      <c r="B14" s="2893" t="s">
        <v>625</v>
      </c>
      <c r="C14" s="2894" t="s">
        <v>531</v>
      </c>
      <c r="D14" s="2886"/>
      <c r="E14" s="2887"/>
      <c r="F14" s="2888"/>
      <c r="G14" s="2889"/>
      <c r="H14" s="2895"/>
      <c r="I14" s="2895"/>
      <c r="J14" s="2895"/>
      <c r="K14" s="2981">
        <f>SUMIF('数据-汇总表'!C$19:C$33,'数据-取费表'!A14,'数据-汇总表'!E$19:E$33)</f>
        <v>6316</v>
      </c>
      <c r="L14" s="2986">
        <f>L7</f>
        <v>4200</v>
      </c>
      <c r="M14" s="2983">
        <f t="shared" si="1"/>
        <v>2653</v>
      </c>
      <c r="N14" s="2987">
        <v>0</v>
      </c>
      <c r="O14" s="2983">
        <f t="shared" si="3"/>
        <v>0</v>
      </c>
      <c r="P14" s="2985">
        <f t="shared" si="4"/>
        <v>2653</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25">
      <c r="A15" s="2896" t="s">
        <v>579</v>
      </c>
      <c r="B15" s="2893" t="s">
        <v>625</v>
      </c>
      <c r="C15" s="2894" t="s">
        <v>626</v>
      </c>
      <c r="D15" s="2886"/>
      <c r="E15" s="2887"/>
      <c r="F15" s="2888"/>
      <c r="G15" s="2889"/>
      <c r="H15" s="2895"/>
      <c r="I15" s="2895"/>
      <c r="J15" s="2895"/>
      <c r="K15" s="2981">
        <f>SUMIF('数据-汇总表'!C$19:C$33,'数据-取费表'!A15,'数据-汇总表'!E$19:E$33)</f>
        <v>4861</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5">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5042</v>
      </c>
      <c r="M16" s="2992">
        <f>SUM(M6:M14)</f>
        <v>93329</v>
      </c>
      <c r="N16" s="2993">
        <f>ROUND(SUMPRODUCT(M6:M14,N6:N14)/M16,3)</f>
        <v>0</v>
      </c>
      <c r="O16" s="2992">
        <f>SUM(O6:O14)</f>
        <v>0</v>
      </c>
      <c r="P16" s="2992">
        <f>SUM(P6:P14)</f>
        <v>93329</v>
      </c>
      <c r="Q16" s="3015">
        <f>ROUND(SUMPRODUCT(Q6:Q13,K6:K13)/SUMPRODUCT((Q6:Q13&gt;0)*(K6:K13)),2)</f>
        <v>0.12</v>
      </c>
      <c r="R16" s="3016">
        <f>SUM(R6:R13)</f>
        <v>53823.130000000005</v>
      </c>
      <c r="S16" s="3017">
        <f>SUM(S6:S13)</f>
        <v>6316</v>
      </c>
      <c r="T16" s="3018" t="str">
        <f>IF(SUMIF(T6:T13,"&lt;9E307")=M14,SUMIF(T6:T13,"&lt;9E307"),"有误，请检查")</f>
        <v>有误，请检查</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25">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25">
      <c r="A19" s="2908" t="s">
        <v>629</v>
      </c>
      <c r="B19" s="2909">
        <v>0</v>
      </c>
      <c r="C19" s="2910" t="s">
        <v>630</v>
      </c>
      <c r="D19" s="2907"/>
      <c r="E19" s="2906"/>
      <c r="F19" s="2906"/>
      <c r="G19" s="2906"/>
      <c r="H19" s="2906"/>
      <c r="I19" s="2906"/>
      <c r="J19" s="2906"/>
      <c r="K19" s="3652" t="s">
        <v>2723</v>
      </c>
      <c r="L19" s="2994">
        <v>1200</v>
      </c>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25">
      <c r="A20" s="2911" t="s">
        <v>631</v>
      </c>
      <c r="B20" s="2912">
        <v>3</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25">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25">
      <c r="A22" s="2911" t="s">
        <v>634</v>
      </c>
      <c r="B22" s="2914">
        <f>B19+B20</f>
        <v>3</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25">
      <c r="A23" s="2913" t="s">
        <v>635</v>
      </c>
      <c r="B23" s="2914">
        <f>B19+B21</f>
        <v>0</v>
      </c>
      <c r="C23" s="2906"/>
      <c r="D23" s="2907"/>
      <c r="E23" s="2906"/>
      <c r="F23" s="2906"/>
      <c r="G23" s="2906"/>
      <c r="H23" s="2906"/>
      <c r="I23" s="2906"/>
      <c r="J23" s="2906"/>
      <c r="K23" s="2994"/>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25">
      <c r="A24" s="2915" t="s">
        <v>636</v>
      </c>
      <c r="B24" s="2916">
        <f>B20-B21</f>
        <v>3</v>
      </c>
      <c r="C24" s="2906"/>
      <c r="D24" s="2907"/>
      <c r="E24" s="2906"/>
      <c r="F24" s="2906"/>
      <c r="G24" s="2906"/>
      <c r="H24" s="2906"/>
      <c r="I24" s="2906"/>
      <c r="J24" s="2906"/>
      <c r="K24" s="2994"/>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4.25">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25">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7.75">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7.75">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7.75">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7">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7">
      <c r="A31" s="2924" t="s">
        <v>646</v>
      </c>
      <c r="B31" s="2932">
        <f>B30-B32</f>
        <v>50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7">
      <c r="A32" s="2934" t="s">
        <v>647</v>
      </c>
      <c r="B32" s="2935">
        <v>150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25">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25">
      <c r="A34" s="2924" t="s">
        <v>650</v>
      </c>
      <c r="B34" s="2938">
        <v>0</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25">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25">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25">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25">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25">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25">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25">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25">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25">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25">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25">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25">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25">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25">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25">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25">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25">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25">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7">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25">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25">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25">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25">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25">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25">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25">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25">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25">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25">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76"/>
  <sheetViews>
    <sheetView topLeftCell="P46" workbookViewId="0">
      <selection activeCell="U57" sqref="U57:W60"/>
    </sheetView>
  </sheetViews>
  <sheetFormatPr defaultRowHeight="14.25"/>
  <cols>
    <col min="1" max="8" width="9" style="3639"/>
    <col min="9" max="9" width="10.25" style="3639" bestFit="1" customWidth="1"/>
    <col min="10" max="37" width="9" style="3639"/>
    <col min="38" max="38" width="10.2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3327+1434-50</f>
        <v>4711</v>
      </c>
    </row>
    <row r="26" spans="26:28">
      <c r="Z26" s="3639" t="s">
        <v>2672</v>
      </c>
      <c r="AA26" s="3639">
        <v>5552</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3">
      <c r="S51" s="3743" t="s">
        <v>2716</v>
      </c>
      <c r="T51" s="3743" t="s">
        <v>464</v>
      </c>
      <c r="U51" s="3740" t="s">
        <v>444</v>
      </c>
      <c r="V51" s="3742"/>
      <c r="W51" s="3741"/>
    </row>
    <row r="52" spans="19:23">
      <c r="S52" s="3743"/>
      <c r="T52" s="3743"/>
      <c r="U52" s="3650" t="s">
        <v>2717</v>
      </c>
      <c r="V52" s="3650" t="s">
        <v>523</v>
      </c>
      <c r="W52" s="3650" t="s">
        <v>1364</v>
      </c>
    </row>
    <row r="53" spans="19:23">
      <c r="S53" s="3650" t="s">
        <v>2718</v>
      </c>
      <c r="T53" s="3650" t="s">
        <v>2676</v>
      </c>
      <c r="U53" s="3650">
        <v>129900</v>
      </c>
      <c r="V53" s="3650">
        <v>129900</v>
      </c>
      <c r="W53" s="3650" t="s">
        <v>2719</v>
      </c>
    </row>
    <row r="54" spans="19:23">
      <c r="S54" s="3650" t="s">
        <v>2718</v>
      </c>
      <c r="T54" s="3650" t="s">
        <v>438</v>
      </c>
      <c r="U54" s="3650">
        <v>10700</v>
      </c>
      <c r="V54" s="3650" t="s">
        <v>2719</v>
      </c>
      <c r="W54" s="3650">
        <v>10700</v>
      </c>
    </row>
    <row r="55" spans="19:23">
      <c r="S55" s="3650" t="s">
        <v>2718</v>
      </c>
      <c r="T55" s="3650" t="s">
        <v>437</v>
      </c>
      <c r="U55" s="3650">
        <v>38181</v>
      </c>
      <c r="V55" s="3650" t="s">
        <v>2719</v>
      </c>
      <c r="W55" s="3650">
        <v>38181</v>
      </c>
    </row>
    <row r="56" spans="19:23">
      <c r="S56" s="3740" t="s">
        <v>896</v>
      </c>
      <c r="T56" s="3741"/>
      <c r="U56" s="3650">
        <v>178781</v>
      </c>
      <c r="V56" s="3650">
        <v>129900</v>
      </c>
      <c r="W56" s="3650">
        <v>48881</v>
      </c>
    </row>
    <row r="57" spans="19:23">
      <c r="S57" s="3650" t="s">
        <v>625</v>
      </c>
      <c r="T57" s="3650" t="s">
        <v>531</v>
      </c>
      <c r="U57" s="3651">
        <v>6316</v>
      </c>
      <c r="V57" s="3651">
        <v>764</v>
      </c>
      <c r="W57" s="3651">
        <v>5552</v>
      </c>
    </row>
    <row r="58" spans="19:23">
      <c r="S58" s="3650" t="s">
        <v>625</v>
      </c>
      <c r="T58" s="3650" t="s">
        <v>579</v>
      </c>
      <c r="U58" s="3651">
        <v>4861</v>
      </c>
      <c r="V58" s="3651">
        <v>100</v>
      </c>
      <c r="W58" s="3651">
        <v>4761</v>
      </c>
    </row>
    <row r="59" spans="19:23">
      <c r="S59" s="3740" t="s">
        <v>896</v>
      </c>
      <c r="T59" s="3741"/>
      <c r="U59" s="3651">
        <v>11177</v>
      </c>
      <c r="V59" s="3651">
        <v>864</v>
      </c>
      <c r="W59" s="3651">
        <v>10313</v>
      </c>
    </row>
    <row r="60" spans="19:23">
      <c r="S60" s="3740" t="s">
        <v>2717</v>
      </c>
      <c r="T60" s="3741"/>
      <c r="U60" s="3651">
        <v>189958</v>
      </c>
      <c r="V60" s="3651">
        <v>130764</v>
      </c>
      <c r="W60" s="3651">
        <v>59194</v>
      </c>
    </row>
    <row r="62" spans="19:23">
      <c r="S62" s="3651" t="s">
        <v>2716</v>
      </c>
      <c r="T62" s="3651" t="s">
        <v>464</v>
      </c>
      <c r="U62" s="3651" t="s">
        <v>444</v>
      </c>
      <c r="V62" s="3651"/>
      <c r="W62" s="3651"/>
    </row>
    <row r="63" spans="19:23">
      <c r="S63" s="3651"/>
      <c r="T63" s="3651"/>
      <c r="U63" s="3651" t="s">
        <v>2717</v>
      </c>
      <c r="V63" s="3651" t="s">
        <v>523</v>
      </c>
      <c r="W63" s="3651" t="s">
        <v>1364</v>
      </c>
    </row>
    <row r="64" spans="19:23">
      <c r="S64" s="3651" t="s">
        <v>2718</v>
      </c>
      <c r="T64" s="3651" t="s">
        <v>2676</v>
      </c>
      <c r="U64" s="3651">
        <v>129900</v>
      </c>
      <c r="V64" s="3651">
        <v>129900</v>
      </c>
      <c r="W64" s="3651"/>
    </row>
    <row r="65" spans="19:23">
      <c r="S65" s="3651" t="s">
        <v>2718</v>
      </c>
      <c r="T65" s="3651" t="s">
        <v>438</v>
      </c>
      <c r="U65" s="3651">
        <v>10700</v>
      </c>
      <c r="V65" s="3651"/>
      <c r="W65" s="3651">
        <v>10700</v>
      </c>
    </row>
    <row r="66" spans="19:23">
      <c r="S66" s="3651" t="s">
        <v>2718</v>
      </c>
      <c r="T66" s="3651" t="s">
        <v>437</v>
      </c>
      <c r="U66" s="3651">
        <v>38181</v>
      </c>
      <c r="V66" s="3651"/>
      <c r="W66" s="3651">
        <v>38181</v>
      </c>
    </row>
    <row r="67" spans="19:23">
      <c r="S67" s="3651" t="s">
        <v>2718</v>
      </c>
      <c r="T67" s="3651"/>
      <c r="U67" s="3651">
        <v>0</v>
      </c>
      <c r="V67" s="3651"/>
      <c r="W67" s="3651"/>
    </row>
    <row r="68" spans="19:23">
      <c r="S68" s="3651" t="s">
        <v>2718</v>
      </c>
      <c r="T68" s="3651"/>
      <c r="U68" s="3651">
        <v>0</v>
      </c>
      <c r="V68" s="3651"/>
      <c r="W68" s="3651"/>
    </row>
    <row r="69" spans="19:23">
      <c r="S69" s="3651" t="s">
        <v>2718</v>
      </c>
      <c r="T69" s="3651"/>
      <c r="U69" s="3651">
        <v>0</v>
      </c>
      <c r="V69" s="3651"/>
      <c r="W69" s="3651"/>
    </row>
    <row r="70" spans="19:23">
      <c r="S70" s="3651" t="s">
        <v>2718</v>
      </c>
      <c r="T70" s="3651"/>
      <c r="U70" s="3651">
        <v>0</v>
      </c>
      <c r="V70" s="3651"/>
      <c r="W70" s="3651"/>
    </row>
    <row r="71" spans="19:23">
      <c r="S71" s="3651" t="s">
        <v>2718</v>
      </c>
      <c r="T71" s="3651"/>
      <c r="U71" s="3651">
        <v>0</v>
      </c>
      <c r="V71" s="3651"/>
      <c r="W71" s="3651"/>
    </row>
    <row r="72" spans="19:23">
      <c r="S72" s="3651"/>
      <c r="T72" s="3651" t="s">
        <v>896</v>
      </c>
      <c r="U72" s="3651">
        <v>178781</v>
      </c>
      <c r="V72" s="3651">
        <v>129900</v>
      </c>
      <c r="W72" s="3651">
        <v>48881</v>
      </c>
    </row>
    <row r="73" spans="19:23">
      <c r="S73" s="3651" t="s">
        <v>625</v>
      </c>
      <c r="T73" s="3651" t="s">
        <v>531</v>
      </c>
      <c r="U73" s="3651">
        <v>6316</v>
      </c>
      <c r="V73" s="3651">
        <v>764</v>
      </c>
      <c r="W73" s="3651">
        <v>5552</v>
      </c>
    </row>
    <row r="74" spans="19:23">
      <c r="S74" s="3651" t="s">
        <v>625</v>
      </c>
      <c r="T74" s="3651" t="s">
        <v>579</v>
      </c>
      <c r="U74" s="3651">
        <v>4861</v>
      </c>
      <c r="V74" s="3651">
        <v>100</v>
      </c>
      <c r="W74" s="3651">
        <v>4761</v>
      </c>
    </row>
    <row r="75" spans="19:23">
      <c r="S75" s="3651"/>
      <c r="T75" s="3651" t="s">
        <v>896</v>
      </c>
      <c r="U75" s="3651">
        <v>11177</v>
      </c>
      <c r="V75" s="3651">
        <v>864</v>
      </c>
      <c r="W75" s="3651">
        <v>10313</v>
      </c>
    </row>
    <row r="76" spans="19:23">
      <c r="S76" s="3651" t="s">
        <v>2717</v>
      </c>
      <c r="T76" s="3651" t="s">
        <v>581</v>
      </c>
      <c r="U76" s="3651">
        <v>189958</v>
      </c>
      <c r="V76" s="3651">
        <v>130764</v>
      </c>
      <c r="W76" s="3651">
        <v>59194</v>
      </c>
    </row>
  </sheetData>
  <mergeCells count="6">
    <mergeCell ref="S60:T60"/>
    <mergeCell ref="U51:W51"/>
    <mergeCell ref="S51:S52"/>
    <mergeCell ref="T51:T52"/>
    <mergeCell ref="S59:T59"/>
    <mergeCell ref="S56:T56"/>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5" customWidth="1"/>
    <col min="2" max="2" width="23.5" style="2786" customWidth="1"/>
    <col min="3" max="3" width="32.25" style="2787" customWidth="1"/>
    <col min="4" max="4" width="2.625" style="2787" customWidth="1"/>
    <col min="5" max="5" width="5.875" style="2787" customWidth="1"/>
    <col min="6" max="6" width="23.625" style="2786" customWidth="1"/>
    <col min="7" max="7" width="33.375" style="2788" customWidth="1"/>
    <col min="8" max="8" width="11.875" style="2786" customWidth="1"/>
    <col min="9" max="9" width="16.75" style="2788" customWidth="1"/>
    <col min="10" max="10" width="2.625" style="2787" customWidth="1"/>
    <col min="11" max="11" width="11.875" style="2786" customWidth="1"/>
    <col min="12" max="12" width="16.75" style="2788" customWidth="1"/>
    <col min="13" max="13" width="2.625" style="2787" customWidth="1"/>
    <col min="14" max="14" width="11.875" style="2786" customWidth="1"/>
    <col min="15" max="15" width="16.75" style="2788" customWidth="1"/>
    <col min="16" max="16" width="2.625" style="2787" customWidth="1"/>
    <col min="17" max="17" width="11.875" style="2786" customWidth="1"/>
    <col min="18" max="18" width="16.75" style="2789" customWidth="1"/>
    <col min="19" max="16384" width="9" style="2785"/>
  </cols>
  <sheetData>
    <row r="1" spans="1:18" s="2783" customFormat="1" ht="18.75">
      <c r="A1" s="3744" t="s">
        <v>682</v>
      </c>
      <c r="B1" s="3745"/>
      <c r="C1" s="3745"/>
      <c r="D1" s="3745"/>
      <c r="E1" s="3745"/>
      <c r="F1" s="3745"/>
      <c r="G1" s="3745"/>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0.5">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0.5">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1.25">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0.5">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7">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7">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ht="14.25">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8.75">
      <c r="A12" s="2817"/>
      <c r="B12" s="2808"/>
      <c r="C12" s="2799"/>
      <c r="D12" s="2819"/>
      <c r="E12" s="2799"/>
      <c r="F12" s="2808"/>
      <c r="G12" s="2818"/>
      <c r="H12" s="2820"/>
      <c r="I12" s="2849"/>
      <c r="J12" s="2820"/>
      <c r="K12" s="2820"/>
      <c r="L12" s="2850"/>
      <c r="M12" s="2820"/>
      <c r="N12" s="2851"/>
      <c r="O12" s="2852"/>
      <c r="P12" s="2853"/>
      <c r="Q12" s="2851"/>
      <c r="R12" s="2855"/>
    </row>
    <row r="13" spans="1:18" ht="18.75">
      <c r="A13" s="2821" t="s">
        <v>702</v>
      </c>
      <c r="B13" s="2819"/>
      <c r="C13" s="2819"/>
      <c r="D13" s="2794"/>
      <c r="E13" s="2819"/>
      <c r="F13" s="2819"/>
      <c r="G13" s="2819"/>
    </row>
    <row r="14" spans="1:18">
      <c r="A14" s="2822"/>
      <c r="B14" s="2822"/>
      <c r="C14" s="2823" t="s">
        <v>683</v>
      </c>
      <c r="D14" s="2799"/>
      <c r="E14" s="2824"/>
      <c r="F14" s="2824"/>
      <c r="G14" s="2793" t="s">
        <v>164</v>
      </c>
    </row>
    <row r="15" spans="1:18" ht="40.5">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0.5">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0.5">
      <c r="A17" s="2830"/>
      <c r="B17" s="2831" t="s">
        <v>693</v>
      </c>
      <c r="C17" s="2832" t="str">
        <f>C5</f>
        <v>估价对象位于XX商圈，周边办公楼项目较多，入驻率高，办公集聚程度较好</v>
      </c>
      <c r="D17" s="2808"/>
      <c r="E17" s="2833"/>
      <c r="F17" s="2834" t="s">
        <v>703</v>
      </c>
      <c r="G17" s="2836"/>
    </row>
    <row r="18" spans="1:7" ht="40.5">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7">
      <c r="A19" s="2830"/>
      <c r="B19" s="2834" t="s">
        <v>703</v>
      </c>
      <c r="C19" s="2836"/>
      <c r="D19" s="2799"/>
      <c r="E19" s="2833"/>
      <c r="F19" s="2803" t="s">
        <v>229</v>
      </c>
      <c r="G19" s="2835" t="str">
        <f>G5</f>
        <v>估价对象所在区域公共配套设施齐备情况</v>
      </c>
    </row>
    <row r="20" spans="1:7" ht="27">
      <c r="A20" s="2830"/>
      <c r="B20" s="2834" t="s">
        <v>704</v>
      </c>
      <c r="C20" s="2832" t="str">
        <f>C9</f>
        <v>区域自然环境：；人文环境；综合评价环境状况一般</v>
      </c>
      <c r="D20" s="2808"/>
      <c r="E20" s="2833"/>
      <c r="F20" s="2803" t="s">
        <v>230</v>
      </c>
      <c r="G20" s="2835" t="str">
        <f>G6</f>
        <v>估价对象所在区域基础设施水平</v>
      </c>
    </row>
    <row r="21" spans="1:7" ht="27">
      <c r="A21" s="2830"/>
      <c r="B21" s="2803" t="s">
        <v>229</v>
      </c>
      <c r="C21" s="2835" t="str">
        <f>C7</f>
        <v>估价对象所在区域公共配套设施齐备情况</v>
      </c>
      <c r="D21" s="2799"/>
      <c r="E21" s="2833"/>
      <c r="F21" s="2834" t="s">
        <v>705</v>
      </c>
      <c r="G21" s="2837"/>
    </row>
    <row r="22" spans="1:7" ht="14.25">
      <c r="A22" s="2830"/>
      <c r="B22" s="2803" t="s">
        <v>230</v>
      </c>
      <c r="C22" s="2835" t="str">
        <f>C8</f>
        <v>估价对象所在区域基础设施水平</v>
      </c>
      <c r="D22" s="2799"/>
      <c r="E22" s="2833"/>
      <c r="F22" s="2834" t="s">
        <v>701</v>
      </c>
      <c r="G22" s="2836"/>
    </row>
    <row r="23" spans="1:7" ht="14.25">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N27" sqref="N27"/>
    </sheetView>
  </sheetViews>
  <sheetFormatPr defaultColWidth="14.625" defaultRowHeight="13.5"/>
  <cols>
    <col min="1" max="1" width="24.375" style="2771" customWidth="1"/>
    <col min="2" max="16384" width="14.625" style="2771"/>
  </cols>
  <sheetData>
    <row r="1" spans="1:10">
      <c r="A1" s="2772" t="s">
        <v>706</v>
      </c>
      <c r="B1" s="2772">
        <f>SUM(B14:B23)</f>
        <v>204700</v>
      </c>
      <c r="C1" s="2773"/>
      <c r="D1" s="2773"/>
      <c r="E1" s="2773"/>
      <c r="F1" s="2773"/>
      <c r="G1" s="2774"/>
      <c r="H1" s="2774"/>
      <c r="I1" s="2774"/>
      <c r="J1" s="2774"/>
    </row>
    <row r="2" spans="1:10">
      <c r="A2" s="2772" t="s">
        <v>707</v>
      </c>
      <c r="B2" s="2772">
        <f>SUM(C14:C23)</f>
        <v>55236.63</v>
      </c>
      <c r="C2" s="2773"/>
      <c r="D2" s="2773"/>
      <c r="E2" s="2773"/>
      <c r="F2" s="2773"/>
      <c r="G2" s="2774"/>
      <c r="H2" s="2774"/>
      <c r="I2" s="2774"/>
      <c r="J2" s="2774"/>
    </row>
    <row r="3" spans="1:10">
      <c r="A3" s="2772" t="s">
        <v>708</v>
      </c>
      <c r="B3" s="2775">
        <f>项目基本情况!D3</f>
        <v>45077</v>
      </c>
      <c r="C3" s="2773"/>
      <c r="D3" s="2773"/>
      <c r="E3" s="2773"/>
      <c r="F3" s="2773"/>
      <c r="G3" s="2774"/>
      <c r="H3" s="2774"/>
      <c r="I3" s="2774"/>
      <c r="J3" s="2774"/>
    </row>
    <row r="4" spans="1:10" ht="27">
      <c r="A4" s="2772" t="s">
        <v>423</v>
      </c>
      <c r="B4" s="2772" t="s">
        <v>709</v>
      </c>
      <c r="C4" s="2772" t="s">
        <v>710</v>
      </c>
      <c r="D4" s="2772" t="s">
        <v>711</v>
      </c>
      <c r="E4" s="2773"/>
      <c r="F4" s="2773"/>
      <c r="G4" s="2774"/>
      <c r="H4" s="2774"/>
      <c r="I4" s="2774"/>
      <c r="J4" s="2774"/>
    </row>
    <row r="5" spans="1:10">
      <c r="A5" s="2772" t="s">
        <v>712</v>
      </c>
      <c r="B5" s="2772">
        <f ca="1">SUM(D14:D23)</f>
        <v>187948</v>
      </c>
      <c r="C5" s="2772">
        <f ca="1">ROUND(B5*10000/$B$1,0)</f>
        <v>9182</v>
      </c>
      <c r="D5" s="2772">
        <f ca="1">ROUND(B5*10000/$B$2,0)</f>
        <v>34026</v>
      </c>
      <c r="E5" s="2773"/>
      <c r="F5" s="2773"/>
      <c r="G5" s="2774"/>
      <c r="H5" s="2774"/>
      <c r="I5" s="2774"/>
      <c r="J5" s="2774"/>
    </row>
    <row r="6" spans="1:10">
      <c r="A6" s="2772" t="s">
        <v>713</v>
      </c>
      <c r="B6" s="2772">
        <f ca="1">SUM(G14:G23)</f>
        <v>187948</v>
      </c>
      <c r="C6" s="2772">
        <f ca="1">ROUND(B6*10000/$B$1,0)</f>
        <v>9182</v>
      </c>
      <c r="D6" s="2772">
        <f ca="1">ROUND(B6*10000/$B$2,0)</f>
        <v>34026</v>
      </c>
      <c r="E6" s="2773"/>
      <c r="F6" s="2773"/>
      <c r="G6" s="2774"/>
      <c r="H6" s="2774"/>
      <c r="I6" s="2774"/>
      <c r="J6" s="2774"/>
    </row>
    <row r="7" spans="1:10">
      <c r="A7" s="2772" t="s">
        <v>714</v>
      </c>
      <c r="B7" s="2772">
        <f>SUM(H14:H23)</f>
        <v>0</v>
      </c>
      <c r="C7" s="2772">
        <f>ROUND(B7*10000/$B$1,0)</f>
        <v>0</v>
      </c>
      <c r="D7" s="2772">
        <f>ROUND(B7*10000/$B$2,0)</f>
        <v>0</v>
      </c>
      <c r="E7" s="2773"/>
      <c r="F7" s="2773"/>
      <c r="G7" s="2774"/>
      <c r="H7" s="2774"/>
      <c r="I7" s="2774"/>
      <c r="J7" s="2774"/>
    </row>
    <row r="8" spans="1:10">
      <c r="A8" s="2772" t="s">
        <v>350</v>
      </c>
      <c r="B8" s="2772">
        <f ca="1">SUM(I14:I23)</f>
        <v>178009</v>
      </c>
      <c r="C8" s="2772">
        <f ca="1">ROUND(B8*10000/$B$1,0)</f>
        <v>8696</v>
      </c>
      <c r="D8" s="2772">
        <f ca="1">ROUND(B8*10000/$B$2,0)</f>
        <v>32227</v>
      </c>
      <c r="E8" s="2773"/>
      <c r="F8" s="2773"/>
      <c r="G8" s="2774"/>
      <c r="H8" s="2774"/>
      <c r="I8" s="2774"/>
      <c r="J8" s="2774"/>
    </row>
    <row r="9" spans="1:10">
      <c r="A9" s="2772" t="s">
        <v>715</v>
      </c>
      <c r="B9" s="2776"/>
      <c r="C9" s="2773"/>
      <c r="D9" s="2773"/>
      <c r="E9" s="2773"/>
      <c r="F9" s="2773"/>
      <c r="G9" s="2774"/>
      <c r="H9" s="2774"/>
      <c r="I9" s="2774"/>
      <c r="J9" s="2774"/>
    </row>
    <row r="10" spans="1:10">
      <c r="A10" s="2772" t="s">
        <v>716</v>
      </c>
      <c r="B10" s="2776"/>
      <c r="C10" s="2773"/>
      <c r="D10" s="2773"/>
      <c r="E10" s="2773"/>
      <c r="F10" s="2773"/>
      <c r="G10" s="2774"/>
      <c r="H10" s="2774"/>
      <c r="I10" s="2774"/>
      <c r="J10" s="2774"/>
    </row>
    <row r="11" spans="1:10">
      <c r="A11" s="2772" t="s">
        <v>717</v>
      </c>
      <c r="B11" s="2776"/>
      <c r="C11" s="2773"/>
      <c r="D11" s="2773"/>
      <c r="E11" s="2773"/>
      <c r="F11" s="2773"/>
      <c r="G11" s="2774"/>
      <c r="H11" s="2774"/>
      <c r="I11" s="2774"/>
      <c r="J11" s="2774"/>
    </row>
    <row r="12" spans="1:10">
      <c r="A12" s="2773"/>
      <c r="B12" s="2773"/>
      <c r="C12" s="2773"/>
      <c r="D12" s="2773"/>
      <c r="E12" s="2773"/>
      <c r="F12" s="2773"/>
      <c r="G12" s="2774"/>
      <c r="H12" s="2774"/>
      <c r="I12" s="2774"/>
      <c r="J12" s="2774"/>
    </row>
    <row r="13" spans="1:10" ht="27">
      <c r="A13" s="2777" t="s">
        <v>718</v>
      </c>
      <c r="B13" s="2778" t="s">
        <v>706</v>
      </c>
      <c r="C13" s="2778" t="s">
        <v>707</v>
      </c>
      <c r="D13" s="2778" t="s">
        <v>719</v>
      </c>
      <c r="E13" s="2772" t="s">
        <v>710</v>
      </c>
      <c r="F13" s="2772" t="s">
        <v>711</v>
      </c>
      <c r="G13" s="2778" t="s">
        <v>720</v>
      </c>
      <c r="H13" s="2778" t="s">
        <v>721</v>
      </c>
      <c r="I13" s="2778" t="s">
        <v>722</v>
      </c>
      <c r="J13" s="2774"/>
    </row>
    <row r="14" spans="1:10">
      <c r="A14" s="2779" t="s">
        <v>723</v>
      </c>
      <c r="B14" s="2780">
        <f>'数据-基础表'!B3</f>
        <v>204700</v>
      </c>
      <c r="C14" s="2780">
        <f>'数据-汇总表'!D3</f>
        <v>55236.63</v>
      </c>
      <c r="D14" s="2780">
        <f ca="1">结果表!C32</f>
        <v>187948</v>
      </c>
      <c r="E14" s="2780">
        <f ca="1">ROUND(D14*10000/B14,0)</f>
        <v>9182</v>
      </c>
      <c r="F14" s="2780">
        <f ca="1">ROUND(D14*10000/C14,0)</f>
        <v>34026</v>
      </c>
      <c r="G14" s="2780">
        <f ca="1">D14</f>
        <v>187948</v>
      </c>
      <c r="H14" s="2780"/>
      <c r="I14" s="2780">
        <f ca="1">结果表!C46</f>
        <v>178009</v>
      </c>
      <c r="J14" s="2774"/>
    </row>
    <row r="15" spans="1:10">
      <c r="A15" s="2779" t="s">
        <v>724</v>
      </c>
      <c r="B15" s="2781"/>
      <c r="C15" s="2781"/>
      <c r="D15" s="2781"/>
      <c r="E15" s="2780" t="e">
        <f t="shared" ref="E15:E23" si="0">ROUND(D15*10000/B15,0)</f>
        <v>#DIV/0!</v>
      </c>
      <c r="F15" s="2780" t="e">
        <f t="shared" ref="F15:F23" si="1">ROUND(D15*10000/C15,0)</f>
        <v>#DIV/0!</v>
      </c>
      <c r="G15" s="2782"/>
      <c r="H15" s="2782"/>
      <c r="I15" s="2781"/>
      <c r="J15" s="2774"/>
    </row>
    <row r="16" spans="1:10">
      <c r="A16" s="2779" t="s">
        <v>725</v>
      </c>
      <c r="B16" s="2781"/>
      <c r="C16" s="2781"/>
      <c r="D16" s="2781"/>
      <c r="E16" s="2780" t="e">
        <f t="shared" si="0"/>
        <v>#DIV/0!</v>
      </c>
      <c r="F16" s="2780" t="e">
        <f t="shared" si="1"/>
        <v>#DIV/0!</v>
      </c>
      <c r="G16" s="2782"/>
      <c r="H16" s="2782"/>
      <c r="I16" s="2781"/>
      <c r="J16" s="2774"/>
    </row>
    <row r="17" spans="1:10">
      <c r="A17" s="2779" t="s">
        <v>726</v>
      </c>
      <c r="B17" s="2781"/>
      <c r="C17" s="2781"/>
      <c r="D17" s="2781"/>
      <c r="E17" s="2780" t="e">
        <f t="shared" si="0"/>
        <v>#DIV/0!</v>
      </c>
      <c r="F17" s="2780" t="e">
        <f t="shared" si="1"/>
        <v>#DIV/0!</v>
      </c>
      <c r="G17" s="2782"/>
      <c r="H17" s="2782"/>
      <c r="I17" s="2781"/>
      <c r="J17" s="2774"/>
    </row>
    <row r="18" spans="1:10">
      <c r="A18" s="2779" t="s">
        <v>727</v>
      </c>
      <c r="B18" s="2781"/>
      <c r="C18" s="2781"/>
      <c r="D18" s="2781"/>
      <c r="E18" s="2780" t="e">
        <f t="shared" si="0"/>
        <v>#DIV/0!</v>
      </c>
      <c r="F18" s="2780" t="e">
        <f t="shared" si="1"/>
        <v>#DIV/0!</v>
      </c>
      <c r="G18" s="2781"/>
      <c r="H18" s="2781"/>
      <c r="I18" s="2781"/>
      <c r="J18" s="2774"/>
    </row>
    <row r="19" spans="1:10">
      <c r="A19" s="2779" t="s">
        <v>728</v>
      </c>
      <c r="B19" s="2781"/>
      <c r="C19" s="2781"/>
      <c r="D19" s="2781"/>
      <c r="E19" s="2780" t="e">
        <f t="shared" si="0"/>
        <v>#DIV/0!</v>
      </c>
      <c r="F19" s="2780" t="e">
        <f t="shared" si="1"/>
        <v>#DIV/0!</v>
      </c>
      <c r="G19" s="2781"/>
      <c r="H19" s="2781"/>
      <c r="I19" s="2781"/>
      <c r="J19" s="2774"/>
    </row>
    <row r="20" spans="1:10">
      <c r="A20" s="2779" t="s">
        <v>729</v>
      </c>
      <c r="B20" s="2781"/>
      <c r="C20" s="2781"/>
      <c r="D20" s="2781"/>
      <c r="E20" s="2780" t="e">
        <f t="shared" si="0"/>
        <v>#DIV/0!</v>
      </c>
      <c r="F20" s="2780" t="e">
        <f t="shared" si="1"/>
        <v>#DIV/0!</v>
      </c>
      <c r="G20" s="2781"/>
      <c r="H20" s="2781"/>
      <c r="I20" s="2781"/>
      <c r="J20" s="2774"/>
    </row>
    <row r="21" spans="1:10">
      <c r="A21" s="2779" t="s">
        <v>730</v>
      </c>
      <c r="B21" s="2781"/>
      <c r="C21" s="2781"/>
      <c r="D21" s="2781"/>
      <c r="E21" s="2780" t="e">
        <f t="shared" si="0"/>
        <v>#DIV/0!</v>
      </c>
      <c r="F21" s="2780" t="e">
        <f t="shared" si="1"/>
        <v>#DIV/0!</v>
      </c>
      <c r="G21" s="2781"/>
      <c r="H21" s="2781"/>
      <c r="I21" s="2781"/>
      <c r="J21" s="2774"/>
    </row>
    <row r="22" spans="1:10">
      <c r="A22" s="2779" t="s">
        <v>731</v>
      </c>
      <c r="B22" s="2781"/>
      <c r="C22" s="2781"/>
      <c r="D22" s="2781"/>
      <c r="E22" s="2780" t="e">
        <f t="shared" si="0"/>
        <v>#DIV/0!</v>
      </c>
      <c r="F22" s="2780" t="e">
        <f t="shared" si="1"/>
        <v>#DIV/0!</v>
      </c>
      <c r="G22" s="2781"/>
      <c r="H22" s="2781"/>
      <c r="I22" s="2781"/>
      <c r="J22" s="2774"/>
    </row>
    <row r="23" spans="1:10">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D55" zoomScale="90" zoomScaleNormal="100" zoomScaleSheetLayoutView="90" workbookViewId="0">
      <selection activeCell="G27" sqref="G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817" t="str">
        <f>项目基本情况!K2</f>
        <v>北京市出让国有建设用地使用权</v>
      </c>
      <c r="B2" s="3818"/>
      <c r="C2" s="3819"/>
      <c r="D2" s="3819"/>
      <c r="E2" s="3819"/>
      <c r="F2" s="3819"/>
      <c r="G2" s="3818"/>
      <c r="H2" s="3818"/>
      <c r="I2" s="3820"/>
      <c r="J2" s="2551"/>
      <c r="K2" s="188"/>
      <c r="L2" s="188"/>
      <c r="M2" s="188"/>
      <c r="N2" s="188"/>
      <c r="O2" s="188"/>
      <c r="P2" s="188"/>
      <c r="Q2" s="188"/>
      <c r="R2" s="188"/>
      <c r="S2" s="188"/>
      <c r="T2" s="188"/>
      <c r="U2" s="188"/>
      <c r="V2" s="188"/>
    </row>
    <row r="3" spans="1:22" ht="14.25">
      <c r="A3" s="3821" t="s">
        <v>736</v>
      </c>
      <c r="B3" s="3822"/>
      <c r="C3" s="3822"/>
      <c r="D3" s="3822"/>
      <c r="E3" s="3822"/>
      <c r="F3" s="3822"/>
      <c r="G3" s="3822"/>
      <c r="H3" s="3822"/>
      <c r="I3" s="3822"/>
      <c r="J3" s="2551"/>
      <c r="K3" s="188"/>
      <c r="L3" s="188"/>
      <c r="M3" s="188"/>
      <c r="N3" s="188"/>
      <c r="O3" s="188"/>
      <c r="P3" s="188"/>
      <c r="Q3" s="188"/>
      <c r="R3" s="188"/>
      <c r="S3" s="188"/>
      <c r="T3" s="188"/>
      <c r="U3" s="188"/>
      <c r="V3" s="188"/>
    </row>
    <row r="4" spans="1:22" ht="14.25">
      <c r="A4" s="2441" t="s">
        <v>737</v>
      </c>
      <c r="B4" s="2200" t="s">
        <v>738</v>
      </c>
      <c r="C4" s="2442" t="s">
        <v>2658</v>
      </c>
      <c r="D4" s="2442" t="s">
        <v>2659</v>
      </c>
      <c r="E4" s="3789" t="s">
        <v>739</v>
      </c>
      <c r="F4" s="3791"/>
      <c r="G4" s="3791"/>
      <c r="H4" s="3791"/>
      <c r="I4" s="3790"/>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26" t="s">
        <v>740</v>
      </c>
      <c r="B5" s="3814">
        <v>25</v>
      </c>
      <c r="C5" s="3762"/>
      <c r="D5" s="3765"/>
      <c r="E5" s="1028" t="s">
        <v>741</v>
      </c>
      <c r="F5" s="2445"/>
      <c r="G5" s="2445"/>
      <c r="H5" s="2445"/>
      <c r="I5" s="2554"/>
      <c r="J5" s="2551"/>
      <c r="K5" s="188"/>
      <c r="L5" s="188"/>
      <c r="M5" s="188"/>
      <c r="N5" s="188"/>
      <c r="O5" s="188"/>
      <c r="P5" s="188"/>
      <c r="Q5" s="188"/>
      <c r="R5" s="188"/>
      <c r="S5" s="188"/>
      <c r="T5" s="188"/>
      <c r="U5" s="188"/>
      <c r="V5" s="188"/>
    </row>
    <row r="6" spans="1:22" ht="14.25">
      <c r="A6" s="3826"/>
      <c r="B6" s="3814"/>
      <c r="C6" s="3763"/>
      <c r="D6" s="3765"/>
      <c r="E6" s="1028" t="s">
        <v>742</v>
      </c>
      <c r="F6" s="2445"/>
      <c r="G6" s="2445"/>
      <c r="H6" s="2445"/>
      <c r="I6" s="2554"/>
      <c r="J6" s="2551"/>
      <c r="K6" s="188"/>
      <c r="L6" s="188"/>
      <c r="M6" s="188"/>
      <c r="N6" s="188"/>
      <c r="O6" s="188"/>
      <c r="P6" s="188"/>
      <c r="Q6" s="188"/>
      <c r="R6" s="188"/>
      <c r="S6" s="188"/>
      <c r="T6" s="188"/>
      <c r="U6" s="188"/>
      <c r="V6" s="188"/>
    </row>
    <row r="7" spans="1:22" ht="14.25">
      <c r="A7" s="3826"/>
      <c r="B7" s="3814"/>
      <c r="C7" s="3764"/>
      <c r="D7" s="3765"/>
      <c r="E7" s="1028" t="s">
        <v>743</v>
      </c>
      <c r="F7" s="2445"/>
      <c r="G7" s="2445"/>
      <c r="H7" s="2445"/>
      <c r="I7" s="2554"/>
      <c r="J7" s="2551"/>
      <c r="K7" s="188"/>
      <c r="L7" s="188"/>
      <c r="M7" s="188"/>
      <c r="N7" s="188"/>
      <c r="O7" s="188"/>
      <c r="P7" s="188"/>
      <c r="Q7" s="188"/>
      <c r="R7" s="188"/>
      <c r="S7" s="188"/>
      <c r="T7" s="188"/>
      <c r="U7" s="188"/>
      <c r="V7" s="188"/>
    </row>
    <row r="8" spans="1:22" ht="14.25">
      <c r="A8" s="3826" t="s">
        <v>744</v>
      </c>
      <c r="B8" s="3814">
        <v>15</v>
      </c>
      <c r="C8" s="3762"/>
      <c r="D8" s="3765"/>
      <c r="E8" s="1028" t="s">
        <v>745</v>
      </c>
      <c r="F8" s="2445"/>
      <c r="G8" s="2445"/>
      <c r="H8" s="2445"/>
      <c r="I8" s="2554"/>
      <c r="J8" s="2551"/>
      <c r="K8" s="188"/>
      <c r="L8" s="188"/>
      <c r="M8" s="188"/>
      <c r="N8" s="188"/>
      <c r="O8" s="188"/>
      <c r="P8" s="188"/>
      <c r="Q8" s="188"/>
      <c r="R8" s="188"/>
      <c r="S8" s="188"/>
      <c r="T8" s="188"/>
      <c r="U8" s="188"/>
      <c r="V8" s="188"/>
    </row>
    <row r="9" spans="1:22" ht="14.25">
      <c r="A9" s="3826"/>
      <c r="B9" s="3814"/>
      <c r="C9" s="3764"/>
      <c r="D9" s="3765"/>
      <c r="E9" s="1028" t="s">
        <v>746</v>
      </c>
      <c r="F9" s="2445"/>
      <c r="G9" s="2445"/>
      <c r="H9" s="2445"/>
      <c r="I9" s="2554"/>
      <c r="J9" s="2551"/>
      <c r="K9" s="188"/>
      <c r="L9" s="188"/>
      <c r="M9" s="188"/>
      <c r="N9" s="188"/>
      <c r="O9" s="188"/>
      <c r="P9" s="188"/>
      <c r="Q9" s="188"/>
      <c r="R9" s="188"/>
      <c r="S9" s="188"/>
      <c r="T9" s="188"/>
      <c r="U9" s="188"/>
      <c r="V9" s="188"/>
    </row>
    <row r="10" spans="1:22" ht="14.25">
      <c r="A10" s="3826" t="s">
        <v>747</v>
      </c>
      <c r="B10" s="3814">
        <v>15</v>
      </c>
      <c r="C10" s="3762"/>
      <c r="D10" s="3765"/>
      <c r="E10" s="1028" t="s">
        <v>748</v>
      </c>
      <c r="F10" s="2445"/>
      <c r="G10" s="2445"/>
      <c r="H10" s="2445"/>
      <c r="I10" s="2554"/>
      <c r="J10" s="2551"/>
      <c r="K10" s="188"/>
      <c r="L10" s="188"/>
      <c r="M10" s="188"/>
      <c r="N10" s="188"/>
      <c r="O10" s="188"/>
      <c r="P10" s="188"/>
      <c r="Q10" s="188"/>
      <c r="R10" s="188"/>
      <c r="S10" s="188"/>
      <c r="T10" s="188"/>
      <c r="U10" s="188"/>
      <c r="V10" s="188"/>
    </row>
    <row r="11" spans="1:22" ht="14.25">
      <c r="A11" s="3826"/>
      <c r="B11" s="3814"/>
      <c r="C11" s="3764"/>
      <c r="D11" s="3765"/>
      <c r="E11" s="1028" t="s">
        <v>749</v>
      </c>
      <c r="F11" s="2445"/>
      <c r="G11" s="2445"/>
      <c r="H11" s="2445"/>
      <c r="I11" s="2554"/>
      <c r="J11" s="2551"/>
      <c r="K11" s="188"/>
      <c r="L11" s="188"/>
      <c r="M11" s="188"/>
      <c r="N11" s="188"/>
      <c r="O11" s="188"/>
      <c r="P11" s="188"/>
      <c r="Q11" s="188"/>
      <c r="R11" s="188"/>
      <c r="S11" s="188"/>
      <c r="T11" s="188"/>
      <c r="U11" s="188"/>
      <c r="V11" s="188"/>
    </row>
    <row r="12" spans="1:22" ht="14.25">
      <c r="A12" s="3826" t="s">
        <v>750</v>
      </c>
      <c r="B12" s="3814">
        <v>15</v>
      </c>
      <c r="C12" s="3762"/>
      <c r="D12" s="3765"/>
      <c r="E12" s="1028" t="s">
        <v>751</v>
      </c>
      <c r="F12" s="2445"/>
      <c r="G12" s="2445"/>
      <c r="H12" s="2445"/>
      <c r="I12" s="2554"/>
      <c r="J12" s="2551"/>
      <c r="K12" s="188"/>
      <c r="L12" s="188"/>
      <c r="M12" s="188"/>
      <c r="N12" s="188"/>
      <c r="O12" s="188"/>
      <c r="P12" s="188"/>
      <c r="Q12" s="188"/>
      <c r="R12" s="188"/>
      <c r="S12" s="188"/>
      <c r="T12" s="188"/>
      <c r="U12" s="188"/>
      <c r="V12" s="188"/>
    </row>
    <row r="13" spans="1:22" ht="14.25">
      <c r="A13" s="3826"/>
      <c r="B13" s="3814"/>
      <c r="C13" s="3764"/>
      <c r="D13" s="3765"/>
      <c r="E13" s="1028" t="s">
        <v>752</v>
      </c>
      <c r="F13" s="2445"/>
      <c r="G13" s="2445"/>
      <c r="H13" s="2445"/>
      <c r="I13" s="2554"/>
      <c r="J13" s="2551"/>
      <c r="K13" s="188"/>
      <c r="L13" s="188"/>
      <c r="M13" s="188"/>
      <c r="N13" s="188"/>
      <c r="O13" s="188"/>
      <c r="P13" s="188"/>
      <c r="Q13" s="188"/>
      <c r="R13" s="188"/>
      <c r="S13" s="188"/>
      <c r="T13" s="188"/>
      <c r="U13" s="188"/>
      <c r="V13" s="188"/>
    </row>
    <row r="14" spans="1:22" ht="14.25">
      <c r="A14" s="3826" t="s">
        <v>753</v>
      </c>
      <c r="B14" s="3814">
        <v>30</v>
      </c>
      <c r="C14" s="3762">
        <v>5</v>
      </c>
      <c r="D14" s="3765">
        <v>5</v>
      </c>
      <c r="E14" s="1028" t="s">
        <v>754</v>
      </c>
      <c r="F14" s="2445"/>
      <c r="G14" s="2445"/>
      <c r="H14" s="2445"/>
      <c r="I14" s="2554"/>
      <c r="J14" s="2551"/>
      <c r="K14" s="188"/>
      <c r="L14" s="188"/>
      <c r="M14" s="188"/>
      <c r="N14" s="188"/>
      <c r="O14" s="188"/>
      <c r="P14" s="188"/>
      <c r="Q14" s="188"/>
      <c r="R14" s="188"/>
      <c r="S14" s="188"/>
      <c r="T14" s="188"/>
      <c r="U14" s="188"/>
      <c r="V14" s="188"/>
    </row>
    <row r="15" spans="1:22" ht="14.25">
      <c r="A15" s="3826"/>
      <c r="B15" s="3814"/>
      <c r="C15" s="3763"/>
      <c r="D15" s="3765"/>
      <c r="E15" s="1028" t="s">
        <v>755</v>
      </c>
      <c r="F15" s="2445"/>
      <c r="G15" s="2445"/>
      <c r="H15" s="2445"/>
      <c r="I15" s="2554"/>
      <c r="J15" s="2551"/>
      <c r="K15" s="188"/>
      <c r="L15" s="188"/>
      <c r="M15" s="188"/>
      <c r="N15" s="188"/>
      <c r="O15" s="188"/>
      <c r="P15" s="188"/>
      <c r="Q15" s="188"/>
      <c r="R15" s="188"/>
      <c r="S15" s="188"/>
      <c r="T15" s="188"/>
      <c r="U15" s="188"/>
      <c r="V15" s="188"/>
    </row>
    <row r="16" spans="1:22" ht="14.25">
      <c r="A16" s="3826"/>
      <c r="B16" s="3814"/>
      <c r="C16" s="3764"/>
      <c r="D16" s="3765"/>
      <c r="E16" s="1028" t="s">
        <v>756</v>
      </c>
      <c r="F16" s="2445"/>
      <c r="G16" s="2445"/>
      <c r="H16" s="2445"/>
      <c r="I16" s="2554"/>
      <c r="J16" s="2551"/>
      <c r="K16" s="188"/>
      <c r="L16" s="188"/>
      <c r="M16" s="188"/>
      <c r="N16" s="188"/>
      <c r="O16" s="188"/>
      <c r="P16" s="188"/>
      <c r="Q16" s="188"/>
      <c r="R16" s="188"/>
      <c r="S16" s="188"/>
      <c r="T16" s="188"/>
      <c r="U16" s="188"/>
      <c r="V16" s="188"/>
    </row>
    <row r="17" spans="1:26" ht="15">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50000000000003" customHeight="1">
      <c r="A18" s="2449" t="s">
        <v>758</v>
      </c>
      <c r="B18" s="2450"/>
      <c r="C18" s="2451">
        <f>ROUND(C17/SUM(C17:D17),2)</f>
        <v>0.5</v>
      </c>
      <c r="D18" s="2451">
        <f>1-C18</f>
        <v>0.5</v>
      </c>
      <c r="E18" s="3823" t="s">
        <v>759</v>
      </c>
      <c r="F18" s="3824"/>
      <c r="G18" s="3824"/>
      <c r="H18" s="3824"/>
      <c r="I18" s="3824"/>
      <c r="J18" s="188"/>
      <c r="K18" s="188"/>
      <c r="L18" s="188"/>
      <c r="M18" s="188"/>
      <c r="N18" s="188"/>
      <c r="O18" s="188"/>
      <c r="P18" s="188"/>
      <c r="Q18" s="188"/>
      <c r="R18" s="188"/>
      <c r="S18" s="188"/>
      <c r="T18" s="188"/>
      <c r="U18" s="188"/>
      <c r="V18" s="188"/>
    </row>
    <row r="19" spans="1:26" ht="15">
      <c r="A19" s="2452" t="s">
        <v>760</v>
      </c>
      <c r="B19" s="2453" t="s">
        <v>761</v>
      </c>
      <c r="C19" s="2454">
        <f ca="1">SUMIF(INDIRECT("'"&amp;C4&amp;"'"&amp;"!A:A"),结果表!B19,INDIRECT("'"&amp;C4&amp;"'"&amp;"!B:B"))</f>
        <v>190186</v>
      </c>
      <c r="D19" s="2455">
        <f ca="1">SUMIF(INDIRECT("'"&amp;D4&amp;"'"&amp;"!A:A"),结果表!B19,INDIRECT("'"&amp;D4&amp;"'"&amp;"!B:B"))</f>
        <v>191931</v>
      </c>
      <c r="E19" s="2452" t="s">
        <v>762</v>
      </c>
      <c r="F19" s="2453" t="s">
        <v>761</v>
      </c>
      <c r="G19" s="2456">
        <f ca="1">ROUND(C19*$C$18+D19*$D$18,0)</f>
        <v>191059</v>
      </c>
      <c r="H19" s="2457" t="s">
        <v>763</v>
      </c>
      <c r="I19" s="121"/>
      <c r="J19" s="188"/>
      <c r="K19" s="188"/>
      <c r="L19" s="188"/>
      <c r="M19" s="188"/>
      <c r="N19" s="188"/>
      <c r="O19" s="188"/>
      <c r="P19" s="188"/>
      <c r="Q19" s="188"/>
      <c r="R19" s="188"/>
      <c r="S19" s="188"/>
      <c r="T19" s="188"/>
      <c r="U19" s="188"/>
      <c r="V19" s="188"/>
    </row>
    <row r="20" spans="1:26" ht="15">
      <c r="A20" s="2458"/>
      <c r="B20" s="2459" t="s">
        <v>259</v>
      </c>
      <c r="C20" s="2460">
        <f ca="1">SUMIF(INDIRECT("'"&amp;C4&amp;"'"&amp;"!A:A"),结果表!B20,INDIRECT("'"&amp;C4&amp;"'"&amp;"!B:B"))</f>
        <v>10012</v>
      </c>
      <c r="D20" s="2461">
        <f ca="1">SUMIF(INDIRECT("'"&amp;D4&amp;"'"&amp;"!A:A"),结果表!B20,INDIRECT("'"&amp;D4&amp;"'"&amp;"!B:B"))</f>
        <v>10104</v>
      </c>
      <c r="E20" s="2458"/>
      <c r="F20" s="2459" t="s">
        <v>259</v>
      </c>
      <c r="G20" s="2462">
        <f ca="1">ROUND(C20*$C$18+D20*$D$18,0)</f>
        <v>10058</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34431</v>
      </c>
      <c r="D21" s="2465">
        <f ca="1">SUMIF(INDIRECT("'"&amp;D4&amp;"'"&amp;"!A:A"),结果表!B21,INDIRECT("'"&amp;D4&amp;"'"&amp;"!B:B"))</f>
        <v>34747</v>
      </c>
      <c r="E21" s="2458"/>
      <c r="F21" s="2463" t="s">
        <v>247</v>
      </c>
      <c r="G21" s="2466">
        <f ca="1">ROUND(C21*$C$18+D21*$D$18,0)</f>
        <v>34589</v>
      </c>
      <c r="H21" s="2467" t="s">
        <v>764</v>
      </c>
      <c r="I21" s="121"/>
      <c r="J21" s="188"/>
      <c r="K21" s="188"/>
      <c r="L21" s="188"/>
      <c r="M21" s="188"/>
      <c r="N21" s="188"/>
      <c r="O21" s="188"/>
      <c r="P21" s="188"/>
      <c r="Q21" s="188"/>
      <c r="R21" s="188"/>
      <c r="S21" s="188"/>
      <c r="T21" s="188"/>
      <c r="U21" s="188"/>
      <c r="V21" s="188"/>
    </row>
    <row r="22" spans="1:26" ht="15">
      <c r="A22" s="2468" t="s">
        <v>765</v>
      </c>
      <c r="B22" s="2469"/>
      <c r="C22" s="2470"/>
      <c r="D22" s="2471">
        <f ca="1">IF(C19&lt;D19,D19/C19-1,C19/D19-1)</f>
        <v>9.1752284605597367E-3</v>
      </c>
      <c r="E22" s="2417"/>
      <c r="F22" s="2472"/>
      <c r="G22" s="2473">
        <f ca="1">ROUND(G19/('数据-汇总表'!D3/666.67),0)</f>
        <v>2306</v>
      </c>
      <c r="H22" s="2474" t="s">
        <v>766</v>
      </c>
      <c r="I22" s="121"/>
      <c r="J22" s="188"/>
      <c r="K22" s="188">
        <f ca="1">G19/'数据-汇总表'!F31</f>
        <v>1.4610978556789331</v>
      </c>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66"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8">
      <c r="A25" s="3827"/>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出让国有建设用地使用权价格：187948万元</v>
      </c>
      <c r="L25" s="2556"/>
      <c r="M25" s="2556"/>
      <c r="N25" s="2556"/>
      <c r="O25" s="2557"/>
      <c r="P25" s="188"/>
      <c r="Q25" s="188"/>
      <c r="R25" s="188"/>
      <c r="S25" s="188"/>
      <c r="T25" s="188"/>
      <c r="U25" s="188"/>
      <c r="V25" s="188"/>
    </row>
    <row r="26" spans="1:26" s="2434" customFormat="1" ht="18">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大写金额：人民币壹拾捌亿柒仟玖佰肆拾捌万元整</v>
      </c>
      <c r="L26" s="2469"/>
      <c r="M26" s="2469"/>
      <c r="N26" s="2469"/>
      <c r="O26" s="2467"/>
      <c r="P26" s="188"/>
      <c r="Q26" s="188"/>
      <c r="R26" s="188"/>
      <c r="S26" s="188"/>
      <c r="T26" s="188"/>
      <c r="U26" s="188"/>
      <c r="V26" s="188"/>
      <c r="W26" s="2318"/>
      <c r="X26" s="2318"/>
      <c r="Y26" s="2318"/>
      <c r="Z26" s="2318"/>
    </row>
    <row r="27" spans="1:26" ht="18">
      <c r="A27" s="3649" t="s">
        <v>2714</v>
      </c>
      <c r="B27" s="2481">
        <f>指标!AA22</f>
        <v>10700</v>
      </c>
      <c r="C27" s="2481">
        <f>ROUND(指标!J48*0.25*0.25,2)</f>
        <v>898.26</v>
      </c>
      <c r="D27" s="2482">
        <f>E37</f>
        <v>990</v>
      </c>
      <c r="E27" s="121"/>
      <c r="F27" s="121"/>
      <c r="G27" s="121"/>
      <c r="H27" s="121"/>
      <c r="I27" s="121"/>
      <c r="J27" s="188"/>
      <c r="K27" s="2558" t="str">
        <f ca="1">"单位面积地价："&amp;M38&amp;"元/平方米"</f>
        <v>单位面积地价：34026元/平方米</v>
      </c>
      <c r="L27" s="2469"/>
      <c r="M27" s="2469"/>
      <c r="N27" s="2469"/>
      <c r="O27" s="2467"/>
      <c r="P27" s="188"/>
      <c r="Q27" s="188"/>
      <c r="R27" s="188"/>
      <c r="S27" s="188"/>
      <c r="T27" s="188"/>
      <c r="U27" s="188"/>
      <c r="V27" s="188"/>
    </row>
    <row r="28" spans="1:26" ht="18.75" customHeight="1">
      <c r="A28" s="3649" t="s">
        <v>2715</v>
      </c>
      <c r="B28" s="2481">
        <f>指标!AA21</f>
        <v>38181</v>
      </c>
      <c r="C28" s="2481">
        <f>ROUND(指标!J48*0.15*0.25,2)</f>
        <v>538.96</v>
      </c>
      <c r="D28" s="2482">
        <f>E38</f>
        <v>2121</v>
      </c>
      <c r="E28" s="121"/>
      <c r="F28" s="121"/>
      <c r="G28" s="121"/>
      <c r="H28" s="121"/>
      <c r="I28" s="121"/>
      <c r="J28" s="188"/>
      <c r="K28" s="2558" t="str">
        <f ca="1">"楼面地价："&amp;N38&amp;"元/平方米"</f>
        <v>楼面地价：9894元/平方米</v>
      </c>
      <c r="L28" s="2469"/>
      <c r="M28" s="2469"/>
      <c r="N28" s="2469"/>
      <c r="O28" s="2467"/>
      <c r="P28" s="188"/>
      <c r="V28" s="188"/>
    </row>
    <row r="29" spans="1:26" ht="18">
      <c r="A29" s="2480"/>
      <c r="B29" s="2481"/>
      <c r="C29" s="2481"/>
      <c r="D29" s="2482"/>
      <c r="E29" s="121"/>
      <c r="F29" s="121"/>
      <c r="G29" s="121"/>
      <c r="H29" s="121"/>
      <c r="I29" s="121"/>
      <c r="J29" s="188"/>
      <c r="K29" s="2558" t="str">
        <f ca="1">IF(OR(项目基本情况!E8="抵押价格",项目基本情况!E8="已注销及未注销"),"抵押价格："&amp;O39&amp;"万元","——")</f>
        <v>抵押价格：187948万元</v>
      </c>
      <c r="L29" s="2469"/>
      <c r="M29" s="2469"/>
      <c r="N29" s="2469"/>
      <c r="O29" s="2467"/>
      <c r="P29" s="188"/>
      <c r="V29" s="188"/>
    </row>
    <row r="30" spans="1:26" ht="18">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大写金额：人民币壹拾捌亿柒仟玖佰肆拾捌万元整</v>
      </c>
      <c r="L30" s="2469"/>
      <c r="M30" s="2469"/>
      <c r="N30" s="2469"/>
      <c r="O30" s="2467"/>
      <c r="P30" s="188"/>
      <c r="V30" s="188"/>
    </row>
    <row r="31" spans="1:26" ht="24" customHeight="1">
      <c r="A31" s="3825" t="s">
        <v>774</v>
      </c>
      <c r="B31" s="3825"/>
      <c r="C31" s="3825"/>
      <c r="D31" s="3825"/>
      <c r="E31" s="3825"/>
      <c r="F31" s="3825"/>
      <c r="G31" s="3825"/>
      <c r="H31" s="3825"/>
      <c r="I31" s="3825"/>
      <c r="J31" s="188"/>
      <c r="K31" s="2559" t="str">
        <f>IF(项目基本情况!E8="抵押价格","——","抵押担保权已注销时的抵押价格："&amp;O40&amp;"万元")</f>
        <v>——</v>
      </c>
      <c r="L31" s="2560"/>
      <c r="M31" s="2560"/>
      <c r="N31" s="2560"/>
      <c r="O31" s="2561"/>
      <c r="P31" s="188"/>
      <c r="V31" s="188"/>
    </row>
    <row r="32" spans="1:26" ht="18">
      <c r="A32" s="2458" t="s">
        <v>775</v>
      </c>
      <c r="B32" s="2487" t="s">
        <v>776</v>
      </c>
      <c r="C32" s="2449">
        <f ca="1">G19-C24</f>
        <v>187948</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8">
      <c r="A33" s="2489" t="s">
        <v>778</v>
      </c>
      <c r="B33" s="2490" t="s">
        <v>779</v>
      </c>
      <c r="C33" s="2446">
        <f ca="1">ROUND(C32*10000/'数据-汇总表'!E3,0)</f>
        <v>9894</v>
      </c>
      <c r="D33" s="2491" t="s">
        <v>780</v>
      </c>
      <c r="E33" s="3766" t="s">
        <v>781</v>
      </c>
      <c r="F33" s="2492" t="s">
        <v>782</v>
      </c>
      <c r="G33" s="2493"/>
      <c r="H33" s="2494"/>
      <c r="I33" s="2565"/>
      <c r="J33" s="188"/>
      <c r="K33" s="2558" t="str">
        <f ca="1">IF(项目基本情况!E9="——","——","抵押净值："&amp;C46&amp;"万元")</f>
        <v>抵押净值：178009万元</v>
      </c>
      <c r="L33" s="2469"/>
      <c r="M33" s="2469"/>
      <c r="N33" s="2469"/>
      <c r="O33" s="2467"/>
      <c r="P33" s="188"/>
      <c r="V33" s="188"/>
    </row>
    <row r="34" spans="1:26" s="2434" customFormat="1" ht="18">
      <c r="A34" s="2495"/>
      <c r="B34" s="2496" t="s">
        <v>783</v>
      </c>
      <c r="C34" s="2446">
        <f ca="1">ROUND(C32*10000/'数据-汇总表'!D3,0)</f>
        <v>34026</v>
      </c>
      <c r="D34" s="2497" t="s">
        <v>780</v>
      </c>
      <c r="E34" s="3767"/>
      <c r="F34" s="2498" t="s">
        <v>784</v>
      </c>
      <c r="G34" s="2499"/>
      <c r="H34" s="2450"/>
      <c r="I34" s="121"/>
      <c r="J34" s="188"/>
      <c r="K34" s="2566" t="str">
        <f ca="1">IF(K33="——","——","大写金额：人民币"&amp;NUMBERSTRING(INT(O41*10000),2)&amp;"元整")</f>
        <v>大写金额：人民币壹拾柒亿捌仟零玖万元整</v>
      </c>
      <c r="L34" s="2567"/>
      <c r="M34" s="2567"/>
      <c r="N34" s="2567"/>
      <c r="O34" s="2568"/>
      <c r="P34" s="188"/>
      <c r="Q34" s="2318"/>
      <c r="R34" s="2318"/>
      <c r="S34" s="2318"/>
      <c r="T34" s="2318"/>
      <c r="U34" s="2318"/>
      <c r="V34" s="188"/>
      <c r="W34" s="2318"/>
      <c r="X34" s="2318"/>
      <c r="Y34" s="2318"/>
      <c r="Z34" s="2318"/>
    </row>
    <row r="35" spans="1:26" ht="15">
      <c r="A35" s="2417"/>
      <c r="B35" s="2500"/>
      <c r="C35" s="2501">
        <f ca="1">ROUND(C32/('数据-汇总表'!D3/666.67),0)</f>
        <v>2268</v>
      </c>
      <c r="D35" s="2502" t="s">
        <v>785</v>
      </c>
      <c r="E35" s="3768"/>
      <c r="F35" s="2503" t="s">
        <v>786</v>
      </c>
      <c r="G35" s="2504"/>
      <c r="H35" s="2505" t="s">
        <v>787</v>
      </c>
      <c r="I35" s="121"/>
      <c r="J35" s="188"/>
      <c r="K35" s="3746" t="s">
        <v>788</v>
      </c>
      <c r="L35" s="3746" t="s">
        <v>789</v>
      </c>
      <c r="M35" s="2569" t="s">
        <v>790</v>
      </c>
      <c r="N35" s="3746" t="s">
        <v>791</v>
      </c>
      <c r="O35" s="3746" t="s">
        <v>792</v>
      </c>
      <c r="P35" s="188"/>
      <c r="V35" s="188"/>
    </row>
    <row r="36" spans="1:26" ht="16.5" customHeight="1">
      <c r="A36" s="2506" t="s">
        <v>793</v>
      </c>
      <c r="B36" s="2507" t="s">
        <v>769</v>
      </c>
      <c r="C36" s="2508" t="s">
        <v>770</v>
      </c>
      <c r="D36" s="2508" t="s">
        <v>794</v>
      </c>
      <c r="E36" s="2509" t="s">
        <v>771</v>
      </c>
      <c r="F36" s="121"/>
      <c r="G36" s="121"/>
      <c r="H36" s="121"/>
      <c r="I36" s="121"/>
      <c r="J36" s="2570"/>
      <c r="K36" s="3747"/>
      <c r="L36" s="3747"/>
      <c r="M36" s="2571" t="s">
        <v>795</v>
      </c>
      <c r="N36" s="3747"/>
      <c r="O36" s="3747"/>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748"/>
      <c r="L37" s="3748"/>
      <c r="M37" s="2572"/>
      <c r="N37" s="3748"/>
      <c r="O37" s="3748"/>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55236.63</v>
      </c>
      <c r="L38" s="2574">
        <f>'数据-汇总表'!E3</f>
        <v>189958</v>
      </c>
      <c r="M38" s="2574">
        <f ca="1">C34</f>
        <v>34026</v>
      </c>
      <c r="N38" s="2574">
        <f ca="1">C33</f>
        <v>9894</v>
      </c>
      <c r="O38" s="2575">
        <f ca="1">C32</f>
        <v>187948</v>
      </c>
      <c r="P38" s="188"/>
      <c r="V38" s="188"/>
    </row>
    <row r="39" spans="1:26" ht="16.5" customHeight="1">
      <c r="A39" s="2511"/>
      <c r="B39" s="2512"/>
      <c r="C39" s="2484"/>
      <c r="D39" s="2484"/>
      <c r="E39" s="2485">
        <f>E37+E38</f>
        <v>3111</v>
      </c>
      <c r="F39" s="121"/>
      <c r="G39" s="121"/>
      <c r="H39" s="121"/>
      <c r="I39" s="121"/>
      <c r="J39" s="2570"/>
      <c r="K39" s="3752" t="str">
        <f>MID(A44,3,LEN(A44)-2)</f>
        <v>抵押价格</v>
      </c>
      <c r="L39" s="3753"/>
      <c r="M39" s="3753"/>
      <c r="N39" s="3754"/>
      <c r="O39" s="2576">
        <f ca="1">C44</f>
        <v>187948</v>
      </c>
      <c r="P39" s="188"/>
      <c r="V39" s="188"/>
    </row>
    <row r="40" spans="1:26" ht="18.75">
      <c r="A40" s="2513" t="s">
        <v>798</v>
      </c>
      <c r="B40" s="121"/>
      <c r="C40" s="121"/>
      <c r="D40" s="121"/>
      <c r="E40" s="121"/>
      <c r="F40" s="121"/>
      <c r="G40" s="121"/>
      <c r="H40" s="121"/>
      <c r="I40" s="121"/>
      <c r="J40" s="2570"/>
      <c r="K40" s="3752" t="str">
        <f>MID(A45,3,LEN(A45)-2)</f>
        <v/>
      </c>
      <c r="L40" s="3753"/>
      <c r="M40" s="3753"/>
      <c r="N40" s="3754"/>
      <c r="O40" s="2576" t="str">
        <f>C45</f>
        <v>——</v>
      </c>
      <c r="P40" s="188"/>
      <c r="V40" s="188"/>
    </row>
    <row r="41" spans="1:26" ht="15.75">
      <c r="A41" s="2514" t="s">
        <v>799</v>
      </c>
      <c r="B41" s="2515"/>
      <c r="C41" s="2516" t="s">
        <v>800</v>
      </c>
      <c r="D41" s="2517" t="s">
        <v>801</v>
      </c>
      <c r="E41" s="2517" t="s">
        <v>802</v>
      </c>
      <c r="F41" s="2518" t="s">
        <v>803</v>
      </c>
      <c r="G41" s="121"/>
      <c r="H41" s="121"/>
      <c r="I41" s="121"/>
      <c r="J41" s="2570"/>
      <c r="K41" s="3752" t="str">
        <f>MID(A46,3,LEN(A46)-2)</f>
        <v>抵押净值</v>
      </c>
      <c r="L41" s="3753"/>
      <c r="M41" s="3753"/>
      <c r="N41" s="3754"/>
      <c r="O41" s="2576">
        <f ca="1">C46</f>
        <v>178009</v>
      </c>
      <c r="P41" s="188"/>
      <c r="V41" s="188"/>
    </row>
    <row r="42" spans="1:26" ht="29.25">
      <c r="A42" s="3808" t="s">
        <v>804</v>
      </c>
      <c r="B42" s="3809"/>
      <c r="C42" s="2446">
        <f ca="1">C32</f>
        <v>187948</v>
      </c>
      <c r="D42" s="2519">
        <f ca="1">C33</f>
        <v>9894</v>
      </c>
      <c r="E42" s="2519">
        <f ca="1">C34</f>
        <v>34026</v>
      </c>
      <c r="F42" s="2520">
        <f ca="1">C35</f>
        <v>2268</v>
      </c>
      <c r="G42" s="121"/>
      <c r="H42" s="121"/>
      <c r="I42" s="2577"/>
      <c r="J42" s="2570"/>
      <c r="K42" s="2578" t="s">
        <v>805</v>
      </c>
      <c r="L42" s="2579" t="s">
        <v>806</v>
      </c>
      <c r="M42" s="2580" t="s">
        <v>807</v>
      </c>
      <c r="N42" s="2581" t="s">
        <v>808</v>
      </c>
      <c r="O42" s="2582" t="s">
        <v>809</v>
      </c>
      <c r="P42" s="188"/>
      <c r="V42" s="188"/>
    </row>
    <row r="43" spans="1:26" ht="30">
      <c r="A43" s="3815" t="s">
        <v>810</v>
      </c>
      <c r="B43" s="3816"/>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191059</v>
      </c>
      <c r="O43" s="2587">
        <f ca="1">IF(O42="最终结果/万元",C32,C33)</f>
        <v>187948</v>
      </c>
      <c r="P43" s="188"/>
      <c r="V43" s="188"/>
    </row>
    <row r="44" spans="1:26" ht="30">
      <c r="A44" s="3808" t="str">
        <f>IF(OR(项目基本情况!E8="抵押价格",项目基本情况!E8="已注销及未注销"),"3.抵押价格","——")</f>
        <v>3.抵押价格</v>
      </c>
      <c r="B44" s="3809"/>
      <c r="C44" s="2446">
        <f ca="1">IF(A44="——","——",C42-C43)</f>
        <v>187948</v>
      </c>
      <c r="D44" s="2519">
        <f ca="1">ROUND(C44*10000/'数据-汇总表'!E3,0)</f>
        <v>9894</v>
      </c>
      <c r="E44" s="2519">
        <f ca="1">ROUND(C44*10000/'数据-汇总表'!D3,0)</f>
        <v>34026</v>
      </c>
      <c r="F44" s="2520">
        <f ca="1">ROUND(C44/('数据-汇总表'!D3/666.67),0)</f>
        <v>2268</v>
      </c>
      <c r="G44" s="121"/>
      <c r="H44" s="121"/>
      <c r="I44" s="2577"/>
      <c r="J44" s="2570"/>
      <c r="K44" s="2588" t="str">
        <f>D4</f>
        <v>剩余法-待开发</v>
      </c>
      <c r="L44" s="2589">
        <f ca="1">IF(L42="估价结果/万元",D19,D20)</f>
        <v>191931</v>
      </c>
      <c r="M44" s="2590">
        <f>D18</f>
        <v>0.5</v>
      </c>
      <c r="N44" s="2591"/>
      <c r="O44" s="2592"/>
      <c r="P44" s="188"/>
      <c r="V44" s="188"/>
    </row>
    <row r="45" spans="1:26" ht="15">
      <c r="A45" s="3810" t="str">
        <f>IF(项目基本情况!E8="已注销及未注销","4.抵押担保权已注销时的抵押价格",IF(项目基本情况!E8="已注销","3.抵押担保权已注销时的抵押价格","——"))</f>
        <v>——</v>
      </c>
      <c r="B45" s="3811"/>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5">
      <c r="A46" s="3812" t="str">
        <f>IF(项目基本情况!E9="抵押净值",IF(A45="——","4.抵押净值","5.抵押净值"),"——")</f>
        <v>4.抵押净值</v>
      </c>
      <c r="B46" s="3813"/>
      <c r="C46" s="2523">
        <f ca="1">IF(A46="——","——",O79)</f>
        <v>178009</v>
      </c>
      <c r="D46" s="2519">
        <f ca="1">ROUND(C46*10000/'数据-汇总表'!E3,0)</f>
        <v>9371</v>
      </c>
      <c r="E46" s="2519">
        <f ca="1">ROUND(C46*10000/'数据-汇总表'!D3,0)</f>
        <v>32227</v>
      </c>
      <c r="F46" s="2520">
        <f ca="1">ROUND(C46/('数据-汇总表'!D3/666.67),0)</f>
        <v>2148</v>
      </c>
      <c r="G46" s="121"/>
      <c r="H46" s="121"/>
      <c r="I46" s="2577"/>
      <c r="J46" s="2570"/>
      <c r="K46" s="188"/>
      <c r="L46" s="188"/>
      <c r="M46" s="188"/>
      <c r="N46" s="188"/>
      <c r="O46" s="188"/>
      <c r="P46" s="188"/>
      <c r="Q46" s="188"/>
      <c r="R46" s="188"/>
      <c r="S46" s="188"/>
      <c r="T46" s="188"/>
      <c r="U46" s="188"/>
      <c r="V46" s="188"/>
    </row>
    <row r="47" spans="1:26" ht="15.75">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2.75">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2.75">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2.75">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2.75">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2.75">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2.75">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2.75">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2.75">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2.75">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2.75">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2.75">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8.75">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99" t="s">
        <v>819</v>
      </c>
      <c r="B63" s="3800"/>
      <c r="C63" s="3801"/>
      <c r="D63" s="1056">
        <f ca="1">ROUND(C42*F63,0)</f>
        <v>187948</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802" t="s">
        <v>822</v>
      </c>
      <c r="B64" s="3803"/>
      <c r="C64" s="3803"/>
      <c r="D64" s="3803"/>
      <c r="E64" s="3803"/>
      <c r="F64" s="3803"/>
      <c r="G64" s="3804"/>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5.5">
      <c r="A66" s="3805" t="s">
        <v>830</v>
      </c>
      <c r="B66" s="3788"/>
      <c r="C66" s="3788"/>
      <c r="D66" s="1028">
        <f ca="1">IF(H66="情况1",0,IF(H66="情况2",D70,IF(H66="情况3",D71,IF(H66="情况4",D72))))</f>
        <v>9845</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806" t="s">
        <v>832</v>
      </c>
      <c r="M66" s="3807"/>
      <c r="N66" s="2715"/>
      <c r="O66" s="2716"/>
      <c r="P66" s="2717"/>
      <c r="Q66" s="188"/>
      <c r="R66" s="188"/>
      <c r="S66" s="188"/>
      <c r="T66" s="188"/>
      <c r="U66" s="188"/>
      <c r="V66" s="188"/>
    </row>
    <row r="67" spans="1:22" ht="25.5" customHeight="1">
      <c r="A67" s="2610" t="s">
        <v>833</v>
      </c>
      <c r="B67" s="3780" t="s">
        <v>834</v>
      </c>
      <c r="C67" s="3780"/>
      <c r="D67" s="2611">
        <v>0</v>
      </c>
      <c r="E67" s="2612" t="s">
        <v>835</v>
      </c>
      <c r="F67" s="2613" t="s">
        <v>138</v>
      </c>
      <c r="G67" s="3769"/>
      <c r="H67" s="2615" t="s">
        <v>836</v>
      </c>
      <c r="I67" s="2718"/>
      <c r="J67" s="2719"/>
      <c r="K67" s="2720">
        <v>2</v>
      </c>
      <c r="L67" s="3796" t="s">
        <v>837</v>
      </c>
      <c r="M67" s="3796"/>
      <c r="N67" s="2721">
        <f>'数据-取费表'!B2</f>
        <v>45077</v>
      </c>
      <c r="O67" s="2721"/>
      <c r="P67" s="2721"/>
      <c r="Q67" s="188"/>
      <c r="R67" s="188"/>
      <c r="S67" s="188"/>
      <c r="T67" s="188"/>
      <c r="U67" s="188"/>
      <c r="V67" s="188"/>
    </row>
    <row r="68" spans="1:22" ht="25.5" customHeight="1">
      <c r="A68" s="2616"/>
      <c r="B68" s="3780" t="s">
        <v>838</v>
      </c>
      <c r="C68" s="3780"/>
      <c r="D68" s="2617"/>
      <c r="E68" s="2618"/>
      <c r="F68" s="2619"/>
      <c r="G68" s="3770"/>
      <c r="H68" s="2620" t="s">
        <v>839</v>
      </c>
      <c r="I68" s="2718"/>
      <c r="J68" s="2719"/>
      <c r="K68" s="2720">
        <v>3</v>
      </c>
      <c r="L68" s="3796" t="s">
        <v>840</v>
      </c>
      <c r="M68" s="3796"/>
      <c r="N68" s="2722">
        <f ca="1">C42</f>
        <v>187948</v>
      </c>
      <c r="O68" s="2722"/>
      <c r="P68" s="2722"/>
      <c r="Q68" s="188"/>
      <c r="R68" s="188"/>
      <c r="S68" s="188"/>
      <c r="T68" s="188"/>
      <c r="U68" s="188"/>
      <c r="V68" s="188"/>
    </row>
    <row r="69" spans="1:22" ht="23.45" customHeight="1">
      <c r="A69" s="2621"/>
      <c r="B69" s="3780" t="s">
        <v>841</v>
      </c>
      <c r="C69" s="3780"/>
      <c r="D69" s="2622"/>
      <c r="E69" s="2623"/>
      <c r="F69" s="2619"/>
      <c r="G69" s="3771"/>
      <c r="H69" s="2620" t="s">
        <v>842</v>
      </c>
      <c r="I69" s="2718"/>
      <c r="J69" s="2719"/>
      <c r="K69" s="2723">
        <v>4</v>
      </c>
      <c r="L69" s="3797" t="s">
        <v>843</v>
      </c>
      <c r="M69" s="3798"/>
      <c r="N69" s="2724">
        <f ca="1">C44</f>
        <v>187948</v>
      </c>
      <c r="O69" s="2724"/>
      <c r="P69" s="2724"/>
      <c r="Q69" s="188"/>
      <c r="R69" s="188"/>
      <c r="S69" s="188"/>
      <c r="T69" s="188"/>
      <c r="U69" s="188"/>
      <c r="V69" s="188"/>
    </row>
    <row r="70" spans="1:22" ht="24" customHeight="1">
      <c r="A70" s="2625" t="s">
        <v>844</v>
      </c>
      <c r="B70" s="3780" t="s">
        <v>845</v>
      </c>
      <c r="C70" s="3780"/>
      <c r="D70" s="2622">
        <f ca="1">ROUND(D63*'数据-取费表'!B41/(1+'数据-取费表'!C42),0)</f>
        <v>9845</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79" t="s">
        <v>848</v>
      </c>
      <c r="C71" s="3794"/>
      <c r="D71" s="2622">
        <f ca="1">ROUND(D63*'数据-取费表'!B41/(1+'数据-取费表'!C42),0)</f>
        <v>9845</v>
      </c>
      <c r="E71" s="130" t="s">
        <v>846</v>
      </c>
      <c r="F71" s="2626">
        <f>'数据-取费表'!B41</f>
        <v>5.5000000000000007E-2</v>
      </c>
      <c r="G71" s="2627"/>
      <c r="H71" s="121"/>
      <c r="I71" s="2725"/>
      <c r="J71" s="2719"/>
      <c r="K71" s="2730" t="s">
        <v>849</v>
      </c>
      <c r="L71" s="3795" t="s">
        <v>824</v>
      </c>
      <c r="M71" s="3795"/>
      <c r="N71" s="2730" t="s">
        <v>850</v>
      </c>
      <c r="O71" s="2730" t="s">
        <v>851</v>
      </c>
      <c r="P71" s="2730" t="s">
        <v>827</v>
      </c>
      <c r="Q71" s="188"/>
      <c r="R71" s="188"/>
      <c r="S71" s="188"/>
      <c r="T71" s="188"/>
      <c r="U71" s="188"/>
      <c r="V71" s="188"/>
    </row>
    <row r="72" spans="1:22" ht="12" customHeight="1">
      <c r="A72" s="2625" t="s">
        <v>852</v>
      </c>
      <c r="B72" s="3779" t="s">
        <v>853</v>
      </c>
      <c r="C72" s="3794"/>
      <c r="D72" s="2622">
        <f ca="1">C86</f>
        <v>9845</v>
      </c>
      <c r="E72" s="2623" t="s">
        <v>854</v>
      </c>
      <c r="F72" s="2626">
        <f>'数据-取费表'!B41</f>
        <v>5.5000000000000007E-2</v>
      </c>
      <c r="G72" s="2627"/>
      <c r="H72" s="2628"/>
      <c r="I72" s="2725"/>
      <c r="J72" s="2719"/>
      <c r="K72" s="2720">
        <v>1</v>
      </c>
      <c r="L72" s="3755" t="s">
        <v>855</v>
      </c>
      <c r="M72" s="3755"/>
      <c r="N72" s="2732">
        <f ca="1">D66</f>
        <v>9845</v>
      </c>
      <c r="O72" s="2731" t="str">
        <f>E66</f>
        <v>销售额×税（费）率</v>
      </c>
      <c r="P72" s="2733">
        <f>F66</f>
        <v>5.5000000000000007E-2</v>
      </c>
      <c r="Q72" s="188"/>
      <c r="R72" s="188"/>
      <c r="S72" s="188"/>
      <c r="T72" s="188"/>
      <c r="U72" s="188"/>
      <c r="V72" s="188"/>
    </row>
    <row r="73" spans="1:22" ht="24" customHeight="1">
      <c r="A73" s="3787" t="s">
        <v>856</v>
      </c>
      <c r="B73" s="3788"/>
      <c r="C73" s="3788"/>
      <c r="D73" s="2629">
        <f ca="1">IF(H73="个人住宅",0,ROUND(D63*I73,0))</f>
        <v>94</v>
      </c>
      <c r="E73" s="130" t="s">
        <v>857</v>
      </c>
      <c r="F73" s="2626">
        <f>IF(H73="正常",I73,"免征")</f>
        <v>5.0000000000000001E-4</v>
      </c>
      <c r="G73" s="2627"/>
      <c r="H73" s="2609" t="s">
        <v>1040</v>
      </c>
      <c r="I73" s="2626">
        <f>'数据-取费表'!B49</f>
        <v>5.0000000000000001E-4</v>
      </c>
      <c r="J73" s="2719"/>
      <c r="K73" s="2720">
        <v>2</v>
      </c>
      <c r="L73" s="3755" t="s">
        <v>858</v>
      </c>
      <c r="M73" s="3755"/>
      <c r="N73" s="2732">
        <f t="shared" ref="N73:P74" ca="1" si="0">D73</f>
        <v>94</v>
      </c>
      <c r="O73" s="2731" t="str">
        <f t="shared" si="0"/>
        <v>销售额×税（费）率</v>
      </c>
      <c r="P73" s="2733">
        <f t="shared" si="0"/>
        <v>5.0000000000000001E-4</v>
      </c>
      <c r="Q73" s="188"/>
      <c r="R73" s="188"/>
      <c r="S73" s="188"/>
      <c r="T73" s="188"/>
      <c r="U73" s="188"/>
      <c r="V73" s="188"/>
    </row>
    <row r="74" spans="1:22" ht="24.75">
      <c r="A74" s="3787" t="s">
        <v>859</v>
      </c>
      <c r="B74" s="3788"/>
      <c r="C74" s="3788"/>
      <c r="D74" s="2629">
        <f ca="1">IF(H74="个人住宅",D75,D76)</f>
        <v>0</v>
      </c>
      <c r="E74" s="130" t="s">
        <v>860</v>
      </c>
      <c r="F74" s="2626" t="str">
        <f>IF(H74="正常",F76,"免征")</f>
        <v>——</v>
      </c>
      <c r="G74" s="2630" t="s">
        <v>831</v>
      </c>
      <c r="H74" s="2631" t="s">
        <v>1040</v>
      </c>
      <c r="I74" s="2633"/>
      <c r="J74" s="2719"/>
      <c r="K74" s="2720">
        <v>3</v>
      </c>
      <c r="L74" s="3755" t="s">
        <v>861</v>
      </c>
      <c r="M74" s="3755"/>
      <c r="N74" s="2732">
        <f t="shared" ca="1" si="0"/>
        <v>0</v>
      </c>
      <c r="O74" s="2731" t="str">
        <f t="shared" si="0"/>
        <v>增值额×税（费）率</v>
      </c>
      <c r="P74" s="2734" t="str">
        <f t="shared" si="0"/>
        <v>——</v>
      </c>
      <c r="Q74" s="188"/>
      <c r="R74" s="188"/>
      <c r="S74" s="188"/>
      <c r="T74" s="188"/>
      <c r="U74" s="188"/>
      <c r="V74" s="188"/>
    </row>
    <row r="75" spans="1:22" ht="12.75">
      <c r="A75" s="2625" t="s">
        <v>833</v>
      </c>
      <c r="B75" s="3789" t="s">
        <v>862</v>
      </c>
      <c r="C75" s="3790"/>
      <c r="D75" s="2632">
        <v>0</v>
      </c>
      <c r="E75" s="2612" t="s">
        <v>835</v>
      </c>
      <c r="F75" s="84"/>
      <c r="G75" s="2627"/>
      <c r="H75" s="2633"/>
      <c r="I75" s="2633"/>
      <c r="J75" s="2719"/>
      <c r="K75" s="2720" t="str">
        <f>IF(H77="非个人房产","",4)</f>
        <v/>
      </c>
      <c r="L75" s="3755" t="str">
        <f>IF(H77="非个人房产","——","个人所得税")</f>
        <v>——</v>
      </c>
      <c r="M75" s="3755"/>
      <c r="N75" s="2735" t="str">
        <f>D77</f>
        <v>——</v>
      </c>
      <c r="O75" s="2736" t="str">
        <f>E77</f>
        <v>——</v>
      </c>
      <c r="P75" s="2737" t="str">
        <f>F77</f>
        <v>——</v>
      </c>
      <c r="Q75" s="188"/>
      <c r="R75" s="188"/>
      <c r="S75" s="188"/>
      <c r="T75" s="188"/>
      <c r="U75" s="188"/>
      <c r="V75" s="188"/>
    </row>
    <row r="76" spans="1:22" ht="24.75">
      <c r="A76" s="2625" t="s">
        <v>844</v>
      </c>
      <c r="B76" s="3789" t="s">
        <v>863</v>
      </c>
      <c r="C76" s="3791"/>
      <c r="D76" s="2629">
        <f ca="1">IF(H76="转让取得",C99,C115)</f>
        <v>0</v>
      </c>
      <c r="E76" s="130" t="s">
        <v>860</v>
      </c>
      <c r="F76" s="127" t="s">
        <v>138</v>
      </c>
      <c r="G76" s="2627"/>
      <c r="H76" s="2631" t="s">
        <v>2661</v>
      </c>
      <c r="I76" s="2633"/>
      <c r="J76" s="2719"/>
      <c r="K76" s="2720" t="str">
        <f>IF(项目基本情况!K6="上海银行",IF(K75="",4,K75+1),"")</f>
        <v/>
      </c>
      <c r="L76" s="3792" t="str">
        <f>IF(项目基本情况!K6="上海银行","其他处置费用","")</f>
        <v/>
      </c>
      <c r="M76" s="3793"/>
      <c r="N76" s="2732" t="str">
        <f>IF(项目基本情况!K6="上海银行",N89,"")</f>
        <v/>
      </c>
      <c r="O76" s="3756" t="str">
        <f>IF(项目基本情况!K6="上海银行","包含处置中涉及的律师、诉讼、拍卖、评估等费用","")</f>
        <v/>
      </c>
      <c r="P76" s="3757"/>
      <c r="Q76" s="188"/>
      <c r="R76" s="188"/>
      <c r="S76" s="188"/>
      <c r="T76" s="188"/>
      <c r="U76" s="188"/>
      <c r="V76" s="188"/>
    </row>
    <row r="77" spans="1:22" ht="24">
      <c r="A77" s="3782" t="s">
        <v>864</v>
      </c>
      <c r="B77" s="3783"/>
      <c r="C77" s="3783"/>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749">
        <f>IF(AND(K75="",K76=""),4,IF(项目基本情况!K6="上海银行",K76+1,K75+1))</f>
        <v>4</v>
      </c>
      <c r="L77" s="3755" t="s">
        <v>517</v>
      </c>
      <c r="M77" s="2740" t="s">
        <v>866</v>
      </c>
      <c r="N77" s="2741"/>
      <c r="O77" s="2742">
        <f ca="1">SUMIF(N72:N76,"&lt;9e307")</f>
        <v>9939</v>
      </c>
      <c r="P77" s="2743"/>
      <c r="Q77" s="2765">
        <f ca="1">O77/N69</f>
        <v>5.2881648115436185E-2</v>
      </c>
      <c r="R77" s="188"/>
      <c r="S77" s="188"/>
      <c r="T77" s="188"/>
      <c r="U77" s="188"/>
      <c r="V77" s="188"/>
    </row>
    <row r="78" spans="1:22" ht="12" customHeight="1">
      <c r="A78" s="2639"/>
      <c r="B78" s="121"/>
      <c r="C78" s="121"/>
      <c r="D78" s="121"/>
      <c r="E78" s="2633"/>
      <c r="F78" s="2633"/>
      <c r="G78" s="2633"/>
      <c r="H78" s="2640"/>
      <c r="I78" s="121"/>
      <c r="J78" s="2719"/>
      <c r="K78" s="3749"/>
      <c r="L78" s="3755"/>
      <c r="M78" s="2740" t="s">
        <v>867</v>
      </c>
      <c r="N78" s="2741"/>
      <c r="O78" s="2742" t="str">
        <f ca="1">NUMBERSTRING(INT(O77*10000),2)&amp;"元整"</f>
        <v>玖仟玖佰叁拾玖万元整</v>
      </c>
      <c r="P78" s="2743"/>
      <c r="Q78" s="188"/>
      <c r="R78" s="188"/>
      <c r="S78" s="188"/>
      <c r="T78" s="188"/>
      <c r="U78" s="188"/>
      <c r="V78" s="188"/>
    </row>
    <row r="79" spans="1:22" ht="12.75">
      <c r="A79" s="3784" t="s">
        <v>868</v>
      </c>
      <c r="B79" s="3784"/>
      <c r="C79" s="3784"/>
      <c r="D79" s="3784"/>
      <c r="E79" s="3784"/>
      <c r="F79" s="2633"/>
      <c r="G79" s="2633"/>
      <c r="H79" s="2640"/>
      <c r="I79" s="121"/>
      <c r="J79" s="2719"/>
      <c r="K79" s="3750">
        <f>K77+1</f>
        <v>5</v>
      </c>
      <c r="L79" s="3755" t="s">
        <v>869</v>
      </c>
      <c r="M79" s="2740" t="s">
        <v>866</v>
      </c>
      <c r="N79" s="2741"/>
      <c r="O79" s="2742">
        <f ca="1">N69-O77</f>
        <v>178009</v>
      </c>
      <c r="P79" s="2743"/>
      <c r="Q79" s="188"/>
      <c r="R79" s="188"/>
      <c r="S79" s="188"/>
      <c r="T79" s="188"/>
      <c r="U79" s="188"/>
      <c r="V79" s="188"/>
    </row>
    <row r="80" spans="1:22" ht="25.5">
      <c r="A80" s="3774" t="s">
        <v>870</v>
      </c>
      <c r="B80" s="3775"/>
      <c r="C80" s="2641"/>
      <c r="D80" s="2641" t="s">
        <v>871</v>
      </c>
      <c r="E80" s="2642" t="s">
        <v>828</v>
      </c>
      <c r="F80" s="2633"/>
      <c r="G80" s="2633"/>
      <c r="H80" s="2640"/>
      <c r="I80" s="121"/>
      <c r="J80" s="188"/>
      <c r="K80" s="3751"/>
      <c r="L80" s="3755"/>
      <c r="M80" s="2740" t="s">
        <v>867</v>
      </c>
      <c r="N80" s="2741"/>
      <c r="O80" s="2742" t="str">
        <f ca="1">NUMBERSTRING(INT(O79*10000),2)&amp;"元整"</f>
        <v>壹拾柒亿捌仟零玖万元整</v>
      </c>
      <c r="P80" s="2743"/>
      <c r="Q80" s="188"/>
      <c r="R80" s="188"/>
      <c r="S80" s="188"/>
      <c r="T80" s="188"/>
      <c r="U80" s="188"/>
      <c r="V80" s="188"/>
    </row>
    <row r="81" spans="1:26" ht="12.75">
      <c r="A81" s="2643" t="s">
        <v>872</v>
      </c>
      <c r="B81" s="2644" t="s">
        <v>873</v>
      </c>
      <c r="C81" s="2645">
        <f ca="1">ROUND((C82+C83)/(1+'数据-取费表'!C42),0)</f>
        <v>178998</v>
      </c>
      <c r="D81" s="2646"/>
      <c r="E81" s="2647"/>
      <c r="F81" s="2633"/>
      <c r="G81" s="2633"/>
      <c r="H81" s="2640"/>
      <c r="I81" s="121"/>
      <c r="J81" s="188"/>
      <c r="K81" s="2720">
        <f>K79+1</f>
        <v>6</v>
      </c>
      <c r="L81" s="3785" t="s">
        <v>874</v>
      </c>
      <c r="M81" s="3786"/>
      <c r="N81" s="2744"/>
      <c r="O81" s="2745">
        <f ca="1">ROUND(O79*10000/'数据-汇总表'!E3,0)</f>
        <v>9371</v>
      </c>
      <c r="P81" s="2746"/>
      <c r="Q81" s="188"/>
      <c r="R81" s="188"/>
      <c r="S81" s="188"/>
      <c r="T81" s="188"/>
      <c r="U81" s="188"/>
      <c r="V81" s="188"/>
    </row>
    <row r="82" spans="1:26" ht="12.75">
      <c r="A82" s="2407" t="s">
        <v>875</v>
      </c>
      <c r="B82" s="2648" t="s">
        <v>876</v>
      </c>
      <c r="C82" s="2649">
        <f ca="1">D63</f>
        <v>187948</v>
      </c>
      <c r="D82" s="1863" t="s">
        <v>138</v>
      </c>
      <c r="E82" s="2650"/>
      <c r="F82" s="2633"/>
      <c r="G82" s="2633"/>
      <c r="H82" s="2640"/>
      <c r="I82" s="121"/>
      <c r="J82" s="188"/>
      <c r="K82" s="188"/>
      <c r="L82" s="188"/>
      <c r="M82" s="188"/>
      <c r="N82" s="188"/>
      <c r="O82" s="188"/>
      <c r="P82" s="188"/>
      <c r="Q82" s="188"/>
      <c r="R82" s="188"/>
      <c r="S82" s="188"/>
      <c r="T82" s="188"/>
      <c r="U82" s="188"/>
      <c r="V82" s="188"/>
    </row>
    <row r="83" spans="1:26" ht="12.75">
      <c r="A83" s="2407" t="s">
        <v>877</v>
      </c>
      <c r="B83" s="2648" t="s">
        <v>878</v>
      </c>
      <c r="C83" s="2651"/>
      <c r="D83" s="1863"/>
      <c r="E83" s="2650"/>
      <c r="F83" s="2633"/>
      <c r="G83" s="2633"/>
      <c r="H83" s="2640"/>
      <c r="I83" s="121"/>
      <c r="J83" s="188"/>
      <c r="K83" s="3778" t="s">
        <v>879</v>
      </c>
      <c r="L83" s="2747" t="s">
        <v>880</v>
      </c>
      <c r="M83" s="2748">
        <f ca="1">IF(N69&gt;10000,N69*0.5%,IF(AND(N69&gt;1000,N69&lt;=10000),N69*1%,IF(AND(N69&gt;100,N69&lt;=1000),N69*3%,IF(AND(N69&gt;10,N69&lt;=100),N69*5%,N69*8%))))</f>
        <v>939.74</v>
      </c>
      <c r="N83" s="127">
        <f ca="1">ROUND(M83,1)</f>
        <v>939.7</v>
      </c>
      <c r="O83" s="2749"/>
      <c r="P83" s="188"/>
      <c r="Q83" s="188"/>
      <c r="R83" s="188"/>
      <c r="S83" s="188"/>
      <c r="T83" s="188"/>
      <c r="U83" s="188"/>
      <c r="V83" s="188"/>
    </row>
    <row r="84" spans="1:26" ht="12.75">
      <c r="A84" s="2643" t="s">
        <v>881</v>
      </c>
      <c r="B84" s="2652" t="s">
        <v>882</v>
      </c>
      <c r="C84" s="2653"/>
      <c r="D84" s="2654" t="s">
        <v>138</v>
      </c>
      <c r="E84" s="2655" t="s">
        <v>883</v>
      </c>
      <c r="F84" s="2633"/>
      <c r="G84" s="2633"/>
      <c r="H84" s="2640"/>
      <c r="I84" s="121"/>
      <c r="J84" s="188"/>
      <c r="K84" s="3778"/>
      <c r="L84" s="2747" t="s">
        <v>884</v>
      </c>
      <c r="M84" s="2748">
        <f ca="1">IF(N69&gt;2000,N69*0.5%,IF(AND(N69&gt;1000,N69&lt;=2000),N69*0.6%,IF(AND(N69&gt;500,N69&lt;=1000),N69*0.7%,IF(AND(N69&gt;200,N69&lt;=500),N69*0.8%,IF(AND(N69&gt;100,N69&lt;=200),N69*0.9%,IF(AND(N69&gt;50,N69&lt;=100),N69*1%,IF(AND(N69&gt;20,N69&lt;=50),N69*1.5%,IF(AND(N69&gt;10,N69&lt;=20),N69*2%,IF(AND(N69&gt;1,N69&lt;=10),N69*2.5%)))))))))</f>
        <v>939.74</v>
      </c>
      <c r="N84" s="127">
        <f ca="1">ROUND(M84,1)</f>
        <v>939.7</v>
      </c>
      <c r="O84" s="188" t="s">
        <v>885</v>
      </c>
      <c r="P84" s="188"/>
      <c r="Q84" s="188"/>
      <c r="R84" s="188"/>
      <c r="S84" s="188"/>
      <c r="T84" s="188"/>
      <c r="U84" s="188"/>
      <c r="V84" s="188"/>
    </row>
    <row r="85" spans="1:26" ht="12.75">
      <c r="A85" s="2643" t="s">
        <v>886</v>
      </c>
      <c r="B85" s="2652" t="s">
        <v>887</v>
      </c>
      <c r="C85" s="2656">
        <f ca="1">C81-C84</f>
        <v>178998</v>
      </c>
      <c r="D85" s="1863" t="s">
        <v>138</v>
      </c>
      <c r="E85" s="2650"/>
      <c r="F85" s="2633"/>
      <c r="G85" s="2633"/>
      <c r="H85" s="2640"/>
      <c r="I85" s="121"/>
      <c r="J85" s="188"/>
      <c r="K85" s="3778"/>
      <c r="L85" s="2747" t="s">
        <v>888</v>
      </c>
      <c r="M85" s="2748">
        <f ca="1">IF(N69&gt;1000,N69*0.1%,IF(AND(N69&gt;500,N69&lt;=1000),N69*0.5%,IF(AND(N69&gt;50,N69&lt;=500),N69*1%,IF(AND(N69&gt;1,N69&lt;=50),N69*1.5%))))</f>
        <v>187.94800000000001</v>
      </c>
      <c r="N85" s="127">
        <f ca="1">ROUND(M85,1)</f>
        <v>187.9</v>
      </c>
      <c r="O85" s="188" t="s">
        <v>885</v>
      </c>
      <c r="P85" s="188"/>
      <c r="Q85" s="188"/>
      <c r="R85" s="188"/>
      <c r="S85" s="188"/>
      <c r="T85" s="188"/>
      <c r="U85" s="188"/>
      <c r="V85" s="188"/>
    </row>
    <row r="86" spans="1:26" ht="12.75">
      <c r="A86" s="2657" t="s">
        <v>889</v>
      </c>
      <c r="B86" s="2658" t="s">
        <v>890</v>
      </c>
      <c r="C86" s="2659">
        <f ca="1">IF(C85&lt;=0,0,ROUND(C85*D86,0))</f>
        <v>9845</v>
      </c>
      <c r="D86" s="2660">
        <f>'数据-取费表'!B41</f>
        <v>5.5000000000000007E-2</v>
      </c>
      <c r="E86" s="2661"/>
      <c r="F86" s="2633"/>
      <c r="G86" s="2633"/>
      <c r="H86" s="2640"/>
      <c r="I86" s="121"/>
      <c r="J86" s="188"/>
      <c r="K86" s="3778"/>
      <c r="L86" s="2747" t="s">
        <v>891</v>
      </c>
      <c r="M86" s="2748">
        <f ca="1">N69*0.5%</f>
        <v>939.74</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778"/>
      <c r="L87" s="2747" t="s">
        <v>893</v>
      </c>
      <c r="M87" s="2748">
        <f ca="1">IF(N69&gt;=10000,(8.25+(N69-10000)*0.01%),IF(AND(N69&gt;=8000,N69&lt;10000),(7.85+(N69-8000)*0.02%),IF(AND(N69&gt;=5000,N69&lt;8000),(6.65+(N69-5000)*0.04%),IF(AND(N69&gt;=2000,N69&lt;5000),(4.25+(PN69-2000)*0.08%),IF(AND(N69&gt;=1000,N69&lt;2000),(2.75+(N69-1000)*0.15%),IF(AND(N69&gt;=100,N69&lt;1000),(0.5+(N69-100)*0.25%),IF(AND(N69&gt;0,N69&lt;100),N69*0.5%)))))))</f>
        <v>26.044800000000002</v>
      </c>
      <c r="N87" s="127">
        <f ca="1">ROUND(M87*0.9,1)</f>
        <v>23.4</v>
      </c>
      <c r="O87" s="2749"/>
      <c r="P87" s="188"/>
      <c r="Q87" s="188"/>
      <c r="R87" s="188"/>
      <c r="S87" s="188"/>
      <c r="T87" s="188"/>
      <c r="U87" s="188"/>
      <c r="V87" s="188"/>
      <c r="W87" s="2318"/>
      <c r="X87" s="2318"/>
      <c r="Y87" s="2318"/>
      <c r="Z87" s="2318"/>
    </row>
    <row r="88" spans="1:26" s="2435" customFormat="1" ht="14.25">
      <c r="A88" s="3772" t="s">
        <v>894</v>
      </c>
      <c r="B88" s="3773"/>
      <c r="C88" s="3773"/>
      <c r="D88" s="3773"/>
      <c r="E88" s="3773"/>
      <c r="F88" s="3773"/>
      <c r="G88" s="3773"/>
      <c r="H88" s="3773"/>
      <c r="I88" s="2750"/>
      <c r="J88" s="2751"/>
      <c r="K88" s="3778"/>
      <c r="L88" s="2747" t="s">
        <v>895</v>
      </c>
      <c r="M88" s="2748">
        <f ca="1">IF(N69&gt;10000,N69*0.5%,IF(AND(N69&gt;5000,N69&lt;=10000),N69*1%,IF(AND(N69&gt;1000,N69&lt;=5000),N69*2%,IF(AND(N69&gt;200,N69&lt;=1000),N69*3%,N69*5%))))</f>
        <v>939.74</v>
      </c>
      <c r="N88" s="127">
        <f ca="1">ROUND(M88,1)</f>
        <v>939.7</v>
      </c>
      <c r="O88" s="2749"/>
      <c r="P88" s="2752"/>
      <c r="Q88" s="2752"/>
      <c r="R88" s="2752"/>
      <c r="S88" s="2752"/>
      <c r="T88" s="2752"/>
      <c r="U88" s="2752"/>
      <c r="V88" s="2752"/>
      <c r="W88" s="2766"/>
      <c r="X88" s="2766"/>
      <c r="Y88" s="2766"/>
      <c r="Z88" s="2766"/>
    </row>
    <row r="89" spans="1:26" s="2435" customFormat="1" ht="14.25">
      <c r="A89" s="3774" t="s">
        <v>870</v>
      </c>
      <c r="B89" s="3775"/>
      <c r="C89" s="2641"/>
      <c r="D89" s="2641" t="s">
        <v>871</v>
      </c>
      <c r="E89" s="2667" t="s">
        <v>828</v>
      </c>
      <c r="F89" s="2668"/>
      <c r="G89" s="2668"/>
      <c r="H89" s="2669"/>
      <c r="I89" s="2753"/>
      <c r="J89" s="2754"/>
      <c r="K89" s="3778"/>
      <c r="L89" s="2747" t="s">
        <v>896</v>
      </c>
      <c r="M89" s="2755"/>
      <c r="N89" s="127">
        <f ca="1">ROUND(SUM(N83:N88),0)</f>
        <v>3031</v>
      </c>
      <c r="O89" s="2756">
        <f ca="1">N89/N69</f>
        <v>1.6126801030072149E-2</v>
      </c>
      <c r="P89" s="2752"/>
      <c r="Q89" s="2752"/>
      <c r="R89" s="2752"/>
      <c r="S89" s="2752"/>
      <c r="T89" s="2752"/>
      <c r="U89" s="2752"/>
      <c r="V89" s="2752"/>
      <c r="W89" s="2766"/>
      <c r="X89" s="2766"/>
      <c r="Y89" s="2766"/>
      <c r="Z89" s="2766"/>
    </row>
    <row r="90" spans="1:26" s="2435" customFormat="1" ht="14.25">
      <c r="A90" s="2643" t="s">
        <v>872</v>
      </c>
      <c r="B90" s="2652" t="s">
        <v>897</v>
      </c>
      <c r="C90" s="2656">
        <f ca="1">ROUND(D63/(1+'数据-取费表'!C42),0)</f>
        <v>178998</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4.25">
      <c r="A91" s="2643" t="s">
        <v>881</v>
      </c>
      <c r="B91" s="2605" t="s">
        <v>898</v>
      </c>
      <c r="C91" s="2656">
        <f ca="1">C92+C96</f>
        <v>895</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25">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79" t="s">
        <v>906</v>
      </c>
      <c r="F94" s="3780"/>
      <c r="G94" s="3780"/>
      <c r="H94" s="3781"/>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895</v>
      </c>
      <c r="D96" s="2682">
        <f>'数据-取费表'!B43</f>
        <v>5.000000000000001E-3</v>
      </c>
      <c r="E96" s="3758" t="s">
        <v>911</v>
      </c>
      <c r="F96" s="3759"/>
      <c r="G96" s="3759"/>
      <c r="H96" s="3760"/>
      <c r="I96" s="2757"/>
      <c r="J96" s="2758"/>
      <c r="K96" s="2752"/>
      <c r="L96" s="2752"/>
      <c r="M96" s="2752"/>
      <c r="N96" s="2752"/>
      <c r="O96" s="2752"/>
      <c r="P96" s="2752"/>
      <c r="Q96" s="2752"/>
      <c r="R96" s="2752"/>
      <c r="S96" s="2752"/>
      <c r="T96" s="2752"/>
      <c r="U96" s="2752"/>
      <c r="V96" s="2752"/>
      <c r="W96" s="2766"/>
      <c r="X96" s="2766"/>
      <c r="Y96" s="2766"/>
      <c r="Z96" s="2766"/>
    </row>
    <row r="97" spans="1:26" s="2435" customFormat="1" ht="14.25">
      <c r="A97" s="2685" t="s">
        <v>886</v>
      </c>
      <c r="B97" s="2652" t="s">
        <v>912</v>
      </c>
      <c r="C97" s="2656">
        <f ca="1">C90-C91</f>
        <v>178103</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198.99776536312848</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106549</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4.25">
      <c r="A101" s="3772" t="s">
        <v>916</v>
      </c>
      <c r="B101" s="3773"/>
      <c r="C101" s="3773"/>
      <c r="D101" s="3773"/>
      <c r="E101" s="3773"/>
      <c r="F101" s="3773"/>
      <c r="G101" s="3773"/>
      <c r="H101" s="3773"/>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4.25">
      <c r="A102" s="3774" t="s">
        <v>870</v>
      </c>
      <c r="B102" s="3775"/>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4.25">
      <c r="A103" s="2643" t="s">
        <v>872</v>
      </c>
      <c r="B103" s="2652" t="s">
        <v>897</v>
      </c>
      <c r="C103" s="2656">
        <f ca="1">ROUND(D63/(1+'数据-取费表'!C42),0)</f>
        <v>178998</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4.25">
      <c r="A104" s="2643" t="s">
        <v>881</v>
      </c>
      <c r="B104" s="2605" t="s">
        <v>898</v>
      </c>
      <c r="C104" s="2656">
        <f ca="1">IF(H106="仅含出让金",C105+C108+C109+C110+C111+C112,C105+C109+C110+C111+C112)</f>
        <v>200708.04605499998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4.25">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25">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4.25">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25">
      <c r="A108" s="2671" t="s">
        <v>877</v>
      </c>
      <c r="B108" s="2648" t="s">
        <v>923</v>
      </c>
      <c r="C108" s="2700"/>
      <c r="D108" s="2682"/>
      <c r="E108" s="2701" t="str">
        <f>IF(H106="-","土地取得成本中已包含该笔费用"," ")</f>
        <v xml:space="preserve"> </v>
      </c>
      <c r="F108" s="2683"/>
      <c r="G108" s="3776" t="s">
        <v>924</v>
      </c>
      <c r="H108" s="3777"/>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761" t="s">
        <v>928</v>
      </c>
      <c r="F109" s="3759"/>
      <c r="G109" s="3759"/>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761" t="s">
        <v>931</v>
      </c>
      <c r="F110" s="3759"/>
      <c r="G110" s="3759"/>
      <c r="H110" s="3760"/>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895</v>
      </c>
      <c r="D111" s="2682">
        <f>'数据-取费表'!B43</f>
        <v>5.000000000000001E-3</v>
      </c>
      <c r="E111" s="3758" t="s">
        <v>911</v>
      </c>
      <c r="F111" s="3759"/>
      <c r="G111" s="3759"/>
      <c r="H111" s="3760"/>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761" t="s">
        <v>936</v>
      </c>
      <c r="F112" s="3759"/>
      <c r="G112" s="3759"/>
      <c r="H112" s="3760"/>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4.25">
      <c r="A113" s="2685" t="s">
        <v>886</v>
      </c>
      <c r="B113" s="2652" t="s">
        <v>912</v>
      </c>
      <c r="C113" s="2656">
        <f ca="1">ROUND(C103-C104,0)</f>
        <v>-21710</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23" zoomScale="70" zoomScaleNormal="95" zoomScaleSheetLayoutView="70" workbookViewId="0">
      <selection activeCell="M32" sqref="M3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34431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2295</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3" t="s">
        <v>1022</v>
      </c>
      <c r="B6" s="224"/>
      <c r="C6" s="3864" t="s">
        <v>1023</v>
      </c>
      <c r="D6" s="3865"/>
      <c r="E6" s="3864" t="s">
        <v>1024</v>
      </c>
      <c r="F6" s="3865"/>
      <c r="G6" s="3864" t="s">
        <v>1025</v>
      </c>
      <c r="H6" s="3865"/>
      <c r="I6" s="3864" t="s">
        <v>1026</v>
      </c>
      <c r="J6" s="3865"/>
      <c r="K6" s="388" t="s">
        <v>1027</v>
      </c>
      <c r="L6" s="389"/>
      <c r="M6" s="385"/>
      <c r="N6" s="385"/>
      <c r="O6" s="390"/>
      <c r="P6" s="3835" t="s">
        <v>1028</v>
      </c>
      <c r="Q6" s="3836"/>
      <c r="R6" s="3841" t="s">
        <v>1024</v>
      </c>
      <c r="S6" s="3842"/>
      <c r="T6" s="3841" t="s">
        <v>1025</v>
      </c>
      <c r="U6" s="3842"/>
      <c r="V6" s="3847" t="s">
        <v>1026</v>
      </c>
      <c r="W6" s="3847"/>
      <c r="X6" s="460"/>
      <c r="Y6" s="3841" t="s">
        <v>1028</v>
      </c>
      <c r="Z6" s="3842"/>
      <c r="AA6" s="3828" t="s">
        <v>1024</v>
      </c>
      <c r="AB6" s="3829" t="s">
        <v>1025</v>
      </c>
      <c r="AC6" s="3828" t="s">
        <v>1026</v>
      </c>
    </row>
    <row r="7" spans="1:30" ht="20.25">
      <c r="A7" s="225"/>
      <c r="B7" s="226"/>
      <c r="C7" s="3866" t="s">
        <v>1029</v>
      </c>
      <c r="D7" s="3867"/>
      <c r="E7" s="3866" t="s">
        <v>1030</v>
      </c>
      <c r="F7" s="3867"/>
      <c r="G7" s="3866" t="s">
        <v>1031</v>
      </c>
      <c r="H7" s="3867"/>
      <c r="I7" s="3866" t="s">
        <v>1032</v>
      </c>
      <c r="J7" s="3867"/>
      <c r="K7" s="388"/>
      <c r="L7" s="389"/>
      <c r="M7" s="385"/>
      <c r="N7" s="385"/>
      <c r="O7" s="390"/>
      <c r="P7" s="3837"/>
      <c r="Q7" s="3838"/>
      <c r="R7" s="3843"/>
      <c r="S7" s="3844"/>
      <c r="T7" s="3843"/>
      <c r="U7" s="3844"/>
      <c r="V7" s="3847"/>
      <c r="W7" s="3847"/>
      <c r="X7" s="460"/>
      <c r="Y7" s="3843"/>
      <c r="Z7" s="3844"/>
      <c r="AA7" s="3829"/>
      <c r="AB7" s="3829"/>
      <c r="AC7" s="3829"/>
    </row>
    <row r="8" spans="1:30" ht="20.25">
      <c r="A8" s="225"/>
      <c r="B8" s="226"/>
      <c r="C8" s="3859" t="s">
        <v>1033</v>
      </c>
      <c r="D8" s="3860"/>
      <c r="E8" s="3859" t="s">
        <v>1033</v>
      </c>
      <c r="F8" s="3860"/>
      <c r="G8" s="3861" t="s">
        <v>2684</v>
      </c>
      <c r="H8" s="3862"/>
      <c r="I8" s="3861" t="s">
        <v>2685</v>
      </c>
      <c r="J8" s="3862"/>
      <c r="K8" s="388" t="s">
        <v>1034</v>
      </c>
      <c r="L8" s="389"/>
      <c r="M8" s="385"/>
      <c r="N8" s="385"/>
      <c r="O8" s="390"/>
      <c r="P8" s="3839"/>
      <c r="Q8" s="3840"/>
      <c r="R8" s="3843"/>
      <c r="S8" s="3844"/>
      <c r="T8" s="3845"/>
      <c r="U8" s="3846"/>
      <c r="V8" s="3847"/>
      <c r="W8" s="3847"/>
      <c r="X8" s="460"/>
      <c r="Y8" s="3845"/>
      <c r="Z8" s="3846"/>
      <c r="AA8" s="3830"/>
      <c r="AB8" s="3830"/>
      <c r="AC8" s="3830"/>
    </row>
    <row r="9" spans="1:30" s="199" customFormat="1" ht="20.25">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53" t="s">
        <v>1036</v>
      </c>
      <c r="Q9" s="3863"/>
      <c r="R9" s="461" t="s">
        <v>1037</v>
      </c>
      <c r="S9" s="462">
        <f t="shared" ref="S9:S17" si="0">F9</f>
        <v>100</v>
      </c>
      <c r="T9" s="461" t="s">
        <v>1037</v>
      </c>
      <c r="U9" s="462">
        <f t="shared" ref="U9:U17" si="1">H9</f>
        <v>100</v>
      </c>
      <c r="V9" s="461" t="s">
        <v>1037</v>
      </c>
      <c r="W9" s="462">
        <f t="shared" ref="W9:W17" si="2">J9</f>
        <v>100</v>
      </c>
      <c r="X9" s="463"/>
      <c r="Y9" s="3853" t="s">
        <v>1036</v>
      </c>
      <c r="Z9" s="3854"/>
      <c r="AA9" s="480">
        <f>D9/F9</f>
        <v>1</v>
      </c>
      <c r="AB9" s="480">
        <f>D9/H9</f>
        <v>1</v>
      </c>
      <c r="AC9" s="480">
        <f>D9/J9</f>
        <v>1</v>
      </c>
    </row>
    <row r="10" spans="1:30" s="199" customFormat="1" ht="20.25">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53" t="s">
        <v>1041</v>
      </c>
      <c r="Q10" s="3854"/>
      <c r="R10" s="461" t="s">
        <v>1037</v>
      </c>
      <c r="S10" s="462">
        <f t="shared" si="0"/>
        <v>100</v>
      </c>
      <c r="T10" s="461" t="s">
        <v>1037</v>
      </c>
      <c r="U10" s="462">
        <f t="shared" si="1"/>
        <v>100</v>
      </c>
      <c r="V10" s="461" t="s">
        <v>1037</v>
      </c>
      <c r="W10" s="462">
        <f t="shared" si="2"/>
        <v>100</v>
      </c>
      <c r="X10" s="463"/>
      <c r="Y10" s="3853" t="s">
        <v>1041</v>
      </c>
      <c r="Z10" s="3854"/>
      <c r="AA10" s="480">
        <f t="shared" ref="AA10:AA47" si="3">D10/F10</f>
        <v>1</v>
      </c>
      <c r="AB10" s="480">
        <f t="shared" ref="AB10:AB47" si="4">D10/H10</f>
        <v>1</v>
      </c>
      <c r="AC10" s="480">
        <f t="shared" ref="AC10:AC47" si="5">D10/J10</f>
        <v>1</v>
      </c>
    </row>
    <row r="11" spans="1:30" s="199" customFormat="1" ht="20.25">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48" t="s">
        <v>1043</v>
      </c>
      <c r="Q11" s="464" t="str">
        <f t="shared" ref="Q11:Q17" si="6">B11</f>
        <v>用途</v>
      </c>
      <c r="R11" s="461" t="s">
        <v>1037</v>
      </c>
      <c r="S11" s="462">
        <f t="shared" si="0"/>
        <v>100</v>
      </c>
      <c r="T11" s="461" t="s">
        <v>1037</v>
      </c>
      <c r="U11" s="462">
        <f t="shared" si="1"/>
        <v>100</v>
      </c>
      <c r="V11" s="461" t="s">
        <v>1037</v>
      </c>
      <c r="W11" s="462">
        <f t="shared" si="2"/>
        <v>100</v>
      </c>
      <c r="X11" s="463"/>
      <c r="Y11" s="3814" t="s">
        <v>1044</v>
      </c>
      <c r="Z11" s="481" t="str">
        <f t="shared" ref="Z11:Z17" si="7">Q11</f>
        <v>用途</v>
      </c>
      <c r="AA11" s="480">
        <f t="shared" si="3"/>
        <v>1</v>
      </c>
      <c r="AB11" s="480">
        <f t="shared" si="4"/>
        <v>1</v>
      </c>
      <c r="AC11" s="480">
        <f t="shared" si="5"/>
        <v>1</v>
      </c>
    </row>
    <row r="12" spans="1:30" s="200" customFormat="1" ht="27">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48"/>
      <c r="Q12" s="464" t="str">
        <f t="shared" si="6"/>
        <v>土地使用年限（年）</v>
      </c>
      <c r="R12" s="461" t="s">
        <v>1037</v>
      </c>
      <c r="S12" s="462">
        <f t="shared" si="0"/>
        <v>100</v>
      </c>
      <c r="T12" s="461" t="s">
        <v>1037</v>
      </c>
      <c r="U12" s="462">
        <f t="shared" si="1"/>
        <v>100</v>
      </c>
      <c r="V12" s="461" t="s">
        <v>1037</v>
      </c>
      <c r="W12" s="462">
        <f t="shared" si="2"/>
        <v>100</v>
      </c>
      <c r="X12" s="463"/>
      <c r="Y12" s="3814"/>
      <c r="Z12" s="481" t="str">
        <f t="shared" si="7"/>
        <v>土地使用年限（年）</v>
      </c>
      <c r="AA12" s="480">
        <f t="shared" si="3"/>
        <v>1</v>
      </c>
      <c r="AB12" s="480">
        <f t="shared" si="4"/>
        <v>1</v>
      </c>
      <c r="AC12" s="480">
        <f t="shared" si="5"/>
        <v>1</v>
      </c>
    </row>
    <row r="13" spans="1:30" ht="20.25">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48"/>
      <c r="Q13" s="464" t="str">
        <f t="shared" si="6"/>
        <v>容积率</v>
      </c>
      <c r="R13" s="461" t="s">
        <v>1037</v>
      </c>
      <c r="S13" s="462">
        <f t="shared" si="0"/>
        <v>103</v>
      </c>
      <c r="T13" s="461" t="s">
        <v>1037</v>
      </c>
      <c r="U13" s="462">
        <f t="shared" si="1"/>
        <v>97</v>
      </c>
      <c r="V13" s="461" t="s">
        <v>1037</v>
      </c>
      <c r="W13" s="462">
        <f t="shared" si="2"/>
        <v>97</v>
      </c>
      <c r="X13" s="463"/>
      <c r="Y13" s="3814"/>
      <c r="Z13" s="481" t="str">
        <f t="shared" si="7"/>
        <v>容积率</v>
      </c>
      <c r="AA13" s="480">
        <f t="shared" si="3"/>
        <v>0.970873786407767</v>
      </c>
      <c r="AB13" s="480">
        <f t="shared" si="4"/>
        <v>1.0309278350515463</v>
      </c>
      <c r="AC13" s="480">
        <f t="shared" si="5"/>
        <v>1.0309278350515463</v>
      </c>
    </row>
    <row r="14" spans="1:30" s="199" customFormat="1" ht="20.25">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48"/>
      <c r="Q14" s="464" t="str">
        <f t="shared" si="6"/>
        <v>配建</v>
      </c>
      <c r="R14" s="461" t="s">
        <v>1037</v>
      </c>
      <c r="S14" s="462">
        <f t="shared" si="0"/>
        <v>100</v>
      </c>
      <c r="T14" s="461" t="s">
        <v>1037</v>
      </c>
      <c r="U14" s="462">
        <f t="shared" si="1"/>
        <v>100</v>
      </c>
      <c r="V14" s="461" t="s">
        <v>1037</v>
      </c>
      <c r="W14" s="462">
        <f t="shared" si="2"/>
        <v>100</v>
      </c>
      <c r="X14" s="463"/>
      <c r="Y14" s="3814"/>
      <c r="Z14" s="481" t="str">
        <f t="shared" si="7"/>
        <v>配建</v>
      </c>
      <c r="AA14" s="480">
        <f t="shared" si="3"/>
        <v>1</v>
      </c>
      <c r="AB14" s="480">
        <f t="shared" si="4"/>
        <v>1</v>
      </c>
      <c r="AC14" s="480">
        <f t="shared" si="5"/>
        <v>1</v>
      </c>
    </row>
    <row r="15" spans="1:30" ht="20.25">
      <c r="A15" s="248"/>
      <c r="B15" s="3642"/>
      <c r="C15" s="3643"/>
      <c r="D15" s="256">
        <v>100</v>
      </c>
      <c r="E15" s="3643"/>
      <c r="F15" s="246">
        <f>SUMIF(85:85,E15,86:86)-SUMIF(85:85,C15,86:86)+100</f>
        <v>100</v>
      </c>
      <c r="G15" s="3643"/>
      <c r="H15" s="256">
        <f>SUMIF(85:85,G15,86:86)-SUMIF(85:85,C15,86:86)+100</f>
        <v>100</v>
      </c>
      <c r="I15" s="3643"/>
      <c r="J15" s="256">
        <f>SUMIF(85:85,I15,86:86)-SUMIF(85:85,C15,86:86)+100</f>
        <v>100</v>
      </c>
      <c r="K15" s="2152"/>
      <c r="L15" s="402"/>
      <c r="M15" s="385"/>
      <c r="N15" s="385"/>
      <c r="O15" s="401"/>
      <c r="P15" s="3848"/>
      <c r="Q15" s="464">
        <f t="shared" si="6"/>
        <v>0</v>
      </c>
      <c r="R15" s="461" t="s">
        <v>1037</v>
      </c>
      <c r="S15" s="462">
        <f t="shared" si="0"/>
        <v>100</v>
      </c>
      <c r="T15" s="461" t="s">
        <v>1037</v>
      </c>
      <c r="U15" s="462">
        <f t="shared" si="1"/>
        <v>100</v>
      </c>
      <c r="V15" s="461" t="s">
        <v>1037</v>
      </c>
      <c r="W15" s="462">
        <f t="shared" si="2"/>
        <v>100</v>
      </c>
      <c r="X15" s="463"/>
      <c r="Y15" s="3814"/>
      <c r="Z15" s="481">
        <f t="shared" si="7"/>
        <v>0</v>
      </c>
      <c r="AA15" s="480">
        <f t="shared" si="3"/>
        <v>1</v>
      </c>
      <c r="AB15" s="480">
        <f t="shared" si="4"/>
        <v>1</v>
      </c>
      <c r="AC15" s="480">
        <f t="shared" si="5"/>
        <v>1</v>
      </c>
    </row>
    <row r="16" spans="1:30" ht="20.25">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48"/>
      <c r="Q16" s="464">
        <f t="shared" si="6"/>
        <v>111</v>
      </c>
      <c r="R16" s="461" t="s">
        <v>1037</v>
      </c>
      <c r="S16" s="462">
        <f t="shared" si="0"/>
        <v>100</v>
      </c>
      <c r="T16" s="461" t="s">
        <v>1037</v>
      </c>
      <c r="U16" s="462">
        <f t="shared" si="1"/>
        <v>100</v>
      </c>
      <c r="V16" s="461" t="s">
        <v>1037</v>
      </c>
      <c r="W16" s="462">
        <f t="shared" si="2"/>
        <v>100</v>
      </c>
      <c r="X16" s="463"/>
      <c r="Y16" s="3814"/>
      <c r="Z16" s="481">
        <f t="shared" si="7"/>
        <v>111</v>
      </c>
      <c r="AA16" s="480">
        <f t="shared" si="3"/>
        <v>1</v>
      </c>
      <c r="AB16" s="480">
        <f t="shared" si="4"/>
        <v>1</v>
      </c>
      <c r="AC16" s="480">
        <f t="shared" si="5"/>
        <v>1</v>
      </c>
    </row>
    <row r="17" spans="1:29" ht="99.75">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55" t="s">
        <v>1049</v>
      </c>
      <c r="Q17" s="395" t="str">
        <f t="shared" si="6"/>
        <v>居住社区成熟度</v>
      </c>
      <c r="R17" s="465" t="s">
        <v>1037</v>
      </c>
      <c r="S17" s="466">
        <f t="shared" si="0"/>
        <v>100</v>
      </c>
      <c r="T17" s="465" t="s">
        <v>1037</v>
      </c>
      <c r="U17" s="466">
        <f t="shared" si="1"/>
        <v>100</v>
      </c>
      <c r="V17" s="465" t="s">
        <v>1037</v>
      </c>
      <c r="W17" s="466">
        <f t="shared" si="2"/>
        <v>100</v>
      </c>
      <c r="X17" s="460"/>
      <c r="Y17" s="3855" t="s">
        <v>1049</v>
      </c>
      <c r="Z17" s="459" t="str">
        <f t="shared" si="7"/>
        <v>居住社区成熟度</v>
      </c>
      <c r="AA17" s="471">
        <f t="shared" si="3"/>
        <v>1</v>
      </c>
      <c r="AB17" s="471">
        <f t="shared" si="4"/>
        <v>1</v>
      </c>
      <c r="AC17" s="471">
        <f t="shared" si="5"/>
        <v>1</v>
      </c>
    </row>
    <row r="18" spans="1:29" ht="20.25">
      <c r="A18" s="264"/>
      <c r="B18" s="580"/>
      <c r="C18" s="581" t="s">
        <v>2683</v>
      </c>
      <c r="D18" s="268"/>
      <c r="E18" s="581" t="s">
        <v>2683</v>
      </c>
      <c r="F18" s="267"/>
      <c r="G18" s="581" t="s">
        <v>2683</v>
      </c>
      <c r="H18" s="269"/>
      <c r="I18" s="581" t="s">
        <v>2683</v>
      </c>
      <c r="J18" s="267"/>
      <c r="K18" s="2152"/>
      <c r="L18" s="402"/>
      <c r="M18" s="385"/>
      <c r="N18" s="385"/>
      <c r="O18" s="401"/>
      <c r="P18" s="3856"/>
      <c r="Q18" s="395"/>
      <c r="R18" s="465"/>
      <c r="S18" s="466"/>
      <c r="T18" s="465"/>
      <c r="U18" s="466"/>
      <c r="V18" s="465"/>
      <c r="W18" s="466"/>
      <c r="X18" s="460"/>
      <c r="Y18" s="3856"/>
      <c r="Z18" s="459"/>
      <c r="AA18" s="471">
        <v>1</v>
      </c>
      <c r="AB18" s="471">
        <v>1</v>
      </c>
      <c r="AC18" s="471">
        <v>1</v>
      </c>
    </row>
    <row r="19" spans="1:29" ht="71.25"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56"/>
      <c r="Q19" s="395" t="str">
        <f>B19</f>
        <v>商业繁华度</v>
      </c>
      <c r="R19" s="465" t="s">
        <v>1037</v>
      </c>
      <c r="S19" s="466">
        <f>F19</f>
        <v>100</v>
      </c>
      <c r="T19" s="465" t="s">
        <v>1037</v>
      </c>
      <c r="U19" s="466">
        <f>H19</f>
        <v>100</v>
      </c>
      <c r="V19" s="465" t="s">
        <v>1037</v>
      </c>
      <c r="W19" s="466">
        <f>J19</f>
        <v>100</v>
      </c>
      <c r="X19" s="460"/>
      <c r="Y19" s="3856"/>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2"/>
      <c r="L20" s="402"/>
      <c r="M20" s="385"/>
      <c r="N20" s="385"/>
      <c r="O20" s="401"/>
      <c r="P20" s="3856"/>
      <c r="Q20" s="395"/>
      <c r="R20" s="465"/>
      <c r="S20" s="466"/>
      <c r="T20" s="465"/>
      <c r="U20" s="466"/>
      <c r="V20" s="465"/>
      <c r="W20" s="466"/>
      <c r="X20" s="460"/>
      <c r="Y20" s="3856"/>
      <c r="Z20" s="459"/>
      <c r="AA20" s="471">
        <v>1</v>
      </c>
      <c r="AB20" s="471">
        <v>1</v>
      </c>
      <c r="AC20" s="471">
        <v>1</v>
      </c>
    </row>
    <row r="21" spans="1:29" ht="71.25"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56"/>
      <c r="Q21" s="395" t="str">
        <f>B21</f>
        <v>办公集聚程度</v>
      </c>
      <c r="R21" s="465" t="s">
        <v>1037</v>
      </c>
      <c r="S21" s="466">
        <f>F21</f>
        <v>100</v>
      </c>
      <c r="T21" s="465" t="s">
        <v>1037</v>
      </c>
      <c r="U21" s="466">
        <f>H21</f>
        <v>100</v>
      </c>
      <c r="V21" s="465" t="s">
        <v>1037</v>
      </c>
      <c r="W21" s="466">
        <f>J21</f>
        <v>100</v>
      </c>
      <c r="X21" s="460"/>
      <c r="Y21" s="3856"/>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2"/>
      <c r="L22" s="402"/>
      <c r="M22" s="385"/>
      <c r="N22" s="385"/>
      <c r="O22" s="401"/>
      <c r="P22" s="3856"/>
      <c r="Q22" s="395"/>
      <c r="R22" s="465"/>
      <c r="S22" s="466"/>
      <c r="T22" s="465"/>
      <c r="U22" s="466"/>
      <c r="V22" s="465"/>
      <c r="W22" s="466"/>
      <c r="X22" s="460"/>
      <c r="Y22" s="3856"/>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56"/>
      <c r="Q23" s="395" t="str">
        <f>B23</f>
        <v>交通便捷度</v>
      </c>
      <c r="R23" s="465" t="s">
        <v>1037</v>
      </c>
      <c r="S23" s="466">
        <f>F23</f>
        <v>100</v>
      </c>
      <c r="T23" s="465" t="s">
        <v>1037</v>
      </c>
      <c r="U23" s="466">
        <f>H23</f>
        <v>100</v>
      </c>
      <c r="V23" s="465" t="s">
        <v>1037</v>
      </c>
      <c r="W23" s="466">
        <f>J23</f>
        <v>100</v>
      </c>
      <c r="X23" s="460"/>
      <c r="Y23" s="3856"/>
      <c r="Z23" s="459" t="str">
        <f>Q23</f>
        <v>交通便捷度</v>
      </c>
      <c r="AA23" s="471">
        <f t="shared" si="3"/>
        <v>1</v>
      </c>
      <c r="AB23" s="471">
        <f t="shared" si="4"/>
        <v>1</v>
      </c>
      <c r="AC23" s="471">
        <f t="shared" si="5"/>
        <v>1</v>
      </c>
    </row>
    <row r="24" spans="1:29" ht="20.25">
      <c r="A24" s="264"/>
      <c r="B24" s="282"/>
      <c r="C24" s="581" t="s">
        <v>2720</v>
      </c>
      <c r="D24" s="268"/>
      <c r="E24" s="581" t="s">
        <v>2720</v>
      </c>
      <c r="F24" s="267"/>
      <c r="G24" s="581" t="s">
        <v>2720</v>
      </c>
      <c r="H24" s="267"/>
      <c r="I24" s="581" t="s">
        <v>2720</v>
      </c>
      <c r="J24" s="267"/>
      <c r="K24" s="2152"/>
      <c r="L24" s="402"/>
      <c r="M24" s="385"/>
      <c r="N24" s="385"/>
      <c r="O24" s="401"/>
      <c r="P24" s="3856"/>
      <c r="Q24" s="395"/>
      <c r="R24" s="465"/>
      <c r="S24" s="466"/>
      <c r="T24" s="465"/>
      <c r="U24" s="466"/>
      <c r="V24" s="465"/>
      <c r="W24" s="466"/>
      <c r="X24" s="460"/>
      <c r="Y24" s="3856"/>
      <c r="Z24" s="459"/>
      <c r="AA24" s="471">
        <v>1</v>
      </c>
      <c r="AB24" s="471">
        <v>1</v>
      </c>
      <c r="AC24" s="471">
        <v>1</v>
      </c>
    </row>
    <row r="25" spans="1:29" ht="27">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56"/>
      <c r="Q25" s="395" t="str">
        <f t="shared" ref="Q25:Q40" si="8">B25</f>
        <v>区域土地利用方向</v>
      </c>
      <c r="R25" s="465" t="s">
        <v>1037</v>
      </c>
      <c r="S25" s="466">
        <f>F25</f>
        <v>100</v>
      </c>
      <c r="T25" s="465" t="s">
        <v>1037</v>
      </c>
      <c r="U25" s="466">
        <f>H25</f>
        <v>100</v>
      </c>
      <c r="V25" s="465" t="s">
        <v>1037</v>
      </c>
      <c r="W25" s="466">
        <f>J25</f>
        <v>100</v>
      </c>
      <c r="X25" s="460"/>
      <c r="Y25" s="3856"/>
      <c r="Z25" s="459" t="str">
        <f>Q25</f>
        <v>区域土地利用方向</v>
      </c>
      <c r="AA25" s="471">
        <f t="shared" si="3"/>
        <v>1</v>
      </c>
      <c r="AB25" s="471">
        <f t="shared" si="4"/>
        <v>1</v>
      </c>
      <c r="AC25" s="471">
        <f t="shared" si="5"/>
        <v>1</v>
      </c>
    </row>
    <row r="26" spans="1:29" ht="20.25">
      <c r="A26" s="225"/>
      <c r="B26" s="2201"/>
      <c r="C26" s="581" t="s">
        <v>2656</v>
      </c>
      <c r="D26" s="268"/>
      <c r="E26" s="581" t="s">
        <v>2656</v>
      </c>
      <c r="F26" s="267"/>
      <c r="G26" s="581" t="s">
        <v>2656</v>
      </c>
      <c r="H26" s="267"/>
      <c r="I26" s="581" t="s">
        <v>2656</v>
      </c>
      <c r="J26" s="267"/>
      <c r="K26" s="2152"/>
      <c r="L26" s="402"/>
      <c r="M26" s="385"/>
      <c r="N26" s="385"/>
      <c r="O26" s="401"/>
      <c r="P26" s="3856"/>
      <c r="Q26" s="395"/>
      <c r="R26" s="465"/>
      <c r="S26" s="466"/>
      <c r="T26" s="465"/>
      <c r="U26" s="466"/>
      <c r="V26" s="465"/>
      <c r="W26" s="466"/>
      <c r="X26" s="460"/>
      <c r="Y26" s="3856"/>
      <c r="Z26" s="459"/>
      <c r="AA26" s="471"/>
      <c r="AB26" s="471"/>
      <c r="AC26" s="471"/>
    </row>
    <row r="27" spans="1:29" ht="57">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56"/>
      <c r="Q27" s="395" t="str">
        <f t="shared" si="8"/>
        <v>自然及人文环境状况</v>
      </c>
      <c r="R27" s="465" t="s">
        <v>1037</v>
      </c>
      <c r="S27" s="466">
        <f>F27</f>
        <v>100</v>
      </c>
      <c r="T27" s="465" t="s">
        <v>1037</v>
      </c>
      <c r="U27" s="466">
        <f>H27</f>
        <v>100</v>
      </c>
      <c r="V27" s="465" t="s">
        <v>1037</v>
      </c>
      <c r="W27" s="466">
        <f>J27</f>
        <v>100</v>
      </c>
      <c r="X27" s="460"/>
      <c r="Y27" s="3856"/>
      <c r="Z27" s="459" t="str">
        <f>Q27</f>
        <v>自然及人文环境状况</v>
      </c>
      <c r="AA27" s="471">
        <f t="shared" si="3"/>
        <v>1</v>
      </c>
      <c r="AB27" s="471">
        <f t="shared" si="4"/>
        <v>1</v>
      </c>
      <c r="AC27" s="471">
        <f t="shared" si="5"/>
        <v>1</v>
      </c>
    </row>
    <row r="28" spans="1:29" ht="20.25">
      <c r="A28" s="225"/>
      <c r="B28" s="276"/>
      <c r="C28" s="581" t="s">
        <v>2683</v>
      </c>
      <c r="D28" s="268"/>
      <c r="E28" s="581" t="s">
        <v>2683</v>
      </c>
      <c r="F28" s="267"/>
      <c r="G28" s="581" t="s">
        <v>2683</v>
      </c>
      <c r="H28" s="267"/>
      <c r="I28" s="581" t="s">
        <v>2683</v>
      </c>
      <c r="J28" s="267"/>
      <c r="K28" s="2152"/>
      <c r="L28" s="402"/>
      <c r="M28" s="385"/>
      <c r="N28" s="385"/>
      <c r="O28" s="401"/>
      <c r="P28" s="3856"/>
      <c r="Q28" s="395"/>
      <c r="R28" s="465"/>
      <c r="S28" s="466"/>
      <c r="T28" s="465"/>
      <c r="U28" s="466"/>
      <c r="V28" s="465"/>
      <c r="W28" s="466"/>
      <c r="X28" s="460"/>
      <c r="Y28" s="3856"/>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56"/>
      <c r="Q29" s="464" t="str">
        <f t="shared" si="8"/>
        <v>公共配套设施</v>
      </c>
      <c r="R29" s="461" t="s">
        <v>1037</v>
      </c>
      <c r="S29" s="462">
        <f>F29</f>
        <v>100</v>
      </c>
      <c r="T29" s="461" t="s">
        <v>1037</v>
      </c>
      <c r="U29" s="462">
        <f>H29</f>
        <v>100</v>
      </c>
      <c r="V29" s="461" t="s">
        <v>1037</v>
      </c>
      <c r="W29" s="462">
        <f>J29</f>
        <v>100</v>
      </c>
      <c r="X29" s="463"/>
      <c r="Y29" s="3856"/>
      <c r="Z29" s="481" t="str">
        <f>Q29</f>
        <v>公共配套设施</v>
      </c>
      <c r="AA29" s="471">
        <f>D29/F29</f>
        <v>1</v>
      </c>
      <c r="AB29" s="471">
        <f>D29/H29</f>
        <v>1</v>
      </c>
      <c r="AC29" s="471">
        <f>D29/J29</f>
        <v>1</v>
      </c>
    </row>
    <row r="30" spans="1:29" s="199" customFormat="1" ht="20.25">
      <c r="A30" s="515"/>
      <c r="B30" s="276"/>
      <c r="C30" s="2094" t="s">
        <v>2720</v>
      </c>
      <c r="D30" s="268"/>
      <c r="E30" s="2094" t="s">
        <v>2720</v>
      </c>
      <c r="F30" s="267"/>
      <c r="G30" s="2094" t="s">
        <v>2720</v>
      </c>
      <c r="H30" s="267"/>
      <c r="I30" s="2094" t="s">
        <v>2720</v>
      </c>
      <c r="J30" s="267"/>
      <c r="K30" s="2152"/>
      <c r="L30" s="392"/>
      <c r="M30" s="385"/>
      <c r="N30" s="385"/>
      <c r="O30" s="394"/>
      <c r="P30" s="3856"/>
      <c r="Q30" s="464"/>
      <c r="R30" s="461"/>
      <c r="S30" s="462"/>
      <c r="T30" s="461"/>
      <c r="U30" s="462"/>
      <c r="V30" s="461"/>
      <c r="W30" s="462"/>
      <c r="X30" s="463"/>
      <c r="Y30" s="3856"/>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56"/>
      <c r="Q31" s="464" t="str">
        <f>B31</f>
        <v>基础设施水平</v>
      </c>
      <c r="R31" s="461" t="s">
        <v>1037</v>
      </c>
      <c r="S31" s="462">
        <f>F31</f>
        <v>100</v>
      </c>
      <c r="T31" s="461" t="s">
        <v>1037</v>
      </c>
      <c r="U31" s="462">
        <f>H31</f>
        <v>100</v>
      </c>
      <c r="V31" s="461" t="s">
        <v>1037</v>
      </c>
      <c r="W31" s="462">
        <f>J31</f>
        <v>100</v>
      </c>
      <c r="X31" s="463"/>
      <c r="Y31" s="3856"/>
      <c r="Z31" s="481" t="str">
        <f>Q31</f>
        <v>基础设施水平</v>
      </c>
      <c r="AA31" s="471">
        <f>D31/F31</f>
        <v>1</v>
      </c>
      <c r="AB31" s="471">
        <f>D31/H31</f>
        <v>1</v>
      </c>
      <c r="AC31" s="471">
        <f>D31/J31</f>
        <v>1</v>
      </c>
    </row>
    <row r="32" spans="1:29" s="199" customFormat="1" ht="20.25">
      <c r="A32" s="515"/>
      <c r="B32" s="276"/>
      <c r="C32" s="2094" t="s">
        <v>245</v>
      </c>
      <c r="D32" s="268"/>
      <c r="E32" s="2094" t="s">
        <v>245</v>
      </c>
      <c r="F32" s="267"/>
      <c r="G32" s="2094" t="s">
        <v>245</v>
      </c>
      <c r="H32" s="267"/>
      <c r="I32" s="2094" t="s">
        <v>245</v>
      </c>
      <c r="J32" s="267"/>
      <c r="K32" s="2152"/>
      <c r="L32" s="392"/>
      <c r="M32" s="385"/>
      <c r="N32" s="385"/>
      <c r="O32" s="394"/>
      <c r="P32" s="3856"/>
      <c r="Q32" s="464"/>
      <c r="R32" s="461"/>
      <c r="S32" s="462"/>
      <c r="T32" s="461"/>
      <c r="U32" s="462"/>
      <c r="V32" s="461"/>
      <c r="W32" s="462"/>
      <c r="X32" s="463"/>
      <c r="Y32" s="3856"/>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56"/>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56"/>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56"/>
      <c r="Q34" s="395" t="str">
        <f t="shared" si="8"/>
        <v>毗邻道路的类型与等级</v>
      </c>
      <c r="R34" s="465" t="s">
        <v>1037</v>
      </c>
      <c r="S34" s="466">
        <f t="shared" si="9"/>
        <v>100</v>
      </c>
      <c r="T34" s="465" t="s">
        <v>1037</v>
      </c>
      <c r="U34" s="466">
        <f t="shared" si="10"/>
        <v>100</v>
      </c>
      <c r="V34" s="465" t="s">
        <v>1037</v>
      </c>
      <c r="W34" s="466">
        <f t="shared" si="11"/>
        <v>100</v>
      </c>
      <c r="X34" s="460"/>
      <c r="Y34" s="3856"/>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56"/>
      <c r="Q35" s="395"/>
      <c r="R35" s="465"/>
      <c r="S35" s="466"/>
      <c r="T35" s="465"/>
      <c r="U35" s="466"/>
      <c r="V35" s="465"/>
      <c r="W35" s="466"/>
      <c r="X35" s="460"/>
      <c r="Y35" s="3856"/>
      <c r="Z35" s="459"/>
      <c r="AA35" s="471">
        <v>1</v>
      </c>
      <c r="AB35" s="471">
        <v>1</v>
      </c>
      <c r="AC35" s="471">
        <v>1</v>
      </c>
    </row>
    <row r="36" spans="1:29" ht="20.25">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56"/>
      <c r="Q36" s="395" t="str">
        <f t="shared" si="8"/>
        <v>土地级别</v>
      </c>
      <c r="R36" s="465" t="s">
        <v>1037</v>
      </c>
      <c r="S36" s="466">
        <f t="shared" si="9"/>
        <v>100</v>
      </c>
      <c r="T36" s="465" t="s">
        <v>1037</v>
      </c>
      <c r="U36" s="466">
        <f t="shared" si="10"/>
        <v>100</v>
      </c>
      <c r="V36" s="465" t="s">
        <v>1037</v>
      </c>
      <c r="W36" s="466">
        <f t="shared" si="11"/>
        <v>100</v>
      </c>
      <c r="X36" s="460"/>
      <c r="Y36" s="3856"/>
      <c r="Z36" s="459" t="str">
        <f t="shared" si="12"/>
        <v>土地级别</v>
      </c>
      <c r="AA36" s="471">
        <f t="shared" si="3"/>
        <v>1</v>
      </c>
      <c r="AB36" s="471">
        <f t="shared" si="4"/>
        <v>1</v>
      </c>
      <c r="AC36" s="471">
        <f t="shared" si="5"/>
        <v>1</v>
      </c>
    </row>
    <row r="37" spans="1:29" ht="20.25">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56"/>
      <c r="Q37" s="395">
        <f t="shared" si="8"/>
        <v>111</v>
      </c>
      <c r="R37" s="465" t="s">
        <v>1037</v>
      </c>
      <c r="S37" s="466">
        <f t="shared" si="9"/>
        <v>100</v>
      </c>
      <c r="T37" s="465" t="s">
        <v>1037</v>
      </c>
      <c r="U37" s="466">
        <f t="shared" si="10"/>
        <v>100</v>
      </c>
      <c r="V37" s="465" t="s">
        <v>1037</v>
      </c>
      <c r="W37" s="466">
        <f t="shared" si="11"/>
        <v>100</v>
      </c>
      <c r="X37" s="460"/>
      <c r="Y37" s="3856"/>
      <c r="Z37" s="459">
        <f t="shared" si="12"/>
        <v>111</v>
      </c>
      <c r="AA37" s="471">
        <f t="shared" si="3"/>
        <v>1</v>
      </c>
      <c r="AB37" s="471">
        <f t="shared" si="4"/>
        <v>1</v>
      </c>
      <c r="AC37" s="471">
        <f t="shared" si="5"/>
        <v>1</v>
      </c>
    </row>
    <row r="38" spans="1:29" ht="20.25">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57" t="s">
        <v>1053</v>
      </c>
      <c r="Q38" s="395">
        <f t="shared" si="8"/>
        <v>111</v>
      </c>
      <c r="R38" s="465" t="s">
        <v>1037</v>
      </c>
      <c r="S38" s="466">
        <f t="shared" si="9"/>
        <v>100</v>
      </c>
      <c r="T38" s="465" t="s">
        <v>1037</v>
      </c>
      <c r="U38" s="466">
        <f t="shared" si="10"/>
        <v>100</v>
      </c>
      <c r="V38" s="465" t="s">
        <v>1037</v>
      </c>
      <c r="W38" s="466">
        <f t="shared" si="11"/>
        <v>100</v>
      </c>
      <c r="X38" s="460"/>
      <c r="Y38" s="3858" t="s">
        <v>1053</v>
      </c>
      <c r="Z38" s="459">
        <f t="shared" si="12"/>
        <v>111</v>
      </c>
      <c r="AA38" s="471">
        <f t="shared" si="3"/>
        <v>1</v>
      </c>
      <c r="AB38" s="471">
        <f t="shared" si="4"/>
        <v>1</v>
      </c>
      <c r="AC38" s="471">
        <f t="shared" si="5"/>
        <v>1</v>
      </c>
    </row>
    <row r="39" spans="1:29" s="201" customFormat="1" ht="20.25">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58"/>
      <c r="Q39" s="395">
        <f t="shared" si="8"/>
        <v>111</v>
      </c>
      <c r="R39" s="468" t="s">
        <v>1037</v>
      </c>
      <c r="S39" s="469">
        <f t="shared" si="9"/>
        <v>100</v>
      </c>
      <c r="T39" s="468" t="s">
        <v>1037</v>
      </c>
      <c r="U39" s="469">
        <f t="shared" si="10"/>
        <v>100</v>
      </c>
      <c r="V39" s="468" t="s">
        <v>1037</v>
      </c>
      <c r="W39" s="469">
        <f t="shared" si="11"/>
        <v>100</v>
      </c>
      <c r="X39" s="470"/>
      <c r="Y39" s="3858"/>
      <c r="Z39" s="482">
        <f t="shared" si="12"/>
        <v>111</v>
      </c>
      <c r="AA39" s="471">
        <f t="shared" si="3"/>
        <v>1</v>
      </c>
      <c r="AB39" s="471">
        <f t="shared" si="4"/>
        <v>1</v>
      </c>
      <c r="AC39" s="471">
        <f t="shared" si="5"/>
        <v>1</v>
      </c>
    </row>
    <row r="40" spans="1:29" ht="20.25">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58"/>
      <c r="Q40" s="395" t="str">
        <f t="shared" si="8"/>
        <v>宗地面积</v>
      </c>
      <c r="R40" s="465" t="s">
        <v>1037</v>
      </c>
      <c r="S40" s="466">
        <f t="shared" si="9"/>
        <v>100</v>
      </c>
      <c r="T40" s="465" t="s">
        <v>1037</v>
      </c>
      <c r="U40" s="466">
        <f t="shared" si="10"/>
        <v>100</v>
      </c>
      <c r="V40" s="465" t="s">
        <v>1037</v>
      </c>
      <c r="W40" s="466">
        <f t="shared" si="11"/>
        <v>101</v>
      </c>
      <c r="X40" s="460"/>
      <c r="Y40" s="3858"/>
      <c r="Z40" s="459" t="str">
        <f t="shared" si="12"/>
        <v>宗地面积</v>
      </c>
      <c r="AA40" s="471">
        <f t="shared" si="3"/>
        <v>1</v>
      </c>
      <c r="AB40" s="471">
        <f t="shared" si="4"/>
        <v>1</v>
      </c>
      <c r="AC40" s="471">
        <f t="shared" si="5"/>
        <v>0.99009900990099009</v>
      </c>
    </row>
    <row r="41" spans="1:29" ht="20.25">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58"/>
      <c r="Q41" s="395" t="str">
        <f t="shared" ref="Q41:Q47" si="13">B41</f>
        <v>宗地形状</v>
      </c>
      <c r="R41" s="465" t="s">
        <v>1037</v>
      </c>
      <c r="S41" s="466">
        <f t="shared" si="9"/>
        <v>100</v>
      </c>
      <c r="T41" s="465" t="s">
        <v>1037</v>
      </c>
      <c r="U41" s="466">
        <f t="shared" si="10"/>
        <v>100</v>
      </c>
      <c r="V41" s="465" t="s">
        <v>1037</v>
      </c>
      <c r="W41" s="466">
        <f t="shared" si="11"/>
        <v>100</v>
      </c>
      <c r="X41" s="460"/>
      <c r="Y41" s="3858"/>
      <c r="Z41" s="459" t="str">
        <f t="shared" si="12"/>
        <v>宗地形状</v>
      </c>
      <c r="AA41" s="471">
        <f t="shared" si="3"/>
        <v>1</v>
      </c>
      <c r="AB41" s="471">
        <f t="shared" si="4"/>
        <v>1</v>
      </c>
      <c r="AC41" s="471">
        <f t="shared" si="5"/>
        <v>1</v>
      </c>
    </row>
    <row r="42" spans="1:29" ht="20.25">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8"/>
      <c r="Q42" s="395" t="str">
        <f t="shared" si="13"/>
        <v>临街宽度及深度</v>
      </c>
      <c r="R42" s="465" t="s">
        <v>1037</v>
      </c>
      <c r="S42" s="466">
        <f t="shared" si="9"/>
        <v>100</v>
      </c>
      <c r="T42" s="465" t="s">
        <v>1037</v>
      </c>
      <c r="U42" s="466">
        <f t="shared" si="10"/>
        <v>100</v>
      </c>
      <c r="V42" s="465" t="s">
        <v>1037</v>
      </c>
      <c r="W42" s="466">
        <f t="shared" si="11"/>
        <v>100</v>
      </c>
      <c r="X42" s="460"/>
      <c r="Y42" s="3858"/>
      <c r="Z42" s="459" t="str">
        <f t="shared" si="12"/>
        <v>临街宽度及深度</v>
      </c>
      <c r="AA42" s="471">
        <f t="shared" si="3"/>
        <v>1</v>
      </c>
      <c r="AB42" s="471">
        <f t="shared" si="4"/>
        <v>1</v>
      </c>
      <c r="AC42" s="471">
        <f t="shared" si="5"/>
        <v>1</v>
      </c>
    </row>
    <row r="43" spans="1:29" s="199" customFormat="1" ht="20.25">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58"/>
      <c r="Q43" s="395" t="str">
        <f t="shared" si="13"/>
        <v>宗地开发程度</v>
      </c>
      <c r="R43" s="461" t="s">
        <v>1037</v>
      </c>
      <c r="S43" s="462">
        <f t="shared" si="9"/>
        <v>100</v>
      </c>
      <c r="T43" s="461" t="s">
        <v>1037</v>
      </c>
      <c r="U43" s="462">
        <f t="shared" si="10"/>
        <v>100</v>
      </c>
      <c r="V43" s="461" t="s">
        <v>1037</v>
      </c>
      <c r="W43" s="462">
        <f t="shared" si="11"/>
        <v>100</v>
      </c>
      <c r="X43" s="463"/>
      <c r="Y43" s="3858"/>
      <c r="Z43" s="481" t="str">
        <f t="shared" si="12"/>
        <v>宗地开发程度</v>
      </c>
      <c r="AA43" s="480">
        <f t="shared" si="3"/>
        <v>1</v>
      </c>
      <c r="AB43" s="480">
        <f t="shared" si="4"/>
        <v>1</v>
      </c>
      <c r="AC43" s="480">
        <f t="shared" si="5"/>
        <v>1</v>
      </c>
    </row>
    <row r="44" spans="1:29" ht="20.25">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58" t="s">
        <v>1053</v>
      </c>
      <c r="Q44" s="395" t="str">
        <f t="shared" si="13"/>
        <v>工程地质条件</v>
      </c>
      <c r="R44" s="465" t="s">
        <v>1037</v>
      </c>
      <c r="S44" s="466">
        <f t="shared" si="9"/>
        <v>100</v>
      </c>
      <c r="T44" s="465" t="s">
        <v>1037</v>
      </c>
      <c r="U44" s="466">
        <f t="shared" si="10"/>
        <v>100</v>
      </c>
      <c r="V44" s="465" t="s">
        <v>1037</v>
      </c>
      <c r="W44" s="466">
        <f t="shared" si="11"/>
        <v>100</v>
      </c>
      <c r="X44" s="460"/>
      <c r="Y44" s="3858" t="s">
        <v>1053</v>
      </c>
      <c r="Z44" s="459" t="str">
        <f t="shared" si="12"/>
        <v>工程地质条件</v>
      </c>
      <c r="AA44" s="471">
        <f t="shared" si="3"/>
        <v>1</v>
      </c>
      <c r="AB44" s="471">
        <f t="shared" si="4"/>
        <v>1</v>
      </c>
      <c r="AC44" s="471">
        <f t="shared" si="5"/>
        <v>1</v>
      </c>
    </row>
    <row r="45" spans="1:29" ht="20.25">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58"/>
      <c r="Q45" s="395">
        <f t="shared" si="13"/>
        <v>111</v>
      </c>
      <c r="R45" s="465" t="s">
        <v>1037</v>
      </c>
      <c r="S45" s="466">
        <f t="shared" si="9"/>
        <v>100</v>
      </c>
      <c r="T45" s="465" t="s">
        <v>1037</v>
      </c>
      <c r="U45" s="466">
        <f t="shared" si="10"/>
        <v>100</v>
      </c>
      <c r="V45" s="465" t="s">
        <v>1037</v>
      </c>
      <c r="W45" s="466">
        <f t="shared" si="11"/>
        <v>100</v>
      </c>
      <c r="X45" s="460"/>
      <c r="Y45" s="3858"/>
      <c r="Z45" s="459">
        <f t="shared" si="12"/>
        <v>111</v>
      </c>
      <c r="AA45" s="471">
        <f t="shared" si="3"/>
        <v>1</v>
      </c>
      <c r="AB45" s="471">
        <f t="shared" si="4"/>
        <v>1</v>
      </c>
      <c r="AC45" s="471">
        <f t="shared" si="5"/>
        <v>1</v>
      </c>
    </row>
    <row r="46" spans="1:29" ht="20.25">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58"/>
      <c r="Q46" s="395">
        <f t="shared" si="13"/>
        <v>111</v>
      </c>
      <c r="R46" s="465" t="s">
        <v>1037</v>
      </c>
      <c r="S46" s="466">
        <f t="shared" si="9"/>
        <v>100</v>
      </c>
      <c r="T46" s="465" t="s">
        <v>1037</v>
      </c>
      <c r="U46" s="466">
        <f t="shared" si="10"/>
        <v>100</v>
      </c>
      <c r="V46" s="465" t="s">
        <v>1037</v>
      </c>
      <c r="W46" s="466">
        <f t="shared" si="11"/>
        <v>100</v>
      </c>
      <c r="X46" s="460"/>
      <c r="Y46" s="3858"/>
      <c r="Z46" s="459">
        <f t="shared" si="12"/>
        <v>111</v>
      </c>
      <c r="AA46" s="471">
        <f t="shared" si="3"/>
        <v>1</v>
      </c>
      <c r="AB46" s="471">
        <f t="shared" si="4"/>
        <v>1</v>
      </c>
      <c r="AC46" s="471">
        <f t="shared" si="5"/>
        <v>1</v>
      </c>
    </row>
    <row r="47" spans="1:29" s="201" customFormat="1" ht="20.25">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58"/>
      <c r="Q47" s="395">
        <f t="shared" si="13"/>
        <v>111</v>
      </c>
      <c r="R47" s="468" t="s">
        <v>1037</v>
      </c>
      <c r="S47" s="469">
        <f t="shared" si="9"/>
        <v>100</v>
      </c>
      <c r="T47" s="468" t="s">
        <v>1037</v>
      </c>
      <c r="U47" s="469">
        <f t="shared" si="10"/>
        <v>100</v>
      </c>
      <c r="V47" s="468" t="s">
        <v>1037</v>
      </c>
      <c r="W47" s="469">
        <f t="shared" si="11"/>
        <v>100</v>
      </c>
      <c r="X47" s="470"/>
      <c r="Y47" s="3858"/>
      <c r="Z47" s="482">
        <f t="shared" si="12"/>
        <v>111</v>
      </c>
      <c r="AA47" s="471">
        <f t="shared" si="3"/>
        <v>1</v>
      </c>
      <c r="AB47" s="471">
        <f t="shared" si="4"/>
        <v>1</v>
      </c>
      <c r="AC47" s="471">
        <f t="shared" si="5"/>
        <v>1</v>
      </c>
    </row>
    <row r="48" spans="1:29" ht="20.25">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48" t="str">
        <f>A48</f>
        <v>成交单价</v>
      </c>
      <c r="Q48" s="3848"/>
      <c r="R48" s="3847">
        <f>E48</f>
        <v>14619</v>
      </c>
      <c r="S48" s="3847"/>
      <c r="T48" s="3847">
        <f>G48</f>
        <v>14300</v>
      </c>
      <c r="U48" s="3847"/>
      <c r="V48" s="3847">
        <f>I48</f>
        <v>14000</v>
      </c>
      <c r="W48" s="3847"/>
      <c r="X48" s="342"/>
      <c r="Y48" s="483"/>
      <c r="Z48" s="342"/>
      <c r="AA48" s="342"/>
      <c r="AB48" s="342"/>
      <c r="AC48" s="342"/>
    </row>
    <row r="49" spans="1:29" ht="20.25">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48" t="str">
        <f>A49</f>
        <v>比较价格（元/平方米）</v>
      </c>
      <c r="Q49" s="3848"/>
      <c r="R49" s="3849">
        <f>ROUND(PRODUCT(R48,AA9:AA47),0)</f>
        <v>14193</v>
      </c>
      <c r="S49" s="3849"/>
      <c r="T49" s="3849">
        <f>ROUND(PRODUCT(T48,AB9:AB47),0)</f>
        <v>14742</v>
      </c>
      <c r="U49" s="3849"/>
      <c r="V49" s="3849">
        <f>ROUND(PRODUCT(V48,AC9:AC47),0)</f>
        <v>14290</v>
      </c>
      <c r="W49" s="3849"/>
      <c r="X49" s="342"/>
      <c r="Y49" s="342"/>
      <c r="Z49" s="342"/>
      <c r="AA49" s="342"/>
      <c r="AB49" s="342"/>
      <c r="AC49" s="342"/>
    </row>
    <row r="50" spans="1:29" ht="20.25">
      <c r="A50" s="326" t="s">
        <v>1064</v>
      </c>
      <c r="B50" s="327"/>
      <c r="C50" s="2117">
        <f>R50</f>
        <v>14408</v>
      </c>
      <c r="D50" s="2117"/>
      <c r="E50" s="2117"/>
      <c r="F50" s="2117"/>
      <c r="G50" s="2117"/>
      <c r="H50" s="2117"/>
      <c r="I50" s="2117"/>
      <c r="J50" s="2117"/>
      <c r="K50" s="2159"/>
      <c r="L50" s="410"/>
      <c r="M50" s="385"/>
      <c r="N50" s="385"/>
      <c r="O50" s="340"/>
      <c r="P50" s="3850" t="str">
        <f>A50</f>
        <v>估价对象XX用房的比较价格（楼面单价，元/平方米）</v>
      </c>
      <c r="Q50" s="3851"/>
      <c r="R50" s="3852">
        <f>ROUND(IF(D49="简单平均",AVERAGE(R49:W49),R49*F49+T49*H49+V49*J49),0)</f>
        <v>14408</v>
      </c>
      <c r="S50" s="3852"/>
      <c r="T50" s="3852"/>
      <c r="U50" s="3852"/>
      <c r="V50" s="3852"/>
      <c r="W50" s="3852"/>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31" t="s">
        <v>1074</v>
      </c>
      <c r="H57" s="3832"/>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1076</v>
      </c>
      <c r="B58" s="2126">
        <f>C50</f>
        <v>14408</v>
      </c>
      <c r="C58" s="2127">
        <v>1</v>
      </c>
      <c r="D58" s="2128">
        <v>1</v>
      </c>
      <c r="E58" s="2127">
        <f>'数据-汇总表'!E8+'数据-汇总表'!E9</f>
        <v>129900</v>
      </c>
      <c r="F58" s="2208">
        <f t="shared" ref="F58:F66" si="14">ROUND(B58*E58/10000,0)</f>
        <v>187160</v>
      </c>
      <c r="G58" s="3833"/>
      <c r="H58" s="383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5">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4" customWidth="1"/>
    <col min="2" max="2" width="10.75" style="3594" customWidth="1"/>
    <col min="3" max="4" width="11.625" style="3594" customWidth="1"/>
    <col min="5" max="5" width="6.625" style="3594" customWidth="1"/>
    <col min="6" max="16384" width="9" style="3594"/>
  </cols>
  <sheetData>
    <row r="36" spans="1:9">
      <c r="A36" s="3593" t="s">
        <v>75</v>
      </c>
      <c r="B36" s="3593" t="s">
        <v>76</v>
      </c>
    </row>
    <row r="37" spans="1:9" ht="28.5" customHeight="1">
      <c r="A37" s="3593"/>
      <c r="B37" s="3653" t="str">
        <f>项目基本情况!B1</f>
        <v>北京市出让国有建设用地使用权抵押价格预评估</v>
      </c>
      <c r="C37" s="3653"/>
      <c r="D37" s="3653"/>
      <c r="E37" s="3653"/>
      <c r="F37" s="3653"/>
      <c r="G37" s="3653"/>
      <c r="H37" s="3653"/>
      <c r="I37" s="3653"/>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ht="12.75">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I27" sqref="I27"/>
    </sheetView>
  </sheetViews>
  <sheetFormatPr defaultColWidth="31.25" defaultRowHeight="14.25"/>
  <cols>
    <col min="1" max="1" width="31.25" style="3627"/>
    <col min="2" max="2" width="6.625" style="3627" customWidth="1"/>
    <col min="3" max="3" width="22.875" style="3627" customWidth="1"/>
    <col min="4" max="4" width="14.375" style="3627" customWidth="1"/>
    <col min="5" max="5" width="13.25" style="3627" customWidth="1"/>
    <col min="6" max="6" width="13.75" style="3627" customWidth="1"/>
    <col min="7" max="7" width="15.25" style="3627" customWidth="1"/>
    <col min="8" max="8" width="7.75" style="3627" customWidth="1"/>
    <col min="9" max="9" width="26.125" style="3627" customWidth="1"/>
    <col min="10" max="10" width="12.75" style="3627" customWidth="1"/>
    <col min="11" max="11" width="10.5" style="3627" customWidth="1"/>
    <col min="12" max="12" width="9.75" style="3627" customWidth="1"/>
    <col min="13" max="13" width="7.75" style="3627" customWidth="1"/>
    <col min="14" max="14" width="15.25" style="3627" customWidth="1"/>
    <col min="15" max="15" width="8.25" style="3627" customWidth="1"/>
    <col min="16" max="16" width="6.125" style="3627" customWidth="1"/>
    <col min="17" max="17" width="9.5" style="3627" customWidth="1"/>
    <col min="18" max="18" width="9.75" style="3627" customWidth="1"/>
    <col min="19" max="19" width="8.375" style="3627" customWidth="1"/>
    <col min="20" max="20" width="7.625" style="3627" customWidth="1"/>
    <col min="21" max="21" width="8.5" style="3627" customWidth="1"/>
    <col min="22" max="22" width="20.875" style="3627" customWidth="1"/>
    <col min="23" max="23" width="7.625" style="3627" customWidth="1"/>
    <col min="24" max="24" width="9.625" style="3627" customWidth="1"/>
    <col min="25" max="25" width="13.875" style="3627" customWidth="1"/>
    <col min="26" max="26" width="10.25" style="3627" customWidth="1"/>
    <col min="27" max="27" width="9.75" style="3627" customWidth="1"/>
    <col min="28" max="28" width="9" style="3627" customWidth="1"/>
    <col min="29" max="29" width="8.75" style="3627" customWidth="1"/>
    <col min="30" max="30" width="8.875" style="3627" customWidth="1"/>
    <col min="31" max="31" width="7.875" style="3627" customWidth="1"/>
    <col min="32" max="32" width="8.75" style="3627" customWidth="1"/>
    <col min="33" max="33" width="8.5" style="3627" customWidth="1"/>
    <col min="34" max="34" width="8.25" style="3627" customWidth="1"/>
    <col min="35" max="35" width="7.375" style="3627" customWidth="1"/>
    <col min="36" max="36" width="8.25" style="3627" customWidth="1"/>
    <col min="37" max="16384" width="31.2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1" sqref="E11"/>
    </sheetView>
  </sheetViews>
  <sheetFormatPr defaultColWidth="6.625" defaultRowHeight="12.75"/>
  <cols>
    <col min="1" max="1" width="9.75" style="2240" customWidth="1"/>
    <col min="2" max="2" width="25.75" style="2241" customWidth="1"/>
    <col min="3" max="3" width="10.375" style="2242" customWidth="1"/>
    <col min="4" max="4" width="12" style="2241" customWidth="1"/>
    <col min="5" max="5" width="9.5" style="2240" customWidth="1"/>
    <col min="6" max="6" width="10.125" style="2241" customWidth="1"/>
    <col min="7" max="7" width="11.62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31" s="161" customFormat="1" ht="20.25">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191931</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10104</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34747</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2316</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407209</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5">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9382</v>
      </c>
      <c r="E8" s="2354">
        <f>'不动产比较法-车位'!B3</f>
        <v>5362</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10039</v>
      </c>
      <c r="E10" s="2357">
        <f>'不动产比较法-车位'!B2</f>
        <v>20473</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93329</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2800</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0</v>
      </c>
      <c r="D15" s="2367"/>
      <c r="E15" s="2368"/>
      <c r="F15" s="2370">
        <f>'数据-取费表'!B34</f>
        <v>0</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1400</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101328</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2849</v>
      </c>
      <c r="D19" s="2382">
        <f ca="1">D16</f>
        <v>189958</v>
      </c>
      <c r="E19" s="2363">
        <f>'数据-取费表'!B32</f>
        <v>150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2145</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8144</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7393</v>
      </c>
      <c r="D26" s="2391">
        <f ca="1">C27</f>
        <v>0.13350000000000001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0.13350000000000001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7393</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21330</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146279</v>
      </c>
      <c r="D30" s="2405">
        <f ca="1">C32</f>
        <v>0.16250000000000001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146279</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0.16250000000000001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14107</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14107</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191931</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0" customWidth="1"/>
    <col min="2" max="2" width="25.75" style="2241" customWidth="1"/>
    <col min="3" max="3" width="11.5" style="2242" customWidth="1"/>
    <col min="4" max="4" width="12" style="2241" customWidth="1"/>
    <col min="5" max="5" width="9.5" style="2240" customWidth="1"/>
    <col min="6" max="6" width="10.125" style="2241" customWidth="1"/>
    <col min="7" max="7" width="9.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41" s="161" customFormat="1" ht="20.25">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5">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93329</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2800</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0</v>
      </c>
      <c r="D15" s="2271"/>
      <c r="E15" s="84"/>
      <c r="F15" s="2273">
        <f>'数据-取费表'!B34</f>
        <v>0</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1400</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101328</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2027</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6500</v>
      </c>
      <c r="D20" s="2282">
        <f ca="1">ROUND(((1+F20)^'数据-取费表'!B20)-1,4)</f>
        <v>0.12970000000000001</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12403</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8" t="s">
        <v>1013</v>
      </c>
      <c r="B24" s="3869"/>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8" t="s">
        <v>1014</v>
      </c>
      <c r="B25" s="3869"/>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8" t="s">
        <v>1015</v>
      </c>
      <c r="B26" s="3869"/>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70" t="s">
        <v>1016</v>
      </c>
      <c r="B27" s="3871"/>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3" t="s">
        <v>1022</v>
      </c>
      <c r="B6" s="224"/>
      <c r="C6" s="3864" t="s">
        <v>1023</v>
      </c>
      <c r="D6" s="3865"/>
      <c r="E6" s="3880" t="s">
        <v>1024</v>
      </c>
      <c r="F6" s="3881"/>
      <c r="G6" s="3864" t="s">
        <v>1025</v>
      </c>
      <c r="H6" s="3865"/>
      <c r="I6" s="3864" t="s">
        <v>1026</v>
      </c>
      <c r="J6" s="3865"/>
      <c r="K6" s="388" t="s">
        <v>1027</v>
      </c>
      <c r="L6" s="389"/>
      <c r="M6" s="390"/>
      <c r="N6" s="390"/>
      <c r="O6" s="390"/>
      <c r="P6" s="3835" t="s">
        <v>1028</v>
      </c>
      <c r="Q6" s="3836"/>
      <c r="R6" s="3841" t="s">
        <v>1024</v>
      </c>
      <c r="S6" s="3842"/>
      <c r="T6" s="3841" t="s">
        <v>1025</v>
      </c>
      <c r="U6" s="3842"/>
      <c r="V6" s="3847" t="s">
        <v>1026</v>
      </c>
      <c r="W6" s="3847"/>
      <c r="X6" s="460"/>
      <c r="Y6" s="3841" t="s">
        <v>1028</v>
      </c>
      <c r="Z6" s="3842"/>
      <c r="AA6" s="3828" t="s">
        <v>1024</v>
      </c>
      <c r="AB6" s="3829" t="s">
        <v>1025</v>
      </c>
      <c r="AC6" s="3828" t="s">
        <v>1026</v>
      </c>
    </row>
    <row r="7" spans="1:29" ht="15">
      <c r="A7" s="225"/>
      <c r="B7" s="226"/>
      <c r="C7" s="3866" t="s">
        <v>1029</v>
      </c>
      <c r="D7" s="3867"/>
      <c r="E7" s="3882" t="s">
        <v>1030</v>
      </c>
      <c r="F7" s="3883"/>
      <c r="G7" s="3866" t="s">
        <v>1031</v>
      </c>
      <c r="H7" s="3867"/>
      <c r="I7" s="3866" t="s">
        <v>1032</v>
      </c>
      <c r="J7" s="3867"/>
      <c r="K7" s="388"/>
      <c r="L7" s="389"/>
      <c r="M7" s="390"/>
      <c r="N7" s="390"/>
      <c r="O7" s="390"/>
      <c r="P7" s="3837"/>
      <c r="Q7" s="3838"/>
      <c r="R7" s="3843"/>
      <c r="S7" s="3844"/>
      <c r="T7" s="3843"/>
      <c r="U7" s="3844"/>
      <c r="V7" s="3847"/>
      <c r="W7" s="3847"/>
      <c r="X7" s="460"/>
      <c r="Y7" s="3843"/>
      <c r="Z7" s="3844"/>
      <c r="AA7" s="3829"/>
      <c r="AB7" s="3829"/>
      <c r="AC7" s="3829"/>
    </row>
    <row r="8" spans="1:29" ht="15">
      <c r="A8" s="227"/>
      <c r="B8" s="228"/>
      <c r="C8" s="3877" t="s">
        <v>1033</v>
      </c>
      <c r="D8" s="3862"/>
      <c r="E8" s="3878" t="s">
        <v>1033</v>
      </c>
      <c r="F8" s="3879"/>
      <c r="G8" s="3877" t="s">
        <v>1033</v>
      </c>
      <c r="H8" s="3862"/>
      <c r="I8" s="3877" t="s">
        <v>1033</v>
      </c>
      <c r="J8" s="3862"/>
      <c r="K8" s="388" t="s">
        <v>1034</v>
      </c>
      <c r="L8" s="389"/>
      <c r="M8" s="390"/>
      <c r="N8" s="390"/>
      <c r="O8" s="390"/>
      <c r="P8" s="3839"/>
      <c r="Q8" s="3840"/>
      <c r="R8" s="3843"/>
      <c r="S8" s="3844"/>
      <c r="T8" s="3845"/>
      <c r="U8" s="3846"/>
      <c r="V8" s="3847"/>
      <c r="W8" s="3847"/>
      <c r="X8" s="460"/>
      <c r="Y8" s="3845"/>
      <c r="Z8" s="3846"/>
      <c r="AA8" s="3830"/>
      <c r="AB8" s="3830"/>
      <c r="AC8" s="3830"/>
    </row>
    <row r="9" spans="1:29" s="199" customFormat="1" ht="15">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53" t="s">
        <v>1036</v>
      </c>
      <c r="Q9" s="3863"/>
      <c r="R9" s="461" t="s">
        <v>1037</v>
      </c>
      <c r="S9" s="462">
        <f t="shared" ref="S9:S17" si="0">F9</f>
        <v>0</v>
      </c>
      <c r="T9" s="461" t="s">
        <v>1037</v>
      </c>
      <c r="U9" s="462">
        <f t="shared" ref="U9:U17" si="1">H9</f>
        <v>0</v>
      </c>
      <c r="V9" s="461" t="s">
        <v>1037</v>
      </c>
      <c r="W9" s="462">
        <f t="shared" ref="W9:W17" si="2">J9</f>
        <v>0</v>
      </c>
      <c r="X9" s="463"/>
      <c r="Y9" s="3853" t="s">
        <v>1036</v>
      </c>
      <c r="Z9" s="3854"/>
      <c r="AA9" s="480" t="e">
        <f>D9/F9</f>
        <v>#DIV/0!</v>
      </c>
      <c r="AB9" s="480" t="e">
        <f>D9/H9</f>
        <v>#DIV/0!</v>
      </c>
      <c r="AC9" s="480" t="e">
        <f>D9/J9</f>
        <v>#DIV/0!</v>
      </c>
    </row>
    <row r="10" spans="1:29" s="199" customFormat="1" ht="15">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53" t="s">
        <v>1041</v>
      </c>
      <c r="Q10" s="3854"/>
      <c r="R10" s="461" t="s">
        <v>1037</v>
      </c>
      <c r="S10" s="462">
        <f t="shared" si="0"/>
        <v>0</v>
      </c>
      <c r="T10" s="461" t="s">
        <v>1037</v>
      </c>
      <c r="U10" s="462">
        <f t="shared" si="1"/>
        <v>0</v>
      </c>
      <c r="V10" s="461" t="s">
        <v>1037</v>
      </c>
      <c r="W10" s="462">
        <f t="shared" si="2"/>
        <v>0</v>
      </c>
      <c r="X10" s="463"/>
      <c r="Y10" s="3853" t="s">
        <v>1041</v>
      </c>
      <c r="Z10" s="3854"/>
      <c r="AA10" s="480" t="e">
        <f t="shared" ref="AA10:AA42" si="3">D10/F10</f>
        <v>#DIV/0!</v>
      </c>
      <c r="AB10" s="480" t="e">
        <f t="shared" ref="AB10:AB42" si="4">D10/H10</f>
        <v>#DIV/0!</v>
      </c>
      <c r="AC10" s="480" t="e">
        <f t="shared" ref="AC10:AC42" si="5">D10/J10</f>
        <v>#DIV/0!</v>
      </c>
    </row>
    <row r="11" spans="1:29" s="199" customFormat="1" ht="15">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48" t="s">
        <v>1043</v>
      </c>
      <c r="Q11" s="464" t="str">
        <f t="shared" ref="Q11:Q17" si="6">B11</f>
        <v>用途</v>
      </c>
      <c r="R11" s="461" t="s">
        <v>1037</v>
      </c>
      <c r="S11" s="462">
        <f t="shared" si="0"/>
        <v>100</v>
      </c>
      <c r="T11" s="461" t="s">
        <v>1037</v>
      </c>
      <c r="U11" s="462">
        <f t="shared" si="1"/>
        <v>100</v>
      </c>
      <c r="V11" s="461" t="s">
        <v>1037</v>
      </c>
      <c r="W11" s="462">
        <f t="shared" si="2"/>
        <v>100</v>
      </c>
      <c r="X11" s="463"/>
      <c r="Y11" s="3814" t="s">
        <v>1044</v>
      </c>
      <c r="Z11" s="481" t="str">
        <f t="shared" ref="Z11:Z17" si="7">Q11</f>
        <v>用途</v>
      </c>
      <c r="AA11" s="480">
        <f t="shared" si="3"/>
        <v>1</v>
      </c>
      <c r="AB11" s="480">
        <f t="shared" si="4"/>
        <v>1</v>
      </c>
      <c r="AC11" s="480">
        <f t="shared" si="5"/>
        <v>1</v>
      </c>
    </row>
    <row r="12" spans="1:29" s="200" customFormat="1" ht="27">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48"/>
      <c r="Q12" s="464" t="str">
        <f t="shared" si="6"/>
        <v>土地使用年限（年）</v>
      </c>
      <c r="R12" s="461" t="s">
        <v>1037</v>
      </c>
      <c r="S12" s="462">
        <f t="shared" si="0"/>
        <v>100</v>
      </c>
      <c r="T12" s="461" t="s">
        <v>1037</v>
      </c>
      <c r="U12" s="462">
        <f t="shared" si="1"/>
        <v>100</v>
      </c>
      <c r="V12" s="461" t="s">
        <v>1037</v>
      </c>
      <c r="W12" s="462">
        <f t="shared" si="2"/>
        <v>100</v>
      </c>
      <c r="X12" s="463"/>
      <c r="Y12" s="3814"/>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48"/>
      <c r="Q13" s="464" t="str">
        <f t="shared" si="6"/>
        <v>容积率</v>
      </c>
      <c r="R13" s="461" t="s">
        <v>1037</v>
      </c>
      <c r="S13" s="462" t="e">
        <f t="shared" si="0"/>
        <v>#N/A</v>
      </c>
      <c r="T13" s="461" t="s">
        <v>1037</v>
      </c>
      <c r="U13" s="462" t="e">
        <f t="shared" si="1"/>
        <v>#N/A</v>
      </c>
      <c r="V13" s="461" t="s">
        <v>1037</v>
      </c>
      <c r="W13" s="462" t="e">
        <f t="shared" si="2"/>
        <v>#N/A</v>
      </c>
      <c r="X13" s="463"/>
      <c r="Y13" s="3814"/>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48"/>
      <c r="Q15" s="464">
        <f t="shared" si="6"/>
        <v>111</v>
      </c>
      <c r="R15" s="461" t="s">
        <v>1037</v>
      </c>
      <c r="S15" s="462">
        <f t="shared" si="0"/>
        <v>100</v>
      </c>
      <c r="T15" s="461" t="s">
        <v>1037</v>
      </c>
      <c r="U15" s="462">
        <f t="shared" si="1"/>
        <v>100</v>
      </c>
      <c r="V15" s="461" t="s">
        <v>1037</v>
      </c>
      <c r="W15" s="462">
        <f t="shared" si="2"/>
        <v>100</v>
      </c>
      <c r="X15" s="463"/>
      <c r="Y15" s="381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48"/>
      <c r="Q16" s="464">
        <f t="shared" si="6"/>
        <v>111</v>
      </c>
      <c r="R16" s="461" t="s">
        <v>1037</v>
      </c>
      <c r="S16" s="462">
        <f t="shared" si="0"/>
        <v>100</v>
      </c>
      <c r="T16" s="461" t="s">
        <v>1037</v>
      </c>
      <c r="U16" s="462">
        <f t="shared" si="1"/>
        <v>100</v>
      </c>
      <c r="V16" s="461" t="s">
        <v>1037</v>
      </c>
      <c r="W16" s="462">
        <f t="shared" si="2"/>
        <v>100</v>
      </c>
      <c r="X16" s="463"/>
      <c r="Y16" s="3814"/>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55" t="s">
        <v>1049</v>
      </c>
      <c r="Q17" s="395" t="str">
        <f t="shared" si="6"/>
        <v>产业集聚程度</v>
      </c>
      <c r="R17" s="465" t="s">
        <v>1037</v>
      </c>
      <c r="S17" s="466">
        <f t="shared" si="0"/>
        <v>100</v>
      </c>
      <c r="T17" s="465" t="s">
        <v>1037</v>
      </c>
      <c r="U17" s="466">
        <f t="shared" si="1"/>
        <v>100</v>
      </c>
      <c r="V17" s="465" t="s">
        <v>1037</v>
      </c>
      <c r="W17" s="466">
        <f t="shared" si="2"/>
        <v>100</v>
      </c>
      <c r="X17" s="460"/>
      <c r="Y17" s="3855"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56"/>
      <c r="Q18" s="395"/>
      <c r="R18" s="465"/>
      <c r="S18" s="466"/>
      <c r="T18" s="465"/>
      <c r="U18" s="466"/>
      <c r="V18" s="465"/>
      <c r="W18" s="466"/>
      <c r="X18" s="460"/>
      <c r="Y18" s="3856"/>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56"/>
      <c r="Q19" s="395" t="str">
        <f>B19</f>
        <v>交通便捷度</v>
      </c>
      <c r="R19" s="465" t="s">
        <v>1037</v>
      </c>
      <c r="S19" s="466">
        <f>F19</f>
        <v>100</v>
      </c>
      <c r="T19" s="465" t="s">
        <v>1037</v>
      </c>
      <c r="U19" s="466">
        <f>H19</f>
        <v>100</v>
      </c>
      <c r="V19" s="465" t="s">
        <v>1037</v>
      </c>
      <c r="W19" s="466">
        <f>J19</f>
        <v>100</v>
      </c>
      <c r="X19" s="460"/>
      <c r="Y19" s="3856"/>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56"/>
      <c r="Q20" s="395"/>
      <c r="R20" s="465"/>
      <c r="S20" s="466"/>
      <c r="T20" s="465"/>
      <c r="U20" s="466"/>
      <c r="V20" s="465"/>
      <c r="W20" s="466"/>
      <c r="X20" s="460"/>
      <c r="Y20" s="3856"/>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56"/>
      <c r="Q21" s="395" t="str">
        <f t="shared" ref="Q21:Q36" si="8">B21</f>
        <v>区域土地利用方向</v>
      </c>
      <c r="R21" s="465" t="s">
        <v>1037</v>
      </c>
      <c r="S21" s="466">
        <f>F21</f>
        <v>100</v>
      </c>
      <c r="T21" s="465" t="s">
        <v>1037</v>
      </c>
      <c r="U21" s="466">
        <f>H21</f>
        <v>100</v>
      </c>
      <c r="V21" s="465" t="s">
        <v>1037</v>
      </c>
      <c r="W21" s="466">
        <f>J21</f>
        <v>100</v>
      </c>
      <c r="X21" s="460"/>
      <c r="Y21" s="3856"/>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56"/>
      <c r="Q22" s="395"/>
      <c r="R22" s="465"/>
      <c r="S22" s="466"/>
      <c r="T22" s="465"/>
      <c r="U22" s="466"/>
      <c r="V22" s="465"/>
      <c r="W22" s="466"/>
      <c r="X22" s="460"/>
      <c r="Y22" s="3856"/>
      <c r="Z22" s="459"/>
      <c r="AA22" s="471"/>
      <c r="AB22" s="471"/>
      <c r="AC22" s="471"/>
    </row>
    <row r="23" spans="1:29" ht="71.25">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56"/>
      <c r="Q23" s="395" t="str">
        <f t="shared" si="8"/>
        <v>环境状况</v>
      </c>
      <c r="R23" s="465" t="s">
        <v>1037</v>
      </c>
      <c r="S23" s="466">
        <f>F23</f>
        <v>100</v>
      </c>
      <c r="T23" s="465" t="s">
        <v>1037</v>
      </c>
      <c r="U23" s="466">
        <f>H23</f>
        <v>100</v>
      </c>
      <c r="V23" s="465" t="s">
        <v>1037</v>
      </c>
      <c r="W23" s="466">
        <f>J23</f>
        <v>100</v>
      </c>
      <c r="X23" s="460"/>
      <c r="Y23" s="3856"/>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56"/>
      <c r="Q24" s="395"/>
      <c r="R24" s="465"/>
      <c r="S24" s="466"/>
      <c r="T24" s="465"/>
      <c r="U24" s="466"/>
      <c r="V24" s="465"/>
      <c r="W24" s="466"/>
      <c r="X24" s="460"/>
      <c r="Y24" s="3856"/>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56"/>
      <c r="Q25" s="464" t="str">
        <f t="shared" si="8"/>
        <v>公共配套设施</v>
      </c>
      <c r="R25" s="461" t="s">
        <v>1037</v>
      </c>
      <c r="S25" s="462">
        <f>F25</f>
        <v>100</v>
      </c>
      <c r="T25" s="461" t="s">
        <v>1037</v>
      </c>
      <c r="U25" s="462">
        <f>H25</f>
        <v>100</v>
      </c>
      <c r="V25" s="461" t="s">
        <v>1037</v>
      </c>
      <c r="W25" s="462">
        <f>J25</f>
        <v>100</v>
      </c>
      <c r="X25" s="463"/>
      <c r="Y25" s="3856"/>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56"/>
      <c r="Q26" s="464"/>
      <c r="R26" s="461"/>
      <c r="S26" s="462"/>
      <c r="T26" s="461"/>
      <c r="U26" s="462"/>
      <c r="V26" s="461"/>
      <c r="W26" s="462"/>
      <c r="X26" s="463"/>
      <c r="Y26" s="3856"/>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56"/>
      <c r="Q27" s="464" t="str">
        <f>B27</f>
        <v>基础设施水平</v>
      </c>
      <c r="R27" s="461" t="s">
        <v>1037</v>
      </c>
      <c r="S27" s="462">
        <f>F27</f>
        <v>100</v>
      </c>
      <c r="T27" s="461" t="s">
        <v>1037</v>
      </c>
      <c r="U27" s="462">
        <f>H27</f>
        <v>100</v>
      </c>
      <c r="V27" s="461" t="s">
        <v>1037</v>
      </c>
      <c r="W27" s="462">
        <f>J27</f>
        <v>100</v>
      </c>
      <c r="X27" s="463"/>
      <c r="Y27" s="3856"/>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56"/>
      <c r="Q28" s="464"/>
      <c r="R28" s="461"/>
      <c r="S28" s="462"/>
      <c r="T28" s="461"/>
      <c r="U28" s="462"/>
      <c r="V28" s="461"/>
      <c r="W28" s="462"/>
      <c r="X28" s="463"/>
      <c r="Y28" s="3856"/>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56"/>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56"/>
      <c r="Z29" s="459" t="str">
        <f t="shared" ref="Z29:Z42" si="12">Q29</f>
        <v>临街状况</v>
      </c>
      <c r="AA29" s="471">
        <f t="shared" si="3"/>
        <v>1</v>
      </c>
      <c r="AB29" s="471">
        <f t="shared" si="4"/>
        <v>1</v>
      </c>
      <c r="AC29" s="471">
        <f t="shared" si="5"/>
        <v>1</v>
      </c>
    </row>
    <row r="30" spans="1:29" ht="27">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56"/>
      <c r="Q30" s="395" t="str">
        <f t="shared" si="8"/>
        <v>毗邻道路的类型与等级</v>
      </c>
      <c r="R30" s="465" t="s">
        <v>1037</v>
      </c>
      <c r="S30" s="466">
        <f t="shared" si="9"/>
        <v>100</v>
      </c>
      <c r="T30" s="465" t="s">
        <v>1037</v>
      </c>
      <c r="U30" s="466">
        <f t="shared" si="10"/>
        <v>100</v>
      </c>
      <c r="V30" s="465" t="s">
        <v>1037</v>
      </c>
      <c r="W30" s="466">
        <f t="shared" si="11"/>
        <v>100</v>
      </c>
      <c r="X30" s="460"/>
      <c r="Y30" s="3856"/>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6"/>
      <c r="Q31" s="395"/>
      <c r="R31" s="465"/>
      <c r="S31" s="466"/>
      <c r="T31" s="465"/>
      <c r="U31" s="466"/>
      <c r="V31" s="465"/>
      <c r="W31" s="466"/>
      <c r="X31" s="460"/>
      <c r="Y31" s="3856"/>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56"/>
      <c r="Q32" s="395" t="str">
        <f t="shared" si="8"/>
        <v>土地级别</v>
      </c>
      <c r="R32" s="465" t="s">
        <v>1037</v>
      </c>
      <c r="S32" s="466">
        <f t="shared" si="9"/>
        <v>100</v>
      </c>
      <c r="T32" s="465" t="s">
        <v>1037</v>
      </c>
      <c r="U32" s="466">
        <f t="shared" si="10"/>
        <v>100</v>
      </c>
      <c r="V32" s="465" t="s">
        <v>1037</v>
      </c>
      <c r="W32" s="466">
        <f t="shared" si="11"/>
        <v>100</v>
      </c>
      <c r="X32" s="460"/>
      <c r="Y32" s="3856"/>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56"/>
      <c r="Q33" s="395">
        <f t="shared" si="8"/>
        <v>111</v>
      </c>
      <c r="R33" s="465" t="s">
        <v>1037</v>
      </c>
      <c r="S33" s="466">
        <f t="shared" si="9"/>
        <v>100</v>
      </c>
      <c r="T33" s="465" t="s">
        <v>1037</v>
      </c>
      <c r="U33" s="466">
        <f t="shared" si="10"/>
        <v>100</v>
      </c>
      <c r="V33" s="465" t="s">
        <v>1037</v>
      </c>
      <c r="W33" s="466">
        <f t="shared" si="11"/>
        <v>100</v>
      </c>
      <c r="X33" s="460"/>
      <c r="Y33" s="3856"/>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57" t="s">
        <v>1053</v>
      </c>
      <c r="Q34" s="395">
        <f t="shared" si="8"/>
        <v>111</v>
      </c>
      <c r="R34" s="465" t="s">
        <v>1037</v>
      </c>
      <c r="S34" s="466">
        <f t="shared" si="9"/>
        <v>100</v>
      </c>
      <c r="T34" s="465" t="s">
        <v>1037</v>
      </c>
      <c r="U34" s="466">
        <f t="shared" si="10"/>
        <v>100</v>
      </c>
      <c r="V34" s="465" t="s">
        <v>1037</v>
      </c>
      <c r="W34" s="466">
        <f t="shared" si="11"/>
        <v>100</v>
      </c>
      <c r="X34" s="460"/>
      <c r="Y34" s="3858"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58"/>
      <c r="Q35" s="395">
        <f t="shared" si="8"/>
        <v>111</v>
      </c>
      <c r="R35" s="468" t="s">
        <v>1037</v>
      </c>
      <c r="S35" s="469">
        <f t="shared" si="9"/>
        <v>100</v>
      </c>
      <c r="T35" s="468" t="s">
        <v>1037</v>
      </c>
      <c r="U35" s="469">
        <f t="shared" si="10"/>
        <v>100</v>
      </c>
      <c r="V35" s="468" t="s">
        <v>1037</v>
      </c>
      <c r="W35" s="469">
        <f t="shared" si="11"/>
        <v>100</v>
      </c>
      <c r="X35" s="470"/>
      <c r="Y35" s="3858"/>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58"/>
      <c r="Q36" s="395" t="str">
        <f t="shared" si="8"/>
        <v>宗地面积</v>
      </c>
      <c r="R36" s="465" t="s">
        <v>1037</v>
      </c>
      <c r="S36" s="466" t="e">
        <f t="shared" si="9"/>
        <v>#N/A</v>
      </c>
      <c r="T36" s="465" t="s">
        <v>1037</v>
      </c>
      <c r="U36" s="466" t="e">
        <f t="shared" si="10"/>
        <v>#N/A</v>
      </c>
      <c r="V36" s="465" t="s">
        <v>1037</v>
      </c>
      <c r="W36" s="466" t="e">
        <f t="shared" si="11"/>
        <v>#N/A</v>
      </c>
      <c r="X36" s="460"/>
      <c r="Y36" s="3858"/>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58"/>
      <c r="Q37" s="395" t="str">
        <f t="shared" ref="Q37:Q42" si="13">B37</f>
        <v>宗地形状</v>
      </c>
      <c r="R37" s="465" t="s">
        <v>1037</v>
      </c>
      <c r="S37" s="466">
        <f t="shared" si="9"/>
        <v>100</v>
      </c>
      <c r="T37" s="465" t="s">
        <v>1037</v>
      </c>
      <c r="U37" s="466">
        <f t="shared" si="10"/>
        <v>100</v>
      </c>
      <c r="V37" s="465" t="s">
        <v>1037</v>
      </c>
      <c r="W37" s="466">
        <f t="shared" si="11"/>
        <v>100</v>
      </c>
      <c r="X37" s="460"/>
      <c r="Y37" s="3858"/>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58"/>
      <c r="Q38" s="395" t="str">
        <f t="shared" si="13"/>
        <v>宗地开发程度</v>
      </c>
      <c r="R38" s="461" t="s">
        <v>1037</v>
      </c>
      <c r="S38" s="462">
        <f t="shared" si="9"/>
        <v>100</v>
      </c>
      <c r="T38" s="461" t="s">
        <v>1037</v>
      </c>
      <c r="U38" s="462">
        <f t="shared" si="10"/>
        <v>100</v>
      </c>
      <c r="V38" s="461" t="s">
        <v>1037</v>
      </c>
      <c r="W38" s="462">
        <f t="shared" si="11"/>
        <v>100</v>
      </c>
      <c r="X38" s="463"/>
      <c r="Y38" s="3858"/>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58" t="s">
        <v>1053</v>
      </c>
      <c r="Q39" s="395" t="str">
        <f t="shared" si="13"/>
        <v>工程地质条件</v>
      </c>
      <c r="R39" s="465" t="s">
        <v>1037</v>
      </c>
      <c r="S39" s="466">
        <f t="shared" si="9"/>
        <v>100</v>
      </c>
      <c r="T39" s="465" t="s">
        <v>1037</v>
      </c>
      <c r="U39" s="466">
        <f t="shared" si="10"/>
        <v>100</v>
      </c>
      <c r="V39" s="465" t="s">
        <v>1037</v>
      </c>
      <c r="W39" s="466">
        <f t="shared" si="11"/>
        <v>100</v>
      </c>
      <c r="X39" s="460"/>
      <c r="Y39" s="3858"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58"/>
      <c r="Q40" s="395">
        <f t="shared" si="13"/>
        <v>111</v>
      </c>
      <c r="R40" s="465" t="s">
        <v>1037</v>
      </c>
      <c r="S40" s="466">
        <f t="shared" si="9"/>
        <v>100</v>
      </c>
      <c r="T40" s="465" t="s">
        <v>1037</v>
      </c>
      <c r="U40" s="466">
        <f t="shared" si="10"/>
        <v>100</v>
      </c>
      <c r="V40" s="465" t="s">
        <v>1037</v>
      </c>
      <c r="W40" s="466">
        <f t="shared" si="11"/>
        <v>100</v>
      </c>
      <c r="X40" s="460"/>
      <c r="Y40" s="3858"/>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58"/>
      <c r="Q41" s="395">
        <f t="shared" si="13"/>
        <v>111</v>
      </c>
      <c r="R41" s="465" t="s">
        <v>1037</v>
      </c>
      <c r="S41" s="466">
        <f t="shared" si="9"/>
        <v>100</v>
      </c>
      <c r="T41" s="465" t="s">
        <v>1037</v>
      </c>
      <c r="U41" s="466">
        <f t="shared" si="10"/>
        <v>100</v>
      </c>
      <c r="V41" s="465" t="s">
        <v>1037</v>
      </c>
      <c r="W41" s="466">
        <f t="shared" si="11"/>
        <v>100</v>
      </c>
      <c r="X41" s="460"/>
      <c r="Y41" s="3858"/>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58"/>
      <c r="Q42" s="395">
        <f t="shared" si="13"/>
        <v>111</v>
      </c>
      <c r="R42" s="468" t="s">
        <v>1037</v>
      </c>
      <c r="S42" s="469">
        <f t="shared" si="9"/>
        <v>100</v>
      </c>
      <c r="T42" s="468" t="s">
        <v>1037</v>
      </c>
      <c r="U42" s="469">
        <f t="shared" si="10"/>
        <v>100</v>
      </c>
      <c r="V42" s="468" t="s">
        <v>1037</v>
      </c>
      <c r="W42" s="469">
        <f t="shared" si="11"/>
        <v>100</v>
      </c>
      <c r="X42" s="470"/>
      <c r="Y42" s="3858"/>
      <c r="Z42" s="482">
        <f t="shared" si="12"/>
        <v>111</v>
      </c>
      <c r="AA42" s="471">
        <f t="shared" si="3"/>
        <v>1</v>
      </c>
      <c r="AB42" s="471">
        <f t="shared" si="4"/>
        <v>1</v>
      </c>
      <c r="AC42" s="471">
        <f t="shared" si="5"/>
        <v>1</v>
      </c>
    </row>
    <row r="43" spans="1:29" ht="15">
      <c r="A43" s="312" t="s">
        <v>1060</v>
      </c>
      <c r="B43" s="2107" t="s">
        <v>1061</v>
      </c>
      <c r="C43" s="2108" t="s">
        <v>138</v>
      </c>
      <c r="D43" s="2109"/>
      <c r="E43" s="2110"/>
      <c r="F43" s="2111"/>
      <c r="G43" s="2112"/>
      <c r="H43" s="2113"/>
      <c r="I43" s="2110"/>
      <c r="J43" s="2113"/>
      <c r="K43" s="2157"/>
      <c r="L43" s="410"/>
      <c r="M43" s="390"/>
      <c r="N43" s="390"/>
      <c r="O43" s="340"/>
      <c r="P43" s="3848" t="str">
        <f>A43</f>
        <v>成交单价</v>
      </c>
      <c r="Q43" s="3848"/>
      <c r="R43" s="3847">
        <f>E43</f>
        <v>0</v>
      </c>
      <c r="S43" s="3847"/>
      <c r="T43" s="3847">
        <f>G43</f>
        <v>0</v>
      </c>
      <c r="U43" s="3847"/>
      <c r="V43" s="3847">
        <f>I43</f>
        <v>0</v>
      </c>
      <c r="W43" s="3847"/>
      <c r="X43" s="342"/>
      <c r="Y43" s="483"/>
      <c r="Z43" s="342"/>
      <c r="AA43" s="342"/>
      <c r="AB43" s="342"/>
      <c r="AC43" s="342"/>
    </row>
    <row r="44" spans="1:29" ht="15">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48" t="str">
        <f>A44</f>
        <v>比较价格（元/平方米）</v>
      </c>
      <c r="Q44" s="3848"/>
      <c r="R44" s="3849" t="e">
        <f>ROUND(PRODUCT(R43,AA9:AA42),0)</f>
        <v>#DIV/0!</v>
      </c>
      <c r="S44" s="3849"/>
      <c r="T44" s="3849" t="e">
        <f>ROUND(PRODUCT(T43,AB9:AB42),0)</f>
        <v>#DIV/0!</v>
      </c>
      <c r="U44" s="3849"/>
      <c r="V44" s="3849" t="e">
        <f>ROUND(PRODUCT(V43,AC9:AC42),0)</f>
        <v>#DIV/0!</v>
      </c>
      <c r="W44" s="3849"/>
      <c r="X44" s="342"/>
      <c r="Y44" s="342"/>
      <c r="Z44" s="342"/>
      <c r="AA44" s="342"/>
      <c r="AB44" s="342"/>
      <c r="AC44" s="342"/>
    </row>
    <row r="45" spans="1:29" ht="15">
      <c r="A45" s="326" t="s">
        <v>1064</v>
      </c>
      <c r="B45" s="327"/>
      <c r="C45" s="2117" t="e">
        <f>R45</f>
        <v>#DIV/0!</v>
      </c>
      <c r="D45" s="2117"/>
      <c r="E45" s="2117"/>
      <c r="F45" s="2117"/>
      <c r="G45" s="2117"/>
      <c r="H45" s="2117"/>
      <c r="I45" s="2117"/>
      <c r="J45" s="2117"/>
      <c r="K45" s="2159"/>
      <c r="L45" s="410"/>
      <c r="M45" s="390"/>
      <c r="N45" s="390"/>
      <c r="O45" s="340"/>
      <c r="P45" s="3850" t="str">
        <f>A45</f>
        <v>估价对象XX用房的比较价格（楼面单价，元/平方米）</v>
      </c>
      <c r="Q45" s="3851"/>
      <c r="R45" s="3876" t="e">
        <f>ROUND(IF(D44="简单平均",AVERAGE(R44:W44),R44*F44+T44*H44+V44*J44),0)</f>
        <v>#DIV/0!</v>
      </c>
      <c r="S45" s="3876"/>
      <c r="T45" s="3876"/>
      <c r="U45" s="3876"/>
      <c r="V45" s="3876"/>
      <c r="W45" s="387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1068</v>
      </c>
      <c r="B52" s="2120" t="s">
        <v>1069</v>
      </c>
      <c r="C52" s="2121" t="s">
        <v>1070</v>
      </c>
      <c r="D52" s="2122" t="s">
        <v>1071</v>
      </c>
      <c r="E52" s="2123" t="s">
        <v>1072</v>
      </c>
      <c r="F52" s="2124" t="s">
        <v>1073</v>
      </c>
      <c r="G52" s="3872" t="s">
        <v>1074</v>
      </c>
      <c r="H52" s="3873"/>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1076</v>
      </c>
      <c r="B53" s="2126" t="e">
        <f>C45</f>
        <v>#DIV/0!</v>
      </c>
      <c r="C53" s="2127">
        <v>1</v>
      </c>
      <c r="D53" s="2128">
        <v>1</v>
      </c>
      <c r="E53" s="2127">
        <f>'数据-汇总表'!E8+'数据-汇总表'!E9</f>
        <v>129900</v>
      </c>
      <c r="F53" s="2129" t="e">
        <f t="shared" ref="F53:F61" si="14">ROUND(B53*E53/10000,0)</f>
        <v>#DIV/0!</v>
      </c>
      <c r="G53" s="3874"/>
      <c r="H53" s="3875"/>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1086</v>
      </c>
      <c r="B62" s="2145" t="s">
        <v>1087</v>
      </c>
      <c r="C62" s="2145" t="s">
        <v>1087</v>
      </c>
      <c r="D62" s="2145" t="s">
        <v>1087</v>
      </c>
      <c r="E62" s="2145">
        <f>IF(B43="楼面地价",SUM(E53:E61),'数据-汇总表'!D3)</f>
        <v>55236.63</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5">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5">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75">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4" t="s">
        <v>1137</v>
      </c>
      <c r="X8" s="3885"/>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8"/>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8"/>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0" t="s">
        <v>934</v>
      </c>
      <c r="B20" s="1721" t="s">
        <v>1184</v>
      </c>
      <c r="C20" s="1768" t="e">
        <f>ROUND(IF(F21="与级别开发程度一致",0,(G21-E21)/C21),0)</f>
        <v>#DIV/0!</v>
      </c>
      <c r="D20" s="3886" t="s">
        <v>1185</v>
      </c>
      <c r="E20" s="3887"/>
      <c r="F20" s="3886" t="s">
        <v>1186</v>
      </c>
      <c r="G20" s="3887"/>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1"/>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25">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2"/>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2"/>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2.75">
      <c r="A38" s="3893"/>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3"/>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3"/>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3"/>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24">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8" t="s">
        <v>1273</v>
      </c>
      <c r="B104" s="3888"/>
      <c r="C104" s="3888"/>
      <c r="D104" s="3888"/>
      <c r="E104" s="3888"/>
      <c r="F104" s="3888"/>
      <c r="G104" s="3888"/>
      <c r="H104" s="3888"/>
      <c r="I104" s="3888"/>
      <c r="J104" s="3888"/>
      <c r="K104" s="1681"/>
      <c r="L104" s="1681"/>
      <c r="M104" s="1681"/>
      <c r="N104" s="1681"/>
    </row>
    <row r="105" spans="1:36">
      <c r="A105" s="3894" t="s">
        <v>352</v>
      </c>
      <c r="B105" s="3894" t="s">
        <v>1274</v>
      </c>
      <c r="C105" s="2050" t="s">
        <v>1109</v>
      </c>
      <c r="D105" s="2051"/>
      <c r="E105" s="2051"/>
      <c r="F105" s="2051"/>
      <c r="G105" s="2051"/>
      <c r="H105" s="2051"/>
      <c r="I105" s="2051"/>
      <c r="J105" s="2078"/>
      <c r="K105" s="1645"/>
      <c r="L105" s="1645"/>
      <c r="M105" s="1645"/>
      <c r="N105" s="1645"/>
    </row>
    <row r="106" spans="1:36">
      <c r="A106" s="3894"/>
      <c r="B106" s="3894"/>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95"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96"/>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96"/>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96"/>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96"/>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96"/>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7"/>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9" t="s">
        <v>1277</v>
      </c>
      <c r="B114" s="3889"/>
      <c r="C114" s="3889"/>
      <c r="D114" s="3889"/>
      <c r="E114" s="3889"/>
      <c r="F114" s="3889"/>
      <c r="G114" s="3889"/>
      <c r="H114" s="3889"/>
      <c r="I114" s="3889"/>
      <c r="J114" s="3889"/>
      <c r="K114" s="2056"/>
      <c r="L114" s="2056"/>
      <c r="M114" s="2056"/>
      <c r="N114" s="2056"/>
    </row>
    <row r="117" spans="1:14" ht="24.75">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903" t="s">
        <v>435</v>
      </c>
      <c r="B20" s="3909" t="s">
        <v>1297</v>
      </c>
      <c r="C20" s="1641" t="s">
        <v>1298</v>
      </c>
      <c r="D20" s="1642"/>
      <c r="E20" s="1643">
        <v>1</v>
      </c>
      <c r="F20" s="1644" t="s">
        <v>1299</v>
      </c>
      <c r="G20" s="1645"/>
      <c r="H20" s="1611"/>
      <c r="I20" s="1611"/>
    </row>
    <row r="21" spans="1:13" s="1610" customFormat="1">
      <c r="A21" s="3904"/>
      <c r="B21" s="3902"/>
      <c r="C21" s="1646" t="s">
        <v>1300</v>
      </c>
      <c r="D21" s="1647"/>
      <c r="E21" s="1648">
        <v>1</v>
      </c>
      <c r="F21" s="1644" t="s">
        <v>1301</v>
      </c>
      <c r="G21" s="1645"/>
      <c r="H21" s="1611"/>
      <c r="I21" s="1611"/>
    </row>
    <row r="22" spans="1:13" s="1610" customFormat="1">
      <c r="A22" s="3904"/>
      <c r="B22" s="3902"/>
      <c r="C22" s="1646" t="s">
        <v>1302</v>
      </c>
      <c r="D22" s="1647"/>
      <c r="E22" s="1648">
        <v>0.9</v>
      </c>
      <c r="F22" s="1644" t="s">
        <v>1303</v>
      </c>
      <c r="G22" s="1645"/>
      <c r="H22" s="1611"/>
      <c r="I22" s="1611"/>
    </row>
    <row r="23" spans="1:13" s="1610" customFormat="1">
      <c r="A23" s="3904"/>
      <c r="B23" s="3902"/>
      <c r="C23" s="1646" t="s">
        <v>1304</v>
      </c>
      <c r="D23" s="1647"/>
      <c r="E23" s="1648">
        <v>0.9</v>
      </c>
      <c r="F23" s="1644" t="s">
        <v>1305</v>
      </c>
      <c r="G23" s="1645"/>
      <c r="H23" s="1611"/>
      <c r="I23" s="1611"/>
    </row>
    <row r="24" spans="1:13" s="1610" customFormat="1">
      <c r="A24" s="3904"/>
      <c r="B24" s="3902"/>
      <c r="C24" s="1646" t="s">
        <v>1306</v>
      </c>
      <c r="D24" s="1647"/>
      <c r="E24" s="1648">
        <v>0.8</v>
      </c>
      <c r="F24" s="1644" t="s">
        <v>1307</v>
      </c>
      <c r="G24" s="1645"/>
      <c r="H24" s="1611"/>
      <c r="I24" s="1611"/>
    </row>
    <row r="25" spans="1:13" s="1610" customFormat="1">
      <c r="A25" s="3905"/>
      <c r="B25" s="3910"/>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906" t="s">
        <v>297</v>
      </c>
      <c r="B27" s="3909" t="s">
        <v>297</v>
      </c>
      <c r="C27" s="1641" t="s">
        <v>1312</v>
      </c>
      <c r="D27" s="1642"/>
      <c r="E27" s="1643">
        <v>1</v>
      </c>
      <c r="F27" s="1644" t="s">
        <v>1313</v>
      </c>
      <c r="G27" s="1645"/>
      <c r="H27" s="1611"/>
      <c r="I27" s="1611"/>
    </row>
    <row r="28" spans="1:13" s="1610" customFormat="1">
      <c r="A28" s="3907"/>
      <c r="B28" s="3902"/>
      <c r="C28" s="1646" t="s">
        <v>1314</v>
      </c>
      <c r="D28" s="1647"/>
      <c r="E28" s="1648">
        <v>1</v>
      </c>
      <c r="F28" s="1644" t="s">
        <v>1315</v>
      </c>
      <c r="G28" s="1645"/>
      <c r="H28" s="1611"/>
      <c r="I28" s="1611"/>
    </row>
    <row r="29" spans="1:13" s="1610" customFormat="1">
      <c r="A29" s="3907"/>
      <c r="B29" s="3902"/>
      <c r="C29" s="1646" t="s">
        <v>1316</v>
      </c>
      <c r="D29" s="1647"/>
      <c r="E29" s="1648">
        <v>0.8</v>
      </c>
      <c r="F29" s="1644" t="s">
        <v>1317</v>
      </c>
      <c r="G29" s="1645"/>
      <c r="H29" s="1611"/>
      <c r="I29" s="1611"/>
    </row>
    <row r="30" spans="1:13" s="1610" customFormat="1">
      <c r="A30" s="3907"/>
      <c r="B30" s="3902"/>
      <c r="C30" s="1646" t="s">
        <v>1318</v>
      </c>
      <c r="D30" s="1647"/>
      <c r="E30" s="1648">
        <v>0.8</v>
      </c>
      <c r="F30" s="1644" t="s">
        <v>1319</v>
      </c>
      <c r="G30" s="1645"/>
      <c r="H30" s="1611"/>
      <c r="I30" s="1611"/>
    </row>
    <row r="31" spans="1:13" s="1610" customFormat="1">
      <c r="A31" s="3907"/>
      <c r="B31" s="3902"/>
      <c r="C31" s="1646" t="s">
        <v>1320</v>
      </c>
      <c r="D31" s="1647"/>
      <c r="E31" s="1648">
        <v>0.8</v>
      </c>
      <c r="F31" s="1644" t="s">
        <v>1321</v>
      </c>
      <c r="G31" s="1645"/>
      <c r="H31" s="1611"/>
      <c r="I31" s="1611"/>
    </row>
    <row r="32" spans="1:13" s="1610" customFormat="1">
      <c r="A32" s="3907"/>
      <c r="B32" s="3902"/>
      <c r="C32" s="1646" t="s">
        <v>1322</v>
      </c>
      <c r="D32" s="1647"/>
      <c r="E32" s="1648">
        <v>0.7</v>
      </c>
      <c r="F32" s="1644" t="s">
        <v>1323</v>
      </c>
      <c r="G32" s="1645"/>
      <c r="H32" s="1611"/>
      <c r="I32" s="1611"/>
    </row>
    <row r="33" spans="1:9" s="1610" customFormat="1">
      <c r="A33" s="3907"/>
      <c r="B33" s="3902"/>
      <c r="C33" s="1646" t="s">
        <v>1324</v>
      </c>
      <c r="D33" s="1647"/>
      <c r="E33" s="1648">
        <v>0.8</v>
      </c>
      <c r="F33" s="1644" t="s">
        <v>1325</v>
      </c>
      <c r="G33" s="1645"/>
      <c r="H33" s="1611"/>
      <c r="I33" s="1611"/>
    </row>
    <row r="34" spans="1:9" s="1610" customFormat="1">
      <c r="A34" s="3907"/>
      <c r="B34" s="3902"/>
      <c r="C34" s="1646" t="s">
        <v>1326</v>
      </c>
      <c r="D34" s="1647"/>
      <c r="E34" s="1648">
        <v>0.6</v>
      </c>
      <c r="F34" s="1644" t="s">
        <v>1327</v>
      </c>
      <c r="G34" s="1645"/>
      <c r="H34" s="1611"/>
      <c r="I34" s="1611"/>
    </row>
    <row r="35" spans="1:9" s="1610" customFormat="1">
      <c r="A35" s="3907"/>
      <c r="B35" s="3902"/>
      <c r="C35" s="1646" t="s">
        <v>1328</v>
      </c>
      <c r="D35" s="1647"/>
      <c r="E35" s="1648">
        <v>0.2</v>
      </c>
      <c r="F35" s="1644" t="s">
        <v>1329</v>
      </c>
      <c r="G35" s="1645"/>
      <c r="H35" s="1611"/>
      <c r="I35" s="1611"/>
    </row>
    <row r="36" spans="1:9" s="1610" customFormat="1">
      <c r="A36" s="3907"/>
      <c r="B36" s="3902"/>
      <c r="C36" s="1646" t="s">
        <v>1330</v>
      </c>
      <c r="D36" s="1647"/>
      <c r="E36" s="1648">
        <v>0.2</v>
      </c>
      <c r="F36" s="1644" t="s">
        <v>1331</v>
      </c>
      <c r="G36" s="1645"/>
      <c r="H36" s="1611"/>
      <c r="I36" s="1611"/>
    </row>
    <row r="37" spans="1:9" s="1610" customFormat="1">
      <c r="A37" s="3907"/>
      <c r="B37" s="3900" t="s">
        <v>1332</v>
      </c>
      <c r="C37" s="1646" t="s">
        <v>1333</v>
      </c>
      <c r="D37" s="1647"/>
      <c r="E37" s="1648">
        <v>0.6</v>
      </c>
      <c r="F37" s="1644" t="s">
        <v>1334</v>
      </c>
      <c r="G37" s="1645"/>
      <c r="H37" s="1611"/>
      <c r="I37" s="1611"/>
    </row>
    <row r="38" spans="1:9" s="1610" customFormat="1">
      <c r="A38" s="3907"/>
      <c r="B38" s="3902"/>
      <c r="C38" s="1646" t="s">
        <v>1335</v>
      </c>
      <c r="D38" s="1647"/>
      <c r="E38" s="1648">
        <v>0.6</v>
      </c>
      <c r="F38" s="1644" t="s">
        <v>1336</v>
      </c>
      <c r="G38" s="1645"/>
      <c r="H38" s="1611"/>
      <c r="I38" s="1611"/>
    </row>
    <row r="39" spans="1:9" s="1610" customFormat="1">
      <c r="A39" s="3908"/>
      <c r="B39" s="3910"/>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903" t="s">
        <v>164</v>
      </c>
      <c r="B41" s="3909" t="s">
        <v>1341</v>
      </c>
      <c r="C41" s="1641" t="s">
        <v>1342</v>
      </c>
      <c r="D41" s="1642"/>
      <c r="E41" s="1643">
        <v>1</v>
      </c>
      <c r="F41" s="1644" t="s">
        <v>1343</v>
      </c>
      <c r="G41" s="1645"/>
      <c r="H41" s="1611"/>
      <c r="I41" s="1611"/>
    </row>
    <row r="42" spans="1:9" s="1610" customFormat="1">
      <c r="A42" s="3904"/>
      <c r="B42" s="3902"/>
      <c r="C42" s="1646" t="s">
        <v>1344</v>
      </c>
      <c r="D42" s="1647"/>
      <c r="E42" s="1648">
        <v>1</v>
      </c>
      <c r="F42" s="1644" t="s">
        <v>1345</v>
      </c>
      <c r="G42" s="1645"/>
      <c r="H42" s="1611"/>
      <c r="I42" s="1611"/>
    </row>
    <row r="43" spans="1:9" s="1610" customFormat="1">
      <c r="A43" s="3904"/>
      <c r="B43" s="3901"/>
      <c r="C43" s="1646" t="s">
        <v>1346</v>
      </c>
      <c r="D43" s="1647"/>
      <c r="E43" s="1648">
        <v>1.5</v>
      </c>
      <c r="F43" s="1644" t="s">
        <v>1347</v>
      </c>
      <c r="G43" s="1645"/>
      <c r="H43" s="1611"/>
      <c r="I43" s="1611"/>
    </row>
    <row r="44" spans="1:9" s="1610" customFormat="1">
      <c r="A44" s="3904"/>
      <c r="B44" s="1657" t="s">
        <v>297</v>
      </c>
      <c r="C44" s="1646" t="s">
        <v>1284</v>
      </c>
      <c r="D44" s="1647"/>
      <c r="E44" s="1648">
        <v>2</v>
      </c>
      <c r="F44" s="1644" t="s">
        <v>1348</v>
      </c>
      <c r="G44" s="1645"/>
      <c r="H44" s="1611"/>
      <c r="I44" s="1611"/>
    </row>
    <row r="45" spans="1:9" s="1610" customFormat="1">
      <c r="A45" s="3904"/>
      <c r="B45" s="3900" t="s">
        <v>1349</v>
      </c>
      <c r="C45" s="1646" t="s">
        <v>1350</v>
      </c>
      <c r="D45" s="1647"/>
      <c r="E45" s="1648">
        <v>1</v>
      </c>
      <c r="F45" s="1644" t="s">
        <v>1351</v>
      </c>
      <c r="G45" s="1645"/>
      <c r="H45" s="1611"/>
      <c r="I45" s="1611"/>
    </row>
    <row r="46" spans="1:9" s="1610" customFormat="1">
      <c r="A46" s="3904"/>
      <c r="B46" s="3902"/>
      <c r="C46" s="1646" t="s">
        <v>1352</v>
      </c>
      <c r="D46" s="1647"/>
      <c r="E46" s="1648">
        <v>1</v>
      </c>
      <c r="F46" s="1644" t="s">
        <v>1353</v>
      </c>
      <c r="G46" s="1645"/>
      <c r="H46" s="1611"/>
      <c r="I46" s="1611"/>
    </row>
    <row r="47" spans="1:9" s="1610" customFormat="1">
      <c r="A47" s="3904"/>
      <c r="B47" s="3902"/>
      <c r="C47" s="1646" t="s">
        <v>1354</v>
      </c>
      <c r="D47" s="1647"/>
      <c r="E47" s="1648">
        <v>1</v>
      </c>
      <c r="F47" s="1644" t="s">
        <v>1355</v>
      </c>
      <c r="G47" s="1645"/>
      <c r="H47" s="1611"/>
      <c r="I47" s="1611"/>
    </row>
    <row r="48" spans="1:9" s="1610" customFormat="1">
      <c r="A48" s="3904"/>
      <c r="B48" s="3902"/>
      <c r="C48" s="1646" t="s">
        <v>1356</v>
      </c>
      <c r="D48" s="1647"/>
      <c r="E48" s="1648">
        <v>1</v>
      </c>
      <c r="F48" s="1644" t="s">
        <v>1357</v>
      </c>
      <c r="G48" s="1645"/>
      <c r="H48" s="1611"/>
      <c r="I48" s="1611"/>
    </row>
    <row r="49" spans="1:9" s="1610" customFormat="1">
      <c r="A49" s="3904"/>
      <c r="B49" s="3902"/>
      <c r="C49" s="1646" t="s">
        <v>1358</v>
      </c>
      <c r="D49" s="1647"/>
      <c r="E49" s="1648">
        <v>1</v>
      </c>
      <c r="F49" s="1644" t="s">
        <v>1359</v>
      </c>
      <c r="G49" s="1645"/>
      <c r="H49" s="1611"/>
      <c r="I49" s="1611"/>
    </row>
    <row r="50" spans="1:9" s="1610" customFormat="1">
      <c r="A50" s="3904"/>
      <c r="B50" s="3902"/>
      <c r="C50" s="1646" t="s">
        <v>1360</v>
      </c>
      <c r="D50" s="1647"/>
      <c r="E50" s="1648">
        <v>1</v>
      </c>
      <c r="F50" s="1644" t="s">
        <v>1361</v>
      </c>
      <c r="G50" s="1645"/>
      <c r="H50" s="1611"/>
      <c r="I50" s="1611"/>
    </row>
    <row r="51" spans="1:9" s="1610" customFormat="1">
      <c r="A51" s="3905"/>
      <c r="B51" s="3910"/>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c r="A73" s="1657">
        <v>1</v>
      </c>
      <c r="B73" s="3900" t="s">
        <v>1373</v>
      </c>
      <c r="C73" s="1628" t="s">
        <v>1374</v>
      </c>
      <c r="D73" s="1628" t="s">
        <v>1375</v>
      </c>
      <c r="E73" s="1679">
        <v>0.2</v>
      </c>
      <c r="F73" s="1657">
        <v>25</v>
      </c>
      <c r="H73" s="1611">
        <f>SUMIF(C71:C139,基准地价!C8,E71:E139)</f>
        <v>0</v>
      </c>
    </row>
    <row r="74" spans="1:8" s="1611" customFormat="1" ht="24">
      <c r="A74" s="1657">
        <v>2</v>
      </c>
      <c r="B74" s="3902"/>
      <c r="C74" s="1628" t="s">
        <v>1376</v>
      </c>
      <c r="D74" s="1628" t="s">
        <v>1377</v>
      </c>
      <c r="E74" s="1679">
        <v>0.2</v>
      </c>
      <c r="F74" s="1657">
        <v>25</v>
      </c>
    </row>
    <row r="75" spans="1:8" s="1611" customFormat="1" ht="24">
      <c r="A75" s="1657">
        <v>3</v>
      </c>
      <c r="B75" s="3902"/>
      <c r="C75" s="1628" t="s">
        <v>1378</v>
      </c>
      <c r="D75" s="1628" t="s">
        <v>1379</v>
      </c>
      <c r="E75" s="1679">
        <v>0.2</v>
      </c>
      <c r="F75" s="1657">
        <v>25</v>
      </c>
    </row>
    <row r="76" spans="1:8" s="1611" customFormat="1">
      <c r="A76" s="1657">
        <v>4</v>
      </c>
      <c r="B76" s="3902"/>
      <c r="C76" s="1628" t="s">
        <v>1380</v>
      </c>
      <c r="D76" s="1628" t="s">
        <v>1381</v>
      </c>
      <c r="E76" s="1679">
        <v>0.15</v>
      </c>
      <c r="F76" s="1657">
        <v>20</v>
      </c>
    </row>
    <row r="77" spans="1:8" s="1611" customFormat="1" ht="24">
      <c r="A77" s="1657">
        <v>5</v>
      </c>
      <c r="B77" s="3902"/>
      <c r="C77" s="1628" t="s">
        <v>1382</v>
      </c>
      <c r="D77" s="1628" t="s">
        <v>1383</v>
      </c>
      <c r="E77" s="1679">
        <v>0.15</v>
      </c>
      <c r="F77" s="1657">
        <v>20</v>
      </c>
    </row>
    <row r="78" spans="1:8" s="1611" customFormat="1" ht="24">
      <c r="A78" s="1657">
        <v>6</v>
      </c>
      <c r="B78" s="3902"/>
      <c r="C78" s="1628" t="s">
        <v>1384</v>
      </c>
      <c r="D78" s="1628" t="s">
        <v>1385</v>
      </c>
      <c r="E78" s="1679">
        <v>0.15</v>
      </c>
      <c r="F78" s="1657">
        <v>20</v>
      </c>
    </row>
    <row r="79" spans="1:8" s="1611" customFormat="1" ht="24">
      <c r="A79" s="1657">
        <v>7</v>
      </c>
      <c r="B79" s="3902"/>
      <c r="C79" s="1628" t="s">
        <v>1386</v>
      </c>
      <c r="D79" s="1628" t="s">
        <v>1387</v>
      </c>
      <c r="E79" s="1679">
        <v>0.15</v>
      </c>
      <c r="F79" s="1657">
        <v>20</v>
      </c>
    </row>
    <row r="80" spans="1:8" s="1611" customFormat="1" ht="24">
      <c r="A80" s="1657">
        <v>8</v>
      </c>
      <c r="B80" s="3902"/>
      <c r="C80" s="1628" t="s">
        <v>1388</v>
      </c>
      <c r="D80" s="1628" t="s">
        <v>1389</v>
      </c>
      <c r="E80" s="1679">
        <v>0.1</v>
      </c>
      <c r="F80" s="1657">
        <v>15</v>
      </c>
    </row>
    <row r="81" spans="1:6" s="1611" customFormat="1" ht="24">
      <c r="A81" s="1657">
        <v>9</v>
      </c>
      <c r="B81" s="3902"/>
      <c r="C81" s="1628" t="s">
        <v>1390</v>
      </c>
      <c r="D81" s="1628" t="s">
        <v>1391</v>
      </c>
      <c r="E81" s="1679">
        <v>0.1</v>
      </c>
      <c r="F81" s="1657">
        <v>15</v>
      </c>
    </row>
    <row r="82" spans="1:6" s="1611" customFormat="1" ht="24">
      <c r="A82" s="1657">
        <v>10</v>
      </c>
      <c r="B82" s="3902"/>
      <c r="C82" s="1628" t="s">
        <v>1392</v>
      </c>
      <c r="D82" s="1628" t="s">
        <v>1393</v>
      </c>
      <c r="E82" s="1679">
        <v>0.1</v>
      </c>
      <c r="F82" s="1657">
        <v>15</v>
      </c>
    </row>
    <row r="83" spans="1:6" s="1611" customFormat="1" ht="24">
      <c r="A83" s="1657">
        <v>11</v>
      </c>
      <c r="B83" s="3902"/>
      <c r="C83" s="1628" t="s">
        <v>1394</v>
      </c>
      <c r="D83" s="1628" t="s">
        <v>1395</v>
      </c>
      <c r="E83" s="1679">
        <v>0.1</v>
      </c>
      <c r="F83" s="1657">
        <v>15</v>
      </c>
    </row>
    <row r="84" spans="1:6" s="1611" customFormat="1" ht="24">
      <c r="A84" s="1657">
        <v>12</v>
      </c>
      <c r="B84" s="3902"/>
      <c r="C84" s="1628" t="s">
        <v>1396</v>
      </c>
      <c r="D84" s="1628" t="s">
        <v>1397</v>
      </c>
      <c r="E84" s="1679">
        <v>0.1</v>
      </c>
      <c r="F84" s="1657">
        <v>15</v>
      </c>
    </row>
    <row r="85" spans="1:6" s="1611" customFormat="1">
      <c r="A85" s="1657">
        <v>13</v>
      </c>
      <c r="B85" s="3902"/>
      <c r="C85" s="1628" t="s">
        <v>1398</v>
      </c>
      <c r="D85" s="1628" t="s">
        <v>1399</v>
      </c>
      <c r="E85" s="1679">
        <v>0.1</v>
      </c>
      <c r="F85" s="1657">
        <v>15</v>
      </c>
    </row>
    <row r="86" spans="1:6" s="1611" customFormat="1">
      <c r="A86" s="1657">
        <v>14</v>
      </c>
      <c r="B86" s="3902"/>
      <c r="C86" s="1628" t="s">
        <v>1400</v>
      </c>
      <c r="D86" s="1628" t="s">
        <v>1401</v>
      </c>
      <c r="E86" s="1679">
        <v>0.1</v>
      </c>
      <c r="F86" s="1657">
        <v>15</v>
      </c>
    </row>
    <row r="87" spans="1:6" s="1611" customFormat="1">
      <c r="A87" s="1657">
        <v>15</v>
      </c>
      <c r="B87" s="3902"/>
      <c r="C87" s="1628" t="s">
        <v>1402</v>
      </c>
      <c r="D87" s="1628" t="s">
        <v>1403</v>
      </c>
      <c r="E87" s="1679">
        <v>0.1</v>
      </c>
      <c r="F87" s="1657">
        <v>15</v>
      </c>
    </row>
    <row r="88" spans="1:6" s="1611" customFormat="1" ht="24">
      <c r="A88" s="1657">
        <v>16</v>
      </c>
      <c r="B88" s="3902"/>
      <c r="C88" s="1628" t="s">
        <v>1404</v>
      </c>
      <c r="D88" s="1628" t="s">
        <v>1405</v>
      </c>
      <c r="E88" s="1679">
        <v>0.1</v>
      </c>
      <c r="F88" s="1657">
        <v>15</v>
      </c>
    </row>
    <row r="89" spans="1:6" s="1611" customFormat="1" ht="24">
      <c r="A89" s="1657">
        <v>17</v>
      </c>
      <c r="B89" s="3901"/>
      <c r="C89" s="1628" t="s">
        <v>1406</v>
      </c>
      <c r="D89" s="1628" t="s">
        <v>1407</v>
      </c>
      <c r="E89" s="1679">
        <v>0.1</v>
      </c>
      <c r="F89" s="1657">
        <v>15</v>
      </c>
    </row>
    <row r="90" spans="1:6" s="1611" customFormat="1">
      <c r="A90" s="1657">
        <v>18</v>
      </c>
      <c r="B90" s="3900" t="s">
        <v>1408</v>
      </c>
      <c r="C90" s="1628" t="s">
        <v>1409</v>
      </c>
      <c r="D90" s="1628" t="s">
        <v>1410</v>
      </c>
      <c r="E90" s="1679">
        <v>0.2</v>
      </c>
      <c r="F90" s="1657">
        <v>25</v>
      </c>
    </row>
    <row r="91" spans="1:6" s="1611" customFormat="1" ht="24">
      <c r="A91" s="1657">
        <v>19</v>
      </c>
      <c r="B91" s="3902"/>
      <c r="C91" s="1628" t="s">
        <v>1411</v>
      </c>
      <c r="D91" s="1628" t="s">
        <v>1412</v>
      </c>
      <c r="E91" s="1679">
        <v>0.2</v>
      </c>
      <c r="F91" s="1657">
        <v>25</v>
      </c>
    </row>
    <row r="92" spans="1:6" s="1611" customFormat="1">
      <c r="A92" s="1657">
        <v>20</v>
      </c>
      <c r="B92" s="3902"/>
      <c r="C92" s="1628" t="s">
        <v>1413</v>
      </c>
      <c r="D92" s="1628" t="s">
        <v>1414</v>
      </c>
      <c r="E92" s="1679">
        <v>0.15</v>
      </c>
      <c r="F92" s="1657">
        <v>20</v>
      </c>
    </row>
    <row r="93" spans="1:6" s="1611" customFormat="1" ht="24">
      <c r="A93" s="1657">
        <v>21</v>
      </c>
      <c r="B93" s="3902"/>
      <c r="C93" s="1628" t="s">
        <v>1415</v>
      </c>
      <c r="D93" s="1628" t="s">
        <v>1416</v>
      </c>
      <c r="E93" s="1679">
        <v>0.15</v>
      </c>
      <c r="F93" s="1657">
        <v>20</v>
      </c>
    </row>
    <row r="94" spans="1:6" s="1611" customFormat="1" ht="24">
      <c r="A94" s="1657">
        <v>22</v>
      </c>
      <c r="B94" s="3902"/>
      <c r="C94" s="1628" t="s">
        <v>1417</v>
      </c>
      <c r="D94" s="1628" t="s">
        <v>1418</v>
      </c>
      <c r="E94" s="1679">
        <v>0.15</v>
      </c>
      <c r="F94" s="1657">
        <v>20</v>
      </c>
    </row>
    <row r="95" spans="1:6" s="1611" customFormat="1" ht="36">
      <c r="A95" s="1657">
        <v>23</v>
      </c>
      <c r="B95" s="3902"/>
      <c r="C95" s="1628" t="s">
        <v>1419</v>
      </c>
      <c r="D95" s="1628" t="s">
        <v>1420</v>
      </c>
      <c r="E95" s="1679">
        <v>0.15</v>
      </c>
      <c r="F95" s="1657">
        <v>20</v>
      </c>
    </row>
    <row r="96" spans="1:6" s="1611" customFormat="1">
      <c r="A96" s="1657">
        <v>24</v>
      </c>
      <c r="B96" s="3902"/>
      <c r="C96" s="1628" t="s">
        <v>1421</v>
      </c>
      <c r="D96" s="1628" t="s">
        <v>1422</v>
      </c>
      <c r="E96" s="1679">
        <v>0.1</v>
      </c>
      <c r="F96" s="1657">
        <v>15</v>
      </c>
    </row>
    <row r="97" spans="1:6" s="1611" customFormat="1" ht="24">
      <c r="A97" s="1657">
        <v>25</v>
      </c>
      <c r="B97" s="3902"/>
      <c r="C97" s="1628" t="s">
        <v>1423</v>
      </c>
      <c r="D97" s="1628" t="s">
        <v>1424</v>
      </c>
      <c r="E97" s="1679">
        <v>0.1</v>
      </c>
      <c r="F97" s="1657">
        <v>15</v>
      </c>
    </row>
    <row r="98" spans="1:6" s="1611" customFormat="1" ht="24">
      <c r="A98" s="1657">
        <v>26</v>
      </c>
      <c r="B98" s="3902"/>
      <c r="C98" s="1628" t="s">
        <v>1425</v>
      </c>
      <c r="D98" s="1628" t="s">
        <v>1426</v>
      </c>
      <c r="E98" s="1679">
        <v>0.1</v>
      </c>
      <c r="F98" s="1657">
        <v>15</v>
      </c>
    </row>
    <row r="99" spans="1:6" s="1611" customFormat="1" ht="24">
      <c r="A99" s="1657">
        <v>27</v>
      </c>
      <c r="B99" s="3902"/>
      <c r="C99" s="1628" t="s">
        <v>1427</v>
      </c>
      <c r="D99" s="1628" t="s">
        <v>1428</v>
      </c>
      <c r="E99" s="1679">
        <v>0.1</v>
      </c>
      <c r="F99" s="1657">
        <v>15</v>
      </c>
    </row>
    <row r="100" spans="1:6" s="1611" customFormat="1" ht="24">
      <c r="A100" s="1657">
        <v>28</v>
      </c>
      <c r="B100" s="3902"/>
      <c r="C100" s="1628" t="s">
        <v>1429</v>
      </c>
      <c r="D100" s="1628" t="s">
        <v>1430</v>
      </c>
      <c r="E100" s="1679">
        <v>0.1</v>
      </c>
      <c r="F100" s="1657">
        <v>15</v>
      </c>
    </row>
    <row r="101" spans="1:6" s="1611" customFormat="1" ht="24">
      <c r="A101" s="1657">
        <v>29</v>
      </c>
      <c r="B101" s="3902"/>
      <c r="C101" s="1628" t="s">
        <v>1431</v>
      </c>
      <c r="D101" s="1628" t="s">
        <v>1432</v>
      </c>
      <c r="E101" s="1679">
        <v>0.1</v>
      </c>
      <c r="F101" s="1657">
        <v>15</v>
      </c>
    </row>
    <row r="102" spans="1:6" s="1611" customFormat="1" ht="24">
      <c r="A102" s="1657">
        <v>30</v>
      </c>
      <c r="B102" s="3902"/>
      <c r="C102" s="1628" t="s">
        <v>1433</v>
      </c>
      <c r="D102" s="1628" t="s">
        <v>1434</v>
      </c>
      <c r="E102" s="1679">
        <v>0.1</v>
      </c>
      <c r="F102" s="1657">
        <v>15</v>
      </c>
    </row>
    <row r="103" spans="1:6" s="1611" customFormat="1" ht="24">
      <c r="A103" s="1657">
        <v>31</v>
      </c>
      <c r="B103" s="3902"/>
      <c r="C103" s="1628" t="s">
        <v>1435</v>
      </c>
      <c r="D103" s="1628" t="s">
        <v>1436</v>
      </c>
      <c r="E103" s="1679">
        <v>0.1</v>
      </c>
      <c r="F103" s="1657">
        <v>15</v>
      </c>
    </row>
    <row r="104" spans="1:6" s="1611" customFormat="1" ht="24">
      <c r="A104" s="1657">
        <v>32</v>
      </c>
      <c r="B104" s="3902"/>
      <c r="C104" s="1628" t="s">
        <v>1437</v>
      </c>
      <c r="D104" s="1628" t="s">
        <v>1438</v>
      </c>
      <c r="E104" s="1679">
        <v>0.1</v>
      </c>
      <c r="F104" s="1657">
        <v>15</v>
      </c>
    </row>
    <row r="105" spans="1:6" s="1611" customFormat="1" ht="24">
      <c r="A105" s="1657">
        <v>33</v>
      </c>
      <c r="B105" s="3902"/>
      <c r="C105" s="1628" t="s">
        <v>1439</v>
      </c>
      <c r="D105" s="1628" t="s">
        <v>1440</v>
      </c>
      <c r="E105" s="1679">
        <v>0.1</v>
      </c>
      <c r="F105" s="1657">
        <v>15</v>
      </c>
    </row>
    <row r="106" spans="1:6" s="1611" customFormat="1" ht="24">
      <c r="A106" s="1657">
        <v>34</v>
      </c>
      <c r="B106" s="3901"/>
      <c r="C106" s="1628" t="s">
        <v>1441</v>
      </c>
      <c r="D106" s="1628" t="s">
        <v>1442</v>
      </c>
      <c r="E106" s="1679">
        <v>0.1</v>
      </c>
      <c r="F106" s="1657">
        <v>15</v>
      </c>
    </row>
    <row r="107" spans="1:6" s="1611" customFormat="1" ht="24">
      <c r="A107" s="1657">
        <v>35</v>
      </c>
      <c r="B107" s="3900" t="s">
        <v>1443</v>
      </c>
      <c r="C107" s="1657" t="s">
        <v>1444</v>
      </c>
      <c r="D107" s="1628" t="s">
        <v>1445</v>
      </c>
      <c r="E107" s="1679">
        <v>0.15</v>
      </c>
      <c r="F107" s="1657">
        <v>20</v>
      </c>
    </row>
    <row r="108" spans="1:6" s="1611" customFormat="1" ht="24">
      <c r="A108" s="1657">
        <v>36</v>
      </c>
      <c r="B108" s="3902"/>
      <c r="C108" s="1657" t="s">
        <v>1446</v>
      </c>
      <c r="D108" s="1628" t="s">
        <v>1447</v>
      </c>
      <c r="E108" s="1679">
        <v>0.15</v>
      </c>
      <c r="F108" s="1657">
        <v>20</v>
      </c>
    </row>
    <row r="109" spans="1:6" s="1611" customFormat="1" ht="24">
      <c r="A109" s="1657">
        <v>37</v>
      </c>
      <c r="B109" s="3902"/>
      <c r="C109" s="1657" t="s">
        <v>1448</v>
      </c>
      <c r="D109" s="1628" t="s">
        <v>1449</v>
      </c>
      <c r="E109" s="1679">
        <v>0.15</v>
      </c>
      <c r="F109" s="1657">
        <v>20</v>
      </c>
    </row>
    <row r="110" spans="1:6" s="1611" customFormat="1">
      <c r="A110" s="1657">
        <v>38</v>
      </c>
      <c r="B110" s="3902"/>
      <c r="C110" s="1657" t="s">
        <v>1450</v>
      </c>
      <c r="D110" s="1628" t="s">
        <v>1451</v>
      </c>
      <c r="E110" s="1679">
        <v>0.1</v>
      </c>
      <c r="F110" s="1657">
        <v>15</v>
      </c>
    </row>
    <row r="111" spans="1:6" s="1611" customFormat="1" ht="24">
      <c r="A111" s="1657">
        <v>39</v>
      </c>
      <c r="B111" s="3902"/>
      <c r="C111" s="1657" t="s">
        <v>1452</v>
      </c>
      <c r="D111" s="1628" t="s">
        <v>1453</v>
      </c>
      <c r="E111" s="1679">
        <v>0.1</v>
      </c>
      <c r="F111" s="1657">
        <v>15</v>
      </c>
    </row>
    <row r="112" spans="1:6" s="1611" customFormat="1" ht="24">
      <c r="A112" s="1657">
        <v>40</v>
      </c>
      <c r="B112" s="3901"/>
      <c r="C112" s="1657" t="s">
        <v>1454</v>
      </c>
      <c r="D112" s="1628" t="s">
        <v>1455</v>
      </c>
      <c r="E112" s="1679">
        <v>0.1</v>
      </c>
      <c r="F112" s="1657">
        <v>15</v>
      </c>
    </row>
    <row r="113" spans="1:6" s="1611" customFormat="1" ht="24">
      <c r="A113" s="1657">
        <v>41</v>
      </c>
      <c r="B113" s="3899" t="s">
        <v>1456</v>
      </c>
      <c r="C113" s="1657" t="s">
        <v>1457</v>
      </c>
      <c r="D113" s="1628" t="s">
        <v>1458</v>
      </c>
      <c r="E113" s="1679">
        <v>0.1</v>
      </c>
      <c r="F113" s="1657">
        <v>15</v>
      </c>
    </row>
    <row r="114" spans="1:6" s="1611" customFormat="1">
      <c r="A114" s="1657">
        <v>42</v>
      </c>
      <c r="B114" s="3899"/>
      <c r="C114" s="1657" t="s">
        <v>1459</v>
      </c>
      <c r="D114" s="1628" t="s">
        <v>1460</v>
      </c>
      <c r="E114" s="1679">
        <v>0.1</v>
      </c>
      <c r="F114" s="1657">
        <v>15</v>
      </c>
    </row>
    <row r="115" spans="1:6" s="1611" customFormat="1" ht="24">
      <c r="A115" s="1657">
        <v>43</v>
      </c>
      <c r="B115" s="3899"/>
      <c r="C115" s="1657" t="s">
        <v>1461</v>
      </c>
      <c r="D115" s="1628" t="s">
        <v>1462</v>
      </c>
      <c r="E115" s="1679">
        <v>0.1</v>
      </c>
      <c r="F115" s="1657">
        <v>15</v>
      </c>
    </row>
    <row r="116" spans="1:6" s="1611" customFormat="1" ht="24">
      <c r="A116" s="1657">
        <v>44</v>
      </c>
      <c r="B116" s="3900" t="s">
        <v>1463</v>
      </c>
      <c r="C116" s="1657" t="s">
        <v>1464</v>
      </c>
      <c r="D116" s="1628" t="s">
        <v>1465</v>
      </c>
      <c r="E116" s="1679">
        <v>0.1</v>
      </c>
      <c r="F116" s="1657">
        <v>15</v>
      </c>
    </row>
    <row r="117" spans="1:6" s="1611" customFormat="1" ht="24">
      <c r="A117" s="1657">
        <v>45</v>
      </c>
      <c r="B117" s="3901"/>
      <c r="C117" s="1628" t="s">
        <v>1466</v>
      </c>
      <c r="D117" s="1628" t="s">
        <v>1467</v>
      </c>
      <c r="E117" s="1679">
        <v>0.1</v>
      </c>
      <c r="F117" s="1657">
        <v>15</v>
      </c>
    </row>
    <row r="118" spans="1:6" s="1611" customFormat="1" ht="24">
      <c r="A118" s="1657">
        <v>46</v>
      </c>
      <c r="B118" s="3900" t="s">
        <v>1468</v>
      </c>
      <c r="C118" s="1657" t="s">
        <v>1469</v>
      </c>
      <c r="D118" s="1628" t="s">
        <v>1470</v>
      </c>
      <c r="E118" s="1679">
        <v>0.1</v>
      </c>
      <c r="F118" s="1657">
        <v>15</v>
      </c>
    </row>
    <row r="119" spans="1:6" s="1611" customFormat="1" ht="24">
      <c r="A119" s="1657">
        <v>47</v>
      </c>
      <c r="B119" s="3901"/>
      <c r="C119" s="1657" t="s">
        <v>1471</v>
      </c>
      <c r="D119" s="1628" t="s">
        <v>1472</v>
      </c>
      <c r="E119" s="1679">
        <v>0.1</v>
      </c>
      <c r="F119" s="1657">
        <v>15</v>
      </c>
    </row>
    <row r="120" spans="1:6" s="1611" customFormat="1" ht="24">
      <c r="A120" s="1657">
        <v>48</v>
      </c>
      <c r="B120" s="3900" t="s">
        <v>1473</v>
      </c>
      <c r="C120" s="1657" t="s">
        <v>1474</v>
      </c>
      <c r="D120" s="1628" t="s">
        <v>1475</v>
      </c>
      <c r="E120" s="1679">
        <v>0.1</v>
      </c>
      <c r="F120" s="1657">
        <v>15</v>
      </c>
    </row>
    <row r="121" spans="1:6" s="1611" customFormat="1">
      <c r="A121" s="1657">
        <v>49</v>
      </c>
      <c r="B121" s="3901"/>
      <c r="C121" s="1657" t="s">
        <v>1476</v>
      </c>
      <c r="D121" s="1628" t="s">
        <v>1477</v>
      </c>
      <c r="E121" s="1679">
        <v>0.1</v>
      </c>
      <c r="F121" s="1657">
        <v>15</v>
      </c>
    </row>
    <row r="122" spans="1:6" s="1611" customFormat="1" ht="24">
      <c r="A122" s="1657">
        <v>50</v>
      </c>
      <c r="B122" s="3899" t="s">
        <v>1478</v>
      </c>
      <c r="C122" s="1657" t="s">
        <v>1479</v>
      </c>
      <c r="D122" s="1628" t="s">
        <v>1480</v>
      </c>
      <c r="E122" s="1679">
        <v>0.1</v>
      </c>
      <c r="F122" s="1657">
        <v>15</v>
      </c>
    </row>
    <row r="123" spans="1:6" s="1611" customFormat="1" ht="24">
      <c r="A123" s="1657">
        <v>51</v>
      </c>
      <c r="B123" s="3899"/>
      <c r="C123" s="1657" t="s">
        <v>1481</v>
      </c>
      <c r="D123" s="1628" t="s">
        <v>1482</v>
      </c>
      <c r="E123" s="1679">
        <v>0.1</v>
      </c>
      <c r="F123" s="1657">
        <v>15</v>
      </c>
    </row>
    <row r="124" spans="1:6" s="1611" customFormat="1" ht="24">
      <c r="A124" s="1657">
        <v>52</v>
      </c>
      <c r="B124" s="3899" t="s">
        <v>1483</v>
      </c>
      <c r="C124" s="1657" t="s">
        <v>1484</v>
      </c>
      <c r="D124" s="1628" t="s">
        <v>1485</v>
      </c>
      <c r="E124" s="1679">
        <v>0.1</v>
      </c>
      <c r="F124" s="1657">
        <v>15</v>
      </c>
    </row>
    <row r="125" spans="1:6" s="1611" customFormat="1" ht="24">
      <c r="A125" s="1657">
        <v>53</v>
      </c>
      <c r="B125" s="3899"/>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c r="A127" s="1657">
        <v>55</v>
      </c>
      <c r="B127" s="3899" t="s">
        <v>1491</v>
      </c>
      <c r="C127" s="1657" t="s">
        <v>1492</v>
      </c>
      <c r="D127" s="1628" t="s">
        <v>1493</v>
      </c>
      <c r="E127" s="1679">
        <v>0.1</v>
      </c>
      <c r="F127" s="1657">
        <v>15</v>
      </c>
    </row>
    <row r="128" spans="1:6">
      <c r="A128" s="1657">
        <v>56</v>
      </c>
      <c r="B128" s="3899"/>
      <c r="C128" s="1657" t="s">
        <v>1494</v>
      </c>
      <c r="D128" s="1628" t="s">
        <v>1495</v>
      </c>
      <c r="E128" s="1679">
        <v>0.1</v>
      </c>
      <c r="F128" s="1657">
        <v>15</v>
      </c>
    </row>
    <row r="129" spans="1:14" ht="24">
      <c r="A129" s="1657">
        <v>57</v>
      </c>
      <c r="B129" s="3899"/>
      <c r="C129" s="1657" t="s">
        <v>1496</v>
      </c>
      <c r="D129" s="1628" t="s">
        <v>1497</v>
      </c>
      <c r="E129" s="1679">
        <v>0.1</v>
      </c>
      <c r="F129" s="1657">
        <v>15</v>
      </c>
    </row>
    <row r="130" spans="1:14" ht="24">
      <c r="A130" s="1657">
        <v>58</v>
      </c>
      <c r="B130" s="3899" t="s">
        <v>1498</v>
      </c>
      <c r="C130" s="1657" t="s">
        <v>1499</v>
      </c>
      <c r="D130" s="1628" t="s">
        <v>1500</v>
      </c>
      <c r="E130" s="1679">
        <v>0.1</v>
      </c>
      <c r="F130" s="1657">
        <v>15</v>
      </c>
    </row>
    <row r="131" spans="1:14" ht="24">
      <c r="A131" s="1657">
        <v>59</v>
      </c>
      <c r="B131" s="3899"/>
      <c r="C131" s="1657" t="s">
        <v>1501</v>
      </c>
      <c r="D131" s="1628" t="s">
        <v>1502</v>
      </c>
      <c r="E131" s="1679">
        <v>0.1</v>
      </c>
      <c r="F131" s="1657">
        <v>15</v>
      </c>
    </row>
    <row r="132" spans="1:14" ht="24">
      <c r="A132" s="1657">
        <v>60</v>
      </c>
      <c r="B132" s="3900" t="s">
        <v>1503</v>
      </c>
      <c r="C132" s="1657" t="s">
        <v>1504</v>
      </c>
      <c r="D132" s="1628" t="s">
        <v>1505</v>
      </c>
      <c r="E132" s="1679">
        <v>0.1</v>
      </c>
      <c r="F132" s="1657">
        <v>15</v>
      </c>
    </row>
    <row r="133" spans="1:14" ht="24">
      <c r="A133" s="1657">
        <v>61</v>
      </c>
      <c r="B133" s="3901"/>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899" t="s">
        <v>1511</v>
      </c>
      <c r="C135" s="1657" t="s">
        <v>1512</v>
      </c>
      <c r="D135" s="1628" t="s">
        <v>1513</v>
      </c>
      <c r="E135" s="1679">
        <v>0.1</v>
      </c>
      <c r="F135" s="1657">
        <v>15</v>
      </c>
    </row>
    <row r="136" spans="1:14">
      <c r="A136" s="1657">
        <v>64</v>
      </c>
      <c r="B136" s="3899"/>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1" t="s">
        <v>1519</v>
      </c>
      <c r="B1" s="3911"/>
      <c r="C1" s="3911"/>
      <c r="D1" s="3911"/>
      <c r="E1" s="3911"/>
      <c r="F1" s="3911"/>
      <c r="G1" s="3912"/>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13"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14"/>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5" t="s">
        <v>1904</v>
      </c>
      <c r="B1" s="3915"/>
      <c r="C1" s="3915"/>
      <c r="D1" s="3915"/>
      <c r="E1" s="3915"/>
      <c r="F1" s="3916"/>
    </row>
    <row r="2" spans="1:6" ht="15">
      <c r="A2" s="1539" t="s">
        <v>1905</v>
      </c>
      <c r="B2" s="1540"/>
      <c r="C2" s="1540"/>
      <c r="D2" s="1540"/>
      <c r="E2" s="1540"/>
      <c r="F2" s="1540"/>
    </row>
    <row r="3" spans="1:6" ht="15">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17" t="s">
        <v>1914</v>
      </c>
      <c r="B1" s="3917"/>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56.25">
      <c r="A7" s="3592" t="s">
        <v>84</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88</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18.75">
      <c r="A21" s="3580" t="s">
        <v>91</v>
      </c>
    </row>
    <row r="22" spans="1:1" ht="93.75">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23" spans="1:1" ht="18.75">
      <c r="A23" s="3580" t="str">
        <f>IF(项目基本情况!A17="出让","本次评估设定估价对象剩余土地使用年限为"&amp;项目基本情况!D20&amp;"。","")</f>
        <v>本次评估设定估价对象剩余土地使用年限为。</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28" t="s">
        <v>1915</v>
      </c>
      <c r="C1" s="3928"/>
      <c r="D1" s="3928"/>
      <c r="E1" s="3928"/>
      <c r="F1" s="3928"/>
      <c r="G1" s="3925" t="s">
        <v>1916</v>
      </c>
      <c r="H1" s="3925"/>
      <c r="I1" s="3925"/>
      <c r="J1" s="3925"/>
      <c r="K1" s="3925"/>
      <c r="L1" s="3925"/>
      <c r="N1" s="3925" t="s">
        <v>1917</v>
      </c>
      <c r="O1" s="3925"/>
      <c r="P1" s="3925"/>
      <c r="Q1" s="3925"/>
      <c r="S1" s="3925" t="s">
        <v>1918</v>
      </c>
      <c r="T1" s="3925"/>
      <c r="U1" s="3925"/>
      <c r="V1" s="3925"/>
      <c r="X1" s="3924" t="s">
        <v>1919</v>
      </c>
      <c r="Y1" s="3925"/>
      <c r="Z1" s="3925"/>
      <c r="AA1" s="3925"/>
      <c r="AB1" s="3925"/>
      <c r="AD1" s="3924" t="s">
        <v>1920</v>
      </c>
      <c r="AE1" s="3925"/>
      <c r="AF1" s="3925"/>
      <c r="AG1" s="3925"/>
      <c r="AH1" s="3925"/>
    </row>
    <row r="2" spans="1:34" s="1368" customFormat="1" ht="13.5">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25">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19">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19"/>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19"/>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26"/>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27">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19"/>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19"/>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26"/>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27">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19"/>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19"/>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20"/>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18">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19"/>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19"/>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20"/>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18">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19"/>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19"/>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20"/>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21">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2"/>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2"/>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3"/>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18">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19"/>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19"/>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20"/>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18">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19">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19">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20">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18">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19">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19">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20">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18">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19">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19">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20">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18">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19">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19">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20">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18">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19">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19">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20">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18">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19">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19">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20">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18">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19">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19">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20">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18">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19">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19">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20">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18">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19">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19">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20">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18">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19">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19">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20">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9" t="s">
        <v>1919</v>
      </c>
      <c r="S1" s="3930"/>
      <c r="T1" s="3930"/>
      <c r="U1" s="3930"/>
      <c r="V1" s="3930"/>
      <c r="W1" s="3930"/>
      <c r="X1" s="1322"/>
      <c r="Y1" s="3929" t="s">
        <v>1920</v>
      </c>
      <c r="Z1" s="3930"/>
      <c r="AA1" s="3930"/>
      <c r="AB1" s="3930"/>
      <c r="AC1" s="3930"/>
      <c r="AD1" s="3930"/>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9" t="s">
        <v>1919</v>
      </c>
      <c r="S21" s="3930"/>
      <c r="T21" s="3930"/>
      <c r="U21" s="3930"/>
      <c r="V21" s="3930"/>
      <c r="W21" s="3930"/>
      <c r="X21" s="1322"/>
      <c r="Y21" s="3929" t="s">
        <v>1920</v>
      </c>
      <c r="Z21" s="3930"/>
      <c r="AA21" s="3930"/>
      <c r="AB21" s="3930"/>
      <c r="AC21" s="3930"/>
      <c r="AD21" s="3930"/>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1112</v>
      </c>
      <c r="B2" s="1283">
        <f ca="1">SUMIF(B7:B14,"&lt;&gt;#ref!",B7:B14)</f>
        <v>0</v>
      </c>
      <c r="C2" s="1282" t="s">
        <v>973</v>
      </c>
      <c r="D2" s="1284"/>
      <c r="E2" s="1284"/>
      <c r="F2" s="1284"/>
      <c r="G2" s="1281"/>
      <c r="H2" s="1281"/>
      <c r="I2" s="1281"/>
      <c r="J2" s="1281"/>
      <c r="K2" s="1281"/>
      <c r="L2" s="1281"/>
      <c r="M2" s="1281"/>
      <c r="N2" s="1281"/>
    </row>
    <row r="3" spans="1:14" ht="14.25">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4.25">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2029</v>
      </c>
      <c r="B6" s="1282" t="s">
        <v>2030</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2031</v>
      </c>
      <c r="B1" s="955"/>
      <c r="C1" s="956"/>
      <c r="D1" s="961"/>
      <c r="E1" s="958" t="s">
        <v>614</v>
      </c>
      <c r="F1" s="959">
        <f ca="1">J54</f>
        <v>-3</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33" t="s">
        <v>2040</v>
      </c>
      <c r="C8" s="1232">
        <f ca="1">ROUND(F8*F10*F9*(1-F11)/10000,0)</f>
        <v>0</v>
      </c>
      <c r="D8" s="1233" t="s">
        <v>2041</v>
      </c>
      <c r="E8" s="1234" t="s">
        <v>2042</v>
      </c>
      <c r="F8" s="985">
        <f ca="1">INDIRECT("'数据-取费表'!u"&amp;$G$1)</f>
        <v>0</v>
      </c>
      <c r="G8" s="1162"/>
      <c r="H8" s="986" t="s">
        <v>875</v>
      </c>
      <c r="I8" s="3933" t="s">
        <v>2040</v>
      </c>
      <c r="J8" s="982">
        <f ca="1">ROUND(M8*M10*M9*(1-M11)/10000,0)</f>
        <v>0</v>
      </c>
      <c r="K8" s="1056" t="s">
        <v>2041</v>
      </c>
      <c r="L8" s="984" t="s">
        <v>2042</v>
      </c>
      <c r="M8" s="985">
        <f ca="1">INDIRECT("'数据-取费表'!z"&amp;$G$1)</f>
        <v>0</v>
      </c>
    </row>
    <row r="9" spans="1:25" ht="18" customHeight="1">
      <c r="A9" s="987"/>
      <c r="B9" s="3934"/>
      <c r="C9" s="1235"/>
      <c r="D9" s="1236"/>
      <c r="E9" s="1234" t="s">
        <v>2043</v>
      </c>
      <c r="F9" s="985">
        <f ca="1">IF(INDIRECT("'数据-取费表'!ah"&amp;$G$1)="",INDIRECT("'数据-取费表'!k"&amp;$G$1),INDIRECT("'数据-取费表'!ah"&amp;$G$1))</f>
        <v>0</v>
      </c>
      <c r="G9" s="1162"/>
      <c r="H9" s="990"/>
      <c r="I9" s="3934"/>
      <c r="J9" s="988"/>
      <c r="K9" s="989"/>
      <c r="L9" s="984" t="s">
        <v>2043</v>
      </c>
      <c r="M9" s="985">
        <f ca="1">F9</f>
        <v>0</v>
      </c>
    </row>
    <row r="10" spans="1:25" ht="18" customHeight="1">
      <c r="A10" s="991"/>
      <c r="B10" s="3935"/>
      <c r="C10" s="1235"/>
      <c r="D10" s="1236"/>
      <c r="E10" s="1234" t="s">
        <v>2044</v>
      </c>
      <c r="F10" s="985">
        <f ca="1">INDIRECT("'数据-取费表'!ai"&amp;$G$1)</f>
        <v>0</v>
      </c>
      <c r="G10" s="1162"/>
      <c r="H10" s="990"/>
      <c r="I10" s="3935"/>
      <c r="J10" s="988"/>
      <c r="K10" s="989"/>
      <c r="L10" s="984" t="s">
        <v>2044</v>
      </c>
      <c r="M10" s="985">
        <f ca="1">INDIRECT("'数据-取费表'!ai"&amp;$G$1)</f>
        <v>0</v>
      </c>
    </row>
    <row r="11" spans="1:25" ht="18" customHeight="1">
      <c r="A11" s="992"/>
      <c r="B11" s="3936"/>
      <c r="C11" s="1235"/>
      <c r="D11" s="1236"/>
      <c r="E11" s="1234" t="s">
        <v>2045</v>
      </c>
      <c r="F11" s="993">
        <f ca="1">INDIRECT("'数据-取费表'!w"&amp;$G$1)</f>
        <v>0</v>
      </c>
      <c r="G11" s="1162"/>
      <c r="H11" s="994"/>
      <c r="I11" s="3935"/>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3</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1.2999999999999999E-3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7"/>
      <c r="J36" s="1141"/>
      <c r="K36" s="1140"/>
      <c r="L36" s="1141"/>
      <c r="M36" s="1141"/>
    </row>
    <row r="37" spans="1:18" ht="18" customHeight="1">
      <c r="A37" s="1059"/>
      <c r="B37" s="1060"/>
      <c r="C37" s="1061"/>
      <c r="D37" s="1062"/>
      <c r="E37" s="984" t="s">
        <v>2083</v>
      </c>
      <c r="F37" s="985">
        <f ca="1">INDIRECT("'数据-取费表'!r"&amp;$G$1)</f>
        <v>0</v>
      </c>
      <c r="G37" s="974"/>
      <c r="H37" s="1048"/>
      <c r="I37" s="3937"/>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28.5">
      <c r="A54" s="1270"/>
      <c r="I54" s="1184" t="s">
        <v>2161</v>
      </c>
      <c r="J54" s="1185">
        <f ca="1">IF(M48="住宅",MAX(J52,L49-'数据-取费表'!B20),MIN(J52,L49-'数据-取费表'!B20))</f>
        <v>-3</v>
      </c>
      <c r="K54" s="3931"/>
      <c r="L54" s="3932"/>
      <c r="O54" s="1178" t="s">
        <v>2162</v>
      </c>
      <c r="P54" s="1173" t="s">
        <v>2163</v>
      </c>
      <c r="Q54" s="1206">
        <f ca="1">J54</f>
        <v>-3</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75">
      <c r="A56" s="1270"/>
      <c r="B56" s="953"/>
      <c r="C56" s="953"/>
      <c r="I56" s="1186" t="s">
        <v>2168</v>
      </c>
      <c r="J56" s="1187" t="e">
        <f ca="1">ROUND(IF(J48="钢混",J58/J51,1-(1-2%)*(J51-J58)/J51),3)</f>
        <v>#DIV/0!</v>
      </c>
      <c r="K56" s="1188" t="s">
        <v>2169</v>
      </c>
      <c r="L56" s="1189"/>
      <c r="O56" s="1190" t="s">
        <v>2170</v>
      </c>
      <c r="P56" s="1162"/>
      <c r="Q56" s="652"/>
      <c r="R56" s="1162"/>
    </row>
    <row r="57" spans="1:18" s="707" customFormat="1" ht="42.75">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28.5">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28.5">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28.5">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9.5">
      <c r="A62" s="1270"/>
      <c r="B62" s="953"/>
      <c r="C62" s="953"/>
      <c r="K62" s="1155"/>
      <c r="O62" s="1178" t="s">
        <v>2159</v>
      </c>
      <c r="P62" s="1173" t="s">
        <v>2185</v>
      </c>
      <c r="Q62" s="1206">
        <f ca="1">L59</f>
        <v>0</v>
      </c>
      <c r="R62" s="1208" t="s">
        <v>2186</v>
      </c>
    </row>
    <row r="63" spans="1:18" s="707" customFormat="1" ht="19.5">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75">
      <c r="A65" s="1270"/>
      <c r="B65" s="953"/>
      <c r="C65" s="953"/>
      <c r="I65" s="1199" t="s">
        <v>2195</v>
      </c>
      <c r="J65" s="1200">
        <v>50</v>
      </c>
      <c r="K65" s="1200">
        <v>35</v>
      </c>
      <c r="L65" s="1200">
        <v>60</v>
      </c>
      <c r="M65" s="700">
        <v>0</v>
      </c>
      <c r="O65" s="1190" t="s">
        <v>2196</v>
      </c>
      <c r="P65" s="1162"/>
      <c r="Q65" s="652"/>
      <c r="R65" s="1162"/>
    </row>
    <row r="66" spans="1:18" s="707" customFormat="1">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c r="A67" s="1270"/>
      <c r="B67" s="953"/>
      <c r="C67" s="953"/>
      <c r="K67" s="1155"/>
      <c r="O67" s="1172" t="s">
        <v>2142</v>
      </c>
      <c r="P67" s="1173" t="s">
        <v>2143</v>
      </c>
      <c r="Q67" s="1206">
        <f ca="1">C41+J31</f>
        <v>0</v>
      </c>
      <c r="R67" s="1173" t="s">
        <v>2144</v>
      </c>
    </row>
    <row r="68" spans="1:18" s="707" customFormat="1" ht="19.5">
      <c r="A68" s="1270"/>
      <c r="B68" s="953"/>
      <c r="C68" s="953"/>
      <c r="K68" s="1155"/>
      <c r="O68" s="1172" t="s">
        <v>2147</v>
      </c>
      <c r="P68" s="1173" t="s">
        <v>2177</v>
      </c>
      <c r="Q68" s="1206" t="e">
        <f ca="1">L61</f>
        <v>#DIV/0!</v>
      </c>
      <c r="R68" s="1208" t="s">
        <v>2178</v>
      </c>
    </row>
    <row r="69" spans="1:18" s="707" customFormat="1" ht="21">
      <c r="A69" s="1270"/>
      <c r="B69" s="953"/>
      <c r="C69" s="953"/>
      <c r="K69" s="1155"/>
      <c r="O69" s="1178" t="s">
        <v>2152</v>
      </c>
      <c r="P69" s="1173" t="s">
        <v>2181</v>
      </c>
      <c r="Q69" s="1213">
        <f ca="1">L52</f>
        <v>0</v>
      </c>
      <c r="R69" s="1214" t="s">
        <v>2198</v>
      </c>
    </row>
    <row r="70" spans="1:18" s="707" customFormat="1" ht="19.5">
      <c r="A70" s="1270"/>
      <c r="B70" s="953"/>
      <c r="C70" s="953"/>
      <c r="K70" s="1155"/>
      <c r="O70" s="1178" t="s">
        <v>2156</v>
      </c>
      <c r="P70" s="1212" t="s">
        <v>2199</v>
      </c>
      <c r="Q70" s="1206">
        <f ca="1">ROUND(Q71-Q72*Q73,0)</f>
        <v>0</v>
      </c>
      <c r="R70" s="1208"/>
    </row>
    <row r="71" spans="1:18" s="707" customFormat="1">
      <c r="A71" s="1270"/>
      <c r="B71" s="953"/>
      <c r="C71" s="953"/>
      <c r="K71" s="1155"/>
      <c r="O71" s="1178" t="s">
        <v>2200</v>
      </c>
      <c r="P71" s="1212" t="s">
        <v>2201</v>
      </c>
      <c r="Q71" s="1206">
        <f ca="1">C42</f>
        <v>0</v>
      </c>
      <c r="R71" s="1173" t="s">
        <v>2144</v>
      </c>
    </row>
    <row r="72" spans="1:18" s="707" customFormat="1">
      <c r="A72" s="1270"/>
      <c r="B72" s="953"/>
      <c r="C72" s="953"/>
      <c r="K72" s="1155"/>
      <c r="O72" s="1178" t="s">
        <v>2202</v>
      </c>
      <c r="P72" s="1212" t="s">
        <v>2203</v>
      </c>
      <c r="Q72" s="1206">
        <f ca="1">C15</f>
        <v>0</v>
      </c>
      <c r="R72" s="1173" t="s">
        <v>2144</v>
      </c>
    </row>
    <row r="73" spans="1:18" s="707" customFormat="1">
      <c r="A73" s="1270"/>
      <c r="B73" s="953"/>
      <c r="C73" s="953"/>
      <c r="K73" s="1155"/>
      <c r="O73" s="1178" t="s">
        <v>2204</v>
      </c>
      <c r="P73" s="1212" t="s">
        <v>2205</v>
      </c>
      <c r="Q73" s="1207">
        <f ca="1">F43</f>
        <v>0</v>
      </c>
      <c r="R73" s="1208"/>
    </row>
    <row r="74" spans="1:18" s="707" customFormat="1">
      <c r="A74" s="1270"/>
      <c r="B74" s="953"/>
      <c r="C74" s="953"/>
      <c r="K74" s="1155"/>
      <c r="O74" s="1178" t="s">
        <v>2159</v>
      </c>
      <c r="P74" s="1173" t="s">
        <v>2184</v>
      </c>
      <c r="Q74" s="1207">
        <f>L53</f>
        <v>0</v>
      </c>
      <c r="R74" s="1208"/>
    </row>
    <row r="75" spans="1:18" s="707" customFormat="1" ht="19.5">
      <c r="A75" s="1270"/>
      <c r="B75" s="953"/>
      <c r="C75" s="953"/>
      <c r="K75" s="1155"/>
      <c r="O75" s="1178" t="s">
        <v>2162</v>
      </c>
      <c r="P75" s="1173" t="s">
        <v>2185</v>
      </c>
      <c r="Q75" s="1206">
        <f ca="1">L59</f>
        <v>0</v>
      </c>
      <c r="R75" s="1208" t="s">
        <v>2186</v>
      </c>
    </row>
    <row r="76" spans="1:18" s="707" customFormat="1" ht="19.5">
      <c r="A76" s="1270"/>
      <c r="B76" s="953"/>
      <c r="C76" s="953"/>
      <c r="K76" s="1155"/>
      <c r="O76" s="1178" t="s">
        <v>2206</v>
      </c>
      <c r="P76" s="1173" t="s">
        <v>2192</v>
      </c>
      <c r="Q76" s="1206">
        <f ca="1">L60</f>
        <v>0</v>
      </c>
      <c r="R76" s="1208" t="s">
        <v>2193</v>
      </c>
    </row>
    <row r="77" spans="1:18" s="707" customFormat="1">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80" zoomScaleNormal="60" zoomScaleSheetLayoutView="80" workbookViewId="0">
      <selection activeCell="K24" sqref="K24"/>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5">
      <c r="A4" s="223" t="s">
        <v>1022</v>
      </c>
      <c r="B4" s="224"/>
      <c r="C4" s="3864" t="s">
        <v>1023</v>
      </c>
      <c r="D4" s="3865"/>
      <c r="E4" s="3880" t="s">
        <v>1024</v>
      </c>
      <c r="F4" s="3881"/>
      <c r="G4" s="3864" t="s">
        <v>1025</v>
      </c>
      <c r="H4" s="3865"/>
      <c r="I4" s="3864" t="s">
        <v>1026</v>
      </c>
      <c r="J4" s="3865"/>
      <c r="K4" s="63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8" t="s">
        <v>1025</v>
      </c>
      <c r="AC4" s="3828" t="s">
        <v>1026</v>
      </c>
    </row>
    <row r="5" spans="1:29" ht="15">
      <c r="A5" s="225"/>
      <c r="B5" s="226"/>
      <c r="C5" s="3866" t="s">
        <v>1029</v>
      </c>
      <c r="D5" s="3867"/>
      <c r="E5" s="3941" t="s">
        <v>2688</v>
      </c>
      <c r="F5" s="3883"/>
      <c r="G5" s="3942" t="s">
        <v>2686</v>
      </c>
      <c r="H5" s="3867"/>
      <c r="I5" s="3942" t="s">
        <v>2687</v>
      </c>
      <c r="J5" s="3867"/>
      <c r="K5" s="639"/>
      <c r="L5" s="389"/>
      <c r="M5" s="390"/>
      <c r="N5" s="390"/>
      <c r="O5" s="390"/>
      <c r="P5" s="3837"/>
      <c r="Q5" s="3838"/>
      <c r="R5" s="3843"/>
      <c r="S5" s="3844"/>
      <c r="T5" s="3843"/>
      <c r="U5" s="3844"/>
      <c r="V5" s="3847"/>
      <c r="W5" s="3847"/>
      <c r="X5" s="460"/>
      <c r="Y5" s="3843"/>
      <c r="Z5" s="3844"/>
      <c r="AA5" s="3829"/>
      <c r="AB5" s="3829"/>
      <c r="AC5" s="3829"/>
    </row>
    <row r="6" spans="1:29" ht="15">
      <c r="A6" s="227"/>
      <c r="B6" s="228"/>
      <c r="C6" s="3877" t="s">
        <v>1033</v>
      </c>
      <c r="D6" s="3862"/>
      <c r="E6" s="3878" t="s">
        <v>1033</v>
      </c>
      <c r="F6" s="3879"/>
      <c r="G6" s="3877" t="s">
        <v>1033</v>
      </c>
      <c r="H6" s="3862"/>
      <c r="I6" s="3877" t="s">
        <v>1033</v>
      </c>
      <c r="J6" s="3862"/>
      <c r="K6" s="639" t="s">
        <v>1034</v>
      </c>
      <c r="L6" s="389"/>
      <c r="M6" s="390"/>
      <c r="N6" s="390"/>
      <c r="O6" s="390"/>
      <c r="P6" s="3839"/>
      <c r="Q6" s="3840"/>
      <c r="R6" s="3843"/>
      <c r="S6" s="3844"/>
      <c r="T6" s="3845"/>
      <c r="U6" s="3846"/>
      <c r="V6" s="3847"/>
      <c r="W6" s="3847"/>
      <c r="X6" s="460"/>
      <c r="Y6" s="3845"/>
      <c r="Z6" s="3846"/>
      <c r="AA6" s="3830"/>
      <c r="AB6" s="3830"/>
      <c r="AC6" s="3830"/>
    </row>
    <row r="7" spans="1:29" s="199" customFormat="1" ht="15">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53" t="s">
        <v>1036</v>
      </c>
      <c r="Q7" s="3863"/>
      <c r="R7" s="461" t="s">
        <v>1037</v>
      </c>
      <c r="S7" s="462">
        <f t="shared" ref="S7:S15" si="0">F7</f>
        <v>100</v>
      </c>
      <c r="T7" s="461" t="s">
        <v>1037</v>
      </c>
      <c r="U7" s="462">
        <f t="shared" ref="U7:U15" si="1">H7</f>
        <v>100</v>
      </c>
      <c r="V7" s="461" t="s">
        <v>1037</v>
      </c>
      <c r="W7" s="462">
        <f t="shared" ref="W7:W15" si="2">J7</f>
        <v>100</v>
      </c>
      <c r="X7" s="463"/>
      <c r="Y7" s="3853" t="s">
        <v>1036</v>
      </c>
      <c r="Z7" s="3854"/>
      <c r="AA7" s="480">
        <f>D7/F7</f>
        <v>1</v>
      </c>
      <c r="AB7" s="480">
        <f>D7/H7</f>
        <v>1</v>
      </c>
      <c r="AC7" s="480">
        <f>D7/J7</f>
        <v>1</v>
      </c>
    </row>
    <row r="8" spans="1:29" s="199" customFormat="1" ht="15">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53" t="s">
        <v>1041</v>
      </c>
      <c r="Q8" s="3854"/>
      <c r="R8" s="461" t="s">
        <v>1037</v>
      </c>
      <c r="S8" s="462">
        <f t="shared" si="0"/>
        <v>100</v>
      </c>
      <c r="T8" s="461" t="s">
        <v>1037</v>
      </c>
      <c r="U8" s="462">
        <f t="shared" si="1"/>
        <v>100</v>
      </c>
      <c r="V8" s="461" t="s">
        <v>1037</v>
      </c>
      <c r="W8" s="462">
        <f t="shared" si="2"/>
        <v>100</v>
      </c>
      <c r="X8" s="463"/>
      <c r="Y8" s="3853" t="s">
        <v>1041</v>
      </c>
      <c r="Z8" s="3854"/>
      <c r="AA8" s="480">
        <f t="shared" ref="AA8:AA46" si="3">D8/F8</f>
        <v>1</v>
      </c>
      <c r="AB8" s="480">
        <f t="shared" ref="AB8:AB46" si="4">D8/H8</f>
        <v>1</v>
      </c>
      <c r="AC8" s="480">
        <f t="shared" ref="AC8:AC46" si="5">D8/J8</f>
        <v>1</v>
      </c>
    </row>
    <row r="9" spans="1:29" s="199" customFormat="1" ht="15">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7">
      <c r="A10" s="244"/>
      <c r="B10" s="237" t="s">
        <v>1045</v>
      </c>
      <c r="C10" s="245" t="s">
        <v>2697</v>
      </c>
      <c r="D10" s="246">
        <v>100</v>
      </c>
      <c r="E10" s="247" t="s">
        <v>2697</v>
      </c>
      <c r="F10" s="556">
        <f>SUMIF(65:65,E10,66:66)-SUMIF(65:65,C10,66:66)+100</f>
        <v>100</v>
      </c>
      <c r="G10" s="245" t="s">
        <v>2697</v>
      </c>
      <c r="H10" s="246">
        <f>SUMIF(65:65,G10,66:66)-SUMIF(65:65,C10,66:66)+100</f>
        <v>100</v>
      </c>
      <c r="I10" s="245" t="s">
        <v>2697</v>
      </c>
      <c r="J10" s="246">
        <f>SUMIF(65:65,I10,66:66)-SUMIF(65:65,C10,66:66)+100</f>
        <v>100</v>
      </c>
      <c r="K10" s="640"/>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48"/>
      <c r="Q11" s="464" t="str">
        <f t="shared" si="6"/>
        <v>容积率</v>
      </c>
      <c r="R11" s="461" t="s">
        <v>1037</v>
      </c>
      <c r="S11" s="462">
        <f t="shared" si="0"/>
        <v>100</v>
      </c>
      <c r="T11" s="461" t="s">
        <v>1037</v>
      </c>
      <c r="U11" s="462">
        <f t="shared" si="1"/>
        <v>100</v>
      </c>
      <c r="V11" s="461" t="s">
        <v>1037</v>
      </c>
      <c r="W11" s="462">
        <f t="shared" si="2"/>
        <v>100</v>
      </c>
      <c r="X11" s="463"/>
      <c r="Y11" s="3814"/>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99.75">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55" t="s">
        <v>1049</v>
      </c>
      <c r="Q15" s="395" t="str">
        <f t="shared" si="6"/>
        <v>居住社区成熟度</v>
      </c>
      <c r="R15" s="465" t="s">
        <v>1037</v>
      </c>
      <c r="S15" s="466">
        <f t="shared" si="0"/>
        <v>100</v>
      </c>
      <c r="T15" s="465" t="s">
        <v>1037</v>
      </c>
      <c r="U15" s="466">
        <f t="shared" si="1"/>
        <v>100</v>
      </c>
      <c r="V15" s="465" t="s">
        <v>1037</v>
      </c>
      <c r="W15" s="466">
        <f t="shared" si="2"/>
        <v>100</v>
      </c>
      <c r="X15" s="460"/>
      <c r="Y15" s="3855"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56"/>
      <c r="Q16" s="395"/>
      <c r="R16" s="465"/>
      <c r="S16" s="466"/>
      <c r="T16" s="465"/>
      <c r="U16" s="466"/>
      <c r="V16" s="465"/>
      <c r="W16" s="466"/>
      <c r="X16" s="460"/>
      <c r="Y16" s="385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3</v>
      </c>
      <c r="L17" s="402"/>
      <c r="M17" s="390"/>
      <c r="N17" s="390"/>
      <c r="O17" s="401"/>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84"/>
      <c r="C18" s="277" t="s">
        <v>2720</v>
      </c>
      <c r="D18" s="269"/>
      <c r="E18" s="277" t="s">
        <v>2720</v>
      </c>
      <c r="F18" s="280"/>
      <c r="G18" s="277" t="s">
        <v>2720</v>
      </c>
      <c r="H18" s="267"/>
      <c r="I18" s="277" t="s">
        <v>2720</v>
      </c>
      <c r="J18" s="267"/>
      <c r="K18" s="644"/>
      <c r="L18" s="402"/>
      <c r="M18" s="390"/>
      <c r="N18" s="390"/>
      <c r="O18" s="401"/>
      <c r="P18" s="3856"/>
      <c r="Q18" s="395"/>
      <c r="R18" s="465"/>
      <c r="S18" s="466"/>
      <c r="T18" s="465"/>
      <c r="U18" s="466"/>
      <c r="V18" s="465"/>
      <c r="W18" s="466"/>
      <c r="X18" s="460"/>
      <c r="Y18" s="385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3</v>
      </c>
      <c r="L19" s="402"/>
      <c r="M19" s="390"/>
      <c r="N19" s="390"/>
      <c r="O19" s="401"/>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84"/>
      <c r="C20" s="277" t="s">
        <v>2720</v>
      </c>
      <c r="D20" s="267"/>
      <c r="E20" s="277" t="s">
        <v>2720</v>
      </c>
      <c r="F20" s="268"/>
      <c r="G20" s="277" t="s">
        <v>2720</v>
      </c>
      <c r="H20" s="267"/>
      <c r="I20" s="277" t="s">
        <v>2720</v>
      </c>
      <c r="J20" s="267"/>
      <c r="K20" s="644"/>
      <c r="L20" s="402"/>
      <c r="M20" s="390"/>
      <c r="N20" s="390"/>
      <c r="O20" s="401"/>
      <c r="P20" s="3856"/>
      <c r="Q20" s="395"/>
      <c r="R20" s="465"/>
      <c r="S20" s="466"/>
      <c r="T20" s="465"/>
      <c r="U20" s="466"/>
      <c r="V20" s="465"/>
      <c r="W20" s="466"/>
      <c r="X20" s="460"/>
      <c r="Y20" s="385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56"/>
      <c r="Q22" s="395"/>
      <c r="R22" s="465"/>
      <c r="S22" s="466"/>
      <c r="T22" s="465"/>
      <c r="U22" s="466"/>
      <c r="V22" s="465"/>
      <c r="W22" s="466"/>
      <c r="X22" s="460"/>
      <c r="Y22" s="3856"/>
      <c r="Z22" s="459"/>
      <c r="AA22" s="471">
        <v>1</v>
      </c>
      <c r="AB22" s="471">
        <v>1</v>
      </c>
      <c r="AC22" s="471">
        <v>1</v>
      </c>
    </row>
    <row r="23" spans="1:29" ht="57">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3</v>
      </c>
      <c r="L23" s="402"/>
      <c r="M23" s="390"/>
      <c r="N23" s="390"/>
      <c r="O23" s="401"/>
      <c r="P23" s="3856"/>
      <c r="Q23" s="395" t="str">
        <f>B23</f>
        <v>自然及人文环境</v>
      </c>
      <c r="R23" s="465" t="s">
        <v>1037</v>
      </c>
      <c r="S23" s="466">
        <f>F23</f>
        <v>100</v>
      </c>
      <c r="T23" s="465" t="s">
        <v>1037</v>
      </c>
      <c r="U23" s="466">
        <f>H23</f>
        <v>100</v>
      </c>
      <c r="V23" s="465" t="s">
        <v>1037</v>
      </c>
      <c r="W23" s="466">
        <f>J23</f>
        <v>100</v>
      </c>
      <c r="X23" s="460"/>
      <c r="Y23" s="3856"/>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56"/>
      <c r="Q24" s="395"/>
      <c r="R24" s="465"/>
      <c r="S24" s="466"/>
      <c r="T24" s="465"/>
      <c r="U24" s="466"/>
      <c r="V24" s="465"/>
      <c r="W24" s="466"/>
      <c r="X24" s="460"/>
      <c r="Y24" s="3856"/>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56"/>
      <c r="Q25" s="395" t="str">
        <f t="shared" ref="Q25:Q46" si="8">B25</f>
        <v>楼层-1</v>
      </c>
      <c r="R25" s="465" t="s">
        <v>1037</v>
      </c>
      <c r="S25" s="466">
        <f>F25</f>
        <v>100</v>
      </c>
      <c r="T25" s="465" t="s">
        <v>1037</v>
      </c>
      <c r="U25" s="466">
        <f>H25</f>
        <v>100</v>
      </c>
      <c r="V25" s="465" t="s">
        <v>1037</v>
      </c>
      <c r="W25" s="466">
        <f>J25</f>
        <v>100</v>
      </c>
      <c r="X25" s="460"/>
      <c r="Y25" s="3856"/>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56"/>
      <c r="Q26" s="395" t="str">
        <f t="shared" si="8"/>
        <v>朝向</v>
      </c>
      <c r="R26" s="465" t="s">
        <v>1037</v>
      </c>
      <c r="S26" s="466">
        <f>F26</f>
        <v>100</v>
      </c>
      <c r="T26" s="465" t="s">
        <v>1037</v>
      </c>
      <c r="U26" s="466">
        <f>H26</f>
        <v>100</v>
      </c>
      <c r="V26" s="465" t="s">
        <v>1037</v>
      </c>
      <c r="W26" s="466">
        <f>J26</f>
        <v>100</v>
      </c>
      <c r="X26" s="460"/>
      <c r="Y26" s="3856"/>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56"/>
      <c r="Q27" s="464" t="str">
        <f t="shared" si="8"/>
        <v>道路级别</v>
      </c>
      <c r="R27" s="461" t="s">
        <v>1037</v>
      </c>
      <c r="S27" s="462">
        <f>F27</f>
        <v>100</v>
      </c>
      <c r="T27" s="461" t="s">
        <v>1037</v>
      </c>
      <c r="U27" s="462">
        <f>H27</f>
        <v>100</v>
      </c>
      <c r="V27" s="461" t="s">
        <v>1037</v>
      </c>
      <c r="W27" s="462">
        <f>J27</f>
        <v>100</v>
      </c>
      <c r="X27" s="463"/>
      <c r="Y27" s="3856"/>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56"/>
      <c r="Q28" s="395">
        <f t="shared" si="8"/>
        <v>111</v>
      </c>
      <c r="R28" s="465" t="s">
        <v>1037</v>
      </c>
      <c r="S28" s="466">
        <f t="shared" ref="S28:S46" si="9">F28</f>
        <v>100</v>
      </c>
      <c r="T28" s="465" t="s">
        <v>1037</v>
      </c>
      <c r="U28" s="466">
        <f t="shared" ref="U28:U46" si="10">H28</f>
        <v>100</v>
      </c>
      <c r="V28" s="465" t="s">
        <v>1037</v>
      </c>
      <c r="W28" s="466">
        <f t="shared" ref="W28:W46" si="11">J28</f>
        <v>100</v>
      </c>
      <c r="X28" s="460"/>
      <c r="Y28" s="3856"/>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56"/>
      <c r="Q29" s="395">
        <f t="shared" si="8"/>
        <v>111</v>
      </c>
      <c r="R29" s="465" t="s">
        <v>1037</v>
      </c>
      <c r="S29" s="466">
        <f t="shared" si="9"/>
        <v>100</v>
      </c>
      <c r="T29" s="465" t="s">
        <v>1037</v>
      </c>
      <c r="U29" s="466">
        <f t="shared" si="10"/>
        <v>100</v>
      </c>
      <c r="V29" s="465" t="s">
        <v>1037</v>
      </c>
      <c r="W29" s="466">
        <f t="shared" si="11"/>
        <v>100</v>
      </c>
      <c r="X29" s="460"/>
      <c r="Y29" s="385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56"/>
      <c r="Q30" s="395">
        <f t="shared" si="8"/>
        <v>111</v>
      </c>
      <c r="R30" s="465" t="s">
        <v>1037</v>
      </c>
      <c r="S30" s="466">
        <f t="shared" si="9"/>
        <v>100</v>
      </c>
      <c r="T30" s="465" t="s">
        <v>1037</v>
      </c>
      <c r="U30" s="466">
        <f t="shared" si="10"/>
        <v>100</v>
      </c>
      <c r="V30" s="465" t="s">
        <v>1037</v>
      </c>
      <c r="W30" s="466">
        <f t="shared" si="11"/>
        <v>100</v>
      </c>
      <c r="X30" s="460"/>
      <c r="Y30" s="3856"/>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56"/>
      <c r="Q31" s="395">
        <f t="shared" si="8"/>
        <v>111</v>
      </c>
      <c r="R31" s="465" t="s">
        <v>1037</v>
      </c>
      <c r="S31" s="466">
        <f t="shared" si="9"/>
        <v>100</v>
      </c>
      <c r="T31" s="465" t="s">
        <v>1037</v>
      </c>
      <c r="U31" s="466">
        <f t="shared" si="10"/>
        <v>100</v>
      </c>
      <c r="V31" s="465" t="s">
        <v>1037</v>
      </c>
      <c r="W31" s="466">
        <f t="shared" si="11"/>
        <v>100</v>
      </c>
      <c r="X31" s="460"/>
      <c r="Y31" s="3856"/>
      <c r="Z31" s="459">
        <f t="shared" si="12"/>
        <v>111</v>
      </c>
      <c r="AA31" s="471">
        <f t="shared" si="3"/>
        <v>1</v>
      </c>
      <c r="AB31" s="471">
        <f t="shared" si="4"/>
        <v>1</v>
      </c>
      <c r="AC31" s="471">
        <f t="shared" si="5"/>
        <v>1</v>
      </c>
    </row>
    <row r="32" spans="1:29" ht="28.5">
      <c r="A32" s="292" t="s">
        <v>1054</v>
      </c>
      <c r="B32" s="293" t="s">
        <v>2402</v>
      </c>
      <c r="C32" s="614" t="s">
        <v>2698</v>
      </c>
      <c r="D32" s="295">
        <v>100</v>
      </c>
      <c r="E32" s="614" t="s">
        <v>2698</v>
      </c>
      <c r="F32" s="286">
        <f>SUMIF(100:100,E32,101:101)-SUMIF(100:100,C32,101:101)+100</f>
        <v>100</v>
      </c>
      <c r="G32" s="614" t="s">
        <v>2698</v>
      </c>
      <c r="H32" s="295">
        <f>SUMIF(100:100,G32,101:101)-SUMIF(100:100,C32,101:101)+100</f>
        <v>100</v>
      </c>
      <c r="I32" s="614" t="s">
        <v>2698</v>
      </c>
      <c r="J32" s="256">
        <f>SUMIF(100:100,I32,101:101)-SUMIF(100:100,C32,101:101)+100</f>
        <v>100</v>
      </c>
      <c r="K32" s="641">
        <v>2</v>
      </c>
      <c r="L32" s="402"/>
      <c r="M32" s="390"/>
      <c r="N32" s="390"/>
      <c r="O32" s="401"/>
      <c r="P32" s="3857" t="s">
        <v>1053</v>
      </c>
      <c r="Q32" s="395" t="str">
        <f t="shared" si="8"/>
        <v>建筑类型</v>
      </c>
      <c r="R32" s="465" t="s">
        <v>1037</v>
      </c>
      <c r="S32" s="466">
        <f t="shared" si="9"/>
        <v>100</v>
      </c>
      <c r="T32" s="465" t="s">
        <v>1037</v>
      </c>
      <c r="U32" s="466">
        <f t="shared" si="10"/>
        <v>100</v>
      </c>
      <c r="V32" s="465" t="s">
        <v>1037</v>
      </c>
      <c r="W32" s="466">
        <f t="shared" si="11"/>
        <v>100</v>
      </c>
      <c r="X32" s="460"/>
      <c r="Y32" s="3858"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58"/>
      <c r="Q33" s="467" t="str">
        <f t="shared" si="8"/>
        <v>项目建筑规模</v>
      </c>
      <c r="R33" s="468" t="s">
        <v>1037</v>
      </c>
      <c r="S33" s="469">
        <f t="shared" si="9"/>
        <v>100</v>
      </c>
      <c r="T33" s="468" t="s">
        <v>1037</v>
      </c>
      <c r="U33" s="469">
        <f t="shared" si="10"/>
        <v>100</v>
      </c>
      <c r="V33" s="468" t="s">
        <v>1037</v>
      </c>
      <c r="W33" s="469">
        <f t="shared" si="11"/>
        <v>100</v>
      </c>
      <c r="X33" s="470"/>
      <c r="Y33" s="3858"/>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58"/>
      <c r="Q34" s="395" t="str">
        <f t="shared" si="8"/>
        <v>建筑结构</v>
      </c>
      <c r="R34" s="465" t="s">
        <v>1037</v>
      </c>
      <c r="S34" s="466">
        <f t="shared" si="9"/>
        <v>100</v>
      </c>
      <c r="T34" s="465" t="s">
        <v>1037</v>
      </c>
      <c r="U34" s="466">
        <f t="shared" si="10"/>
        <v>100</v>
      </c>
      <c r="V34" s="465" t="s">
        <v>1037</v>
      </c>
      <c r="W34" s="466">
        <f t="shared" si="11"/>
        <v>100</v>
      </c>
      <c r="X34" s="460"/>
      <c r="Y34" s="3858"/>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58"/>
      <c r="Q35" s="395" t="str">
        <f t="shared" si="8"/>
        <v>建筑品质</v>
      </c>
      <c r="R35" s="465" t="s">
        <v>1037</v>
      </c>
      <c r="S35" s="466">
        <f t="shared" si="9"/>
        <v>100</v>
      </c>
      <c r="T35" s="465" t="s">
        <v>1037</v>
      </c>
      <c r="U35" s="466">
        <f t="shared" si="10"/>
        <v>100</v>
      </c>
      <c r="V35" s="465" t="s">
        <v>1037</v>
      </c>
      <c r="W35" s="466">
        <f t="shared" si="11"/>
        <v>100</v>
      </c>
      <c r="X35" s="460"/>
      <c r="Y35" s="3858"/>
      <c r="Z35" s="459" t="str">
        <f t="shared" si="12"/>
        <v>建筑品质</v>
      </c>
      <c r="AA35" s="471">
        <f t="shared" si="3"/>
        <v>1</v>
      </c>
      <c r="AB35" s="471">
        <f t="shared" si="4"/>
        <v>1</v>
      </c>
      <c r="AC35" s="471">
        <f t="shared" si="5"/>
        <v>1</v>
      </c>
    </row>
    <row r="36" spans="1:29" ht="15">
      <c r="A36" s="302"/>
      <c r="B36" s="298" t="s">
        <v>2406</v>
      </c>
      <c r="C36" s="590" t="s">
        <v>2690</v>
      </c>
      <c r="D36" s="256">
        <v>100</v>
      </c>
      <c r="E36" s="590" t="s">
        <v>2690</v>
      </c>
      <c r="F36" s="286">
        <f>SUMIF(109:109,E36,110:110)-SUMIF(109:109,C36,110:110)+100</f>
        <v>100</v>
      </c>
      <c r="G36" s="590" t="s">
        <v>2690</v>
      </c>
      <c r="H36" s="256">
        <f>SUMIF(109:109,G36,110:110)-SUMIF(109:109,C36,110:110)+100</f>
        <v>100</v>
      </c>
      <c r="I36" s="590" t="s">
        <v>2690</v>
      </c>
      <c r="J36" s="256">
        <f>SUMIF(109:109,I36,110:110)-SUMIF(109:109,C36,110:110)+100</f>
        <v>100</v>
      </c>
      <c r="K36" s="641">
        <v>2</v>
      </c>
      <c r="L36" s="402"/>
      <c r="M36" s="390"/>
      <c r="N36" s="390"/>
      <c r="O36" s="401"/>
      <c r="P36" s="3858"/>
      <c r="Q36" s="395" t="str">
        <f t="shared" si="8"/>
        <v>公共部分装修</v>
      </c>
      <c r="R36" s="465" t="s">
        <v>1037</v>
      </c>
      <c r="S36" s="466">
        <f t="shared" si="9"/>
        <v>100</v>
      </c>
      <c r="T36" s="465" t="s">
        <v>1037</v>
      </c>
      <c r="U36" s="466">
        <f t="shared" si="10"/>
        <v>100</v>
      </c>
      <c r="V36" s="465" t="s">
        <v>1037</v>
      </c>
      <c r="W36" s="466">
        <f t="shared" si="11"/>
        <v>100</v>
      </c>
      <c r="X36" s="460"/>
      <c r="Y36" s="3858"/>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58"/>
      <c r="Q37" s="464" t="str">
        <f t="shared" si="8"/>
        <v>成新度</v>
      </c>
      <c r="R37" s="461" t="s">
        <v>1037</v>
      </c>
      <c r="S37" s="462">
        <f t="shared" si="9"/>
        <v>100</v>
      </c>
      <c r="T37" s="461" t="s">
        <v>1037</v>
      </c>
      <c r="U37" s="462">
        <f t="shared" si="10"/>
        <v>100</v>
      </c>
      <c r="V37" s="461" t="s">
        <v>1037</v>
      </c>
      <c r="W37" s="462">
        <f t="shared" si="11"/>
        <v>100</v>
      </c>
      <c r="X37" s="463"/>
      <c r="Y37" s="3858"/>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58" t="s">
        <v>1053</v>
      </c>
      <c r="Q38" s="395" t="str">
        <f t="shared" si="8"/>
        <v>物业管理</v>
      </c>
      <c r="R38" s="465" t="s">
        <v>1037</v>
      </c>
      <c r="S38" s="466">
        <f t="shared" si="9"/>
        <v>100</v>
      </c>
      <c r="T38" s="465" t="s">
        <v>1037</v>
      </c>
      <c r="U38" s="466">
        <f t="shared" si="10"/>
        <v>100</v>
      </c>
      <c r="V38" s="465" t="s">
        <v>1037</v>
      </c>
      <c r="W38" s="466">
        <f t="shared" si="11"/>
        <v>100</v>
      </c>
      <c r="X38" s="460"/>
      <c r="Y38" s="3858"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58"/>
      <c r="Q39" s="395" t="str">
        <f t="shared" si="8"/>
        <v>市政基础设施</v>
      </c>
      <c r="R39" s="465" t="s">
        <v>1037</v>
      </c>
      <c r="S39" s="466">
        <f t="shared" si="9"/>
        <v>100</v>
      </c>
      <c r="T39" s="465" t="s">
        <v>1037</v>
      </c>
      <c r="U39" s="466">
        <f t="shared" si="10"/>
        <v>100</v>
      </c>
      <c r="V39" s="465" t="s">
        <v>1037</v>
      </c>
      <c r="W39" s="466">
        <f t="shared" si="11"/>
        <v>100</v>
      </c>
      <c r="X39" s="460"/>
      <c r="Y39" s="3858"/>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58"/>
      <c r="Q40" s="395" t="str">
        <f t="shared" si="8"/>
        <v>房型</v>
      </c>
      <c r="R40" s="465" t="s">
        <v>1037</v>
      </c>
      <c r="S40" s="466">
        <f t="shared" si="9"/>
        <v>100</v>
      </c>
      <c r="T40" s="465" t="s">
        <v>1037</v>
      </c>
      <c r="U40" s="466">
        <f t="shared" si="10"/>
        <v>100</v>
      </c>
      <c r="V40" s="465" t="s">
        <v>1037</v>
      </c>
      <c r="W40" s="466">
        <f t="shared" si="11"/>
        <v>100</v>
      </c>
      <c r="X40" s="460"/>
      <c r="Y40" s="3858"/>
      <c r="Z40" s="459" t="str">
        <f t="shared" si="12"/>
        <v>房型</v>
      </c>
      <c r="AA40" s="471">
        <f t="shared" si="3"/>
        <v>1</v>
      </c>
      <c r="AB40" s="471">
        <f t="shared" si="4"/>
        <v>1</v>
      </c>
      <c r="AC40" s="471">
        <f t="shared" si="5"/>
        <v>1</v>
      </c>
    </row>
    <row r="41" spans="1:29" s="201" customFormat="1" ht="28.5">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58"/>
      <c r="Q41" s="467" t="str">
        <f t="shared" si="8"/>
        <v>单套/主力户型建筑面积</v>
      </c>
      <c r="R41" s="468" t="s">
        <v>1037</v>
      </c>
      <c r="S41" s="469">
        <f t="shared" si="9"/>
        <v>100</v>
      </c>
      <c r="T41" s="468" t="s">
        <v>1037</v>
      </c>
      <c r="U41" s="469">
        <f t="shared" si="10"/>
        <v>100</v>
      </c>
      <c r="V41" s="468" t="s">
        <v>1037</v>
      </c>
      <c r="W41" s="469">
        <f t="shared" si="11"/>
        <v>100</v>
      </c>
      <c r="X41" s="470"/>
      <c r="Y41" s="3858"/>
      <c r="Z41" s="482" t="str">
        <f t="shared" si="12"/>
        <v>单套/主力户型建筑面积</v>
      </c>
      <c r="AA41" s="471">
        <f t="shared" si="3"/>
        <v>1</v>
      </c>
      <c r="AB41" s="471">
        <f t="shared" si="4"/>
        <v>1</v>
      </c>
      <c r="AC41" s="471">
        <f t="shared" si="5"/>
        <v>1</v>
      </c>
    </row>
    <row r="42" spans="1:29" ht="15">
      <c r="A42" s="302"/>
      <c r="B42" s="298" t="s">
        <v>2412</v>
      </c>
      <c r="C42" s="590" t="s">
        <v>2690</v>
      </c>
      <c r="D42" s="256">
        <v>100</v>
      </c>
      <c r="E42" s="590" t="s">
        <v>2690</v>
      </c>
      <c r="F42" s="286">
        <f>SUMIF(122:122,E42,123:123)-SUMIF(122:122,C42,123:123)+100</f>
        <v>100</v>
      </c>
      <c r="G42" s="590" t="s">
        <v>2690</v>
      </c>
      <c r="H42" s="256">
        <f>SUMIF(122:122,G42,123:123)-SUMIF(122:122,C42,123:123)+100</f>
        <v>100</v>
      </c>
      <c r="I42" s="590" t="s">
        <v>2690</v>
      </c>
      <c r="J42" s="256">
        <f>SUMIF(122:122,I42,123:123)-SUMIF(122:122,C42,123:123)+100</f>
        <v>100</v>
      </c>
      <c r="K42" s="641">
        <v>2</v>
      </c>
      <c r="L42" s="402"/>
      <c r="M42" s="390"/>
      <c r="N42" s="390"/>
      <c r="O42" s="401"/>
      <c r="P42" s="3858"/>
      <c r="Q42" s="395" t="str">
        <f t="shared" si="8"/>
        <v>内部装修</v>
      </c>
      <c r="R42" s="465" t="s">
        <v>1037</v>
      </c>
      <c r="S42" s="466">
        <f t="shared" si="9"/>
        <v>100</v>
      </c>
      <c r="T42" s="465" t="s">
        <v>1037</v>
      </c>
      <c r="U42" s="466">
        <f t="shared" si="10"/>
        <v>100</v>
      </c>
      <c r="V42" s="465" t="s">
        <v>1037</v>
      </c>
      <c r="W42" s="466">
        <f t="shared" si="11"/>
        <v>100</v>
      </c>
      <c r="X42" s="460"/>
      <c r="Y42" s="3858"/>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58"/>
      <c r="Q43" s="395" t="str">
        <f t="shared" si="8"/>
        <v>内部装修维护情况</v>
      </c>
      <c r="R43" s="465" t="s">
        <v>1037</v>
      </c>
      <c r="S43" s="466">
        <f t="shared" si="9"/>
        <v>100</v>
      </c>
      <c r="T43" s="465" t="s">
        <v>1037</v>
      </c>
      <c r="U43" s="466">
        <f t="shared" si="10"/>
        <v>100</v>
      </c>
      <c r="V43" s="465" t="s">
        <v>1037</v>
      </c>
      <c r="W43" s="466">
        <f t="shared" si="11"/>
        <v>100</v>
      </c>
      <c r="X43" s="460"/>
      <c r="Y43" s="385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58"/>
      <c r="Q44" s="464">
        <f t="shared" si="8"/>
        <v>111</v>
      </c>
      <c r="R44" s="461" t="s">
        <v>1037</v>
      </c>
      <c r="S44" s="462">
        <f t="shared" si="9"/>
        <v>100</v>
      </c>
      <c r="T44" s="461" t="s">
        <v>1037</v>
      </c>
      <c r="U44" s="462">
        <f t="shared" si="10"/>
        <v>100</v>
      </c>
      <c r="V44" s="461" t="s">
        <v>1037</v>
      </c>
      <c r="W44" s="462">
        <f t="shared" si="11"/>
        <v>100</v>
      </c>
      <c r="X44" s="463"/>
      <c r="Y44" s="385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58"/>
      <c r="Q45" s="395">
        <f t="shared" si="8"/>
        <v>111</v>
      </c>
      <c r="R45" s="465" t="s">
        <v>1037</v>
      </c>
      <c r="S45" s="466">
        <f t="shared" si="9"/>
        <v>100</v>
      </c>
      <c r="T45" s="465" t="s">
        <v>1037</v>
      </c>
      <c r="U45" s="466">
        <f t="shared" si="10"/>
        <v>100</v>
      </c>
      <c r="V45" s="465" t="s">
        <v>1037</v>
      </c>
      <c r="W45" s="466">
        <f t="shared" si="11"/>
        <v>100</v>
      </c>
      <c r="X45" s="460"/>
      <c r="Y45" s="3858"/>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40"/>
      <c r="Q46" s="395">
        <f t="shared" si="8"/>
        <v>111</v>
      </c>
      <c r="R46" s="465" t="s">
        <v>1037</v>
      </c>
      <c r="S46" s="466">
        <f t="shared" si="9"/>
        <v>100</v>
      </c>
      <c r="T46" s="465" t="s">
        <v>1037</v>
      </c>
      <c r="U46" s="466">
        <f t="shared" si="10"/>
        <v>100</v>
      </c>
      <c r="V46" s="465" t="s">
        <v>1037</v>
      </c>
      <c r="W46" s="466">
        <f t="shared" si="11"/>
        <v>100</v>
      </c>
      <c r="X46" s="460"/>
      <c r="Y46" s="3940"/>
      <c r="Z46" s="459">
        <f t="shared" si="12"/>
        <v>111</v>
      </c>
      <c r="AA46" s="471">
        <f t="shared" si="3"/>
        <v>1</v>
      </c>
      <c r="AB46" s="471">
        <f t="shared" si="4"/>
        <v>1</v>
      </c>
      <c r="AC46" s="471">
        <f t="shared" si="5"/>
        <v>1</v>
      </c>
    </row>
    <row r="47" spans="1:29" ht="15">
      <c r="A47" s="312" t="s">
        <v>2413</v>
      </c>
      <c r="B47" s="313"/>
      <c r="C47" s="314" t="s">
        <v>138</v>
      </c>
      <c r="D47" s="315"/>
      <c r="E47" s="316">
        <v>28999</v>
      </c>
      <c r="F47" s="317"/>
      <c r="G47" s="318">
        <v>28999</v>
      </c>
      <c r="H47" s="319"/>
      <c r="I47" s="316">
        <v>29000</v>
      </c>
      <c r="J47" s="319"/>
      <c r="K47" s="647"/>
      <c r="L47" s="410"/>
      <c r="M47" s="340"/>
      <c r="N47" s="390"/>
      <c r="O47" s="340"/>
      <c r="P47" s="3848" t="str">
        <f>A47</f>
        <v>成交单价（元/平方米）</v>
      </c>
      <c r="Q47" s="3848"/>
      <c r="R47" s="3938">
        <f>E47</f>
        <v>28999</v>
      </c>
      <c r="S47" s="3938"/>
      <c r="T47" s="3938">
        <f>G47</f>
        <v>28999</v>
      </c>
      <c r="U47" s="3938"/>
      <c r="V47" s="3938">
        <f>I47</f>
        <v>29000</v>
      </c>
      <c r="W47" s="3938"/>
      <c r="X47" s="342"/>
      <c r="Y47" s="483"/>
      <c r="Z47" s="342"/>
      <c r="AA47" s="342"/>
      <c r="AB47" s="342"/>
      <c r="AC47" s="342"/>
    </row>
    <row r="48" spans="1:29" ht="15">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48" t="str">
        <f>A48</f>
        <v>比较价格（元/平方米）</v>
      </c>
      <c r="Q48" s="3848"/>
      <c r="R48" s="3938">
        <f>IF(F1="售价",ROUND(PRODUCT(R47,AA7:AA46),0),ROUND(PRODUCT(R47,AA7:AA46),1))</f>
        <v>28999</v>
      </c>
      <c r="S48" s="3938"/>
      <c r="T48" s="3938">
        <f>IF(F1="售价",ROUND(PRODUCT(T47,AB7:AB46),0),ROUND(PRODUCT(T47,AB7:AB46),1))</f>
        <v>28999</v>
      </c>
      <c r="U48" s="3938"/>
      <c r="V48" s="3938">
        <f>IF(F1="售价",ROUND(PRODUCT(V47,AC7:AC46),0),ROUND(PRODUCT(V47,AC7:AC46),1))</f>
        <v>29000</v>
      </c>
      <c r="W48" s="3938"/>
      <c r="X48" s="342"/>
      <c r="Y48" s="342"/>
      <c r="Z48" s="342"/>
      <c r="AA48" s="342"/>
      <c r="AB48" s="342"/>
      <c r="AC48" s="342"/>
    </row>
    <row r="49" spans="1:29" ht="15">
      <c r="A49" s="326" t="s">
        <v>1064</v>
      </c>
      <c r="B49" s="327"/>
      <c r="C49" s="328">
        <f>R49</f>
        <v>28999</v>
      </c>
      <c r="D49" s="328"/>
      <c r="E49" s="328"/>
      <c r="F49" s="328"/>
      <c r="G49" s="328"/>
      <c r="H49" s="328"/>
      <c r="I49" s="328"/>
      <c r="J49" s="328"/>
      <c r="K49" s="648"/>
      <c r="L49" s="410"/>
      <c r="M49" s="340"/>
      <c r="N49" s="340"/>
      <c r="O49" s="340"/>
      <c r="P49" s="3850" t="str">
        <f>A49</f>
        <v>估价对象XX用房的比较价格（楼面单价，元/平方米）</v>
      </c>
      <c r="Q49" s="3851"/>
      <c r="R49" s="3939">
        <f>IF(F1="售价",ROUND(IF(D48="简单平均",AVERAGE(R48:V48),R48*F48+T48*H48+V48*J48),0),ROUND(IF(D48="简单平均",AVERAGE(R48:V48),R48*F48+T48*H48+V48*J48),1))</f>
        <v>28999</v>
      </c>
      <c r="S49" s="3939"/>
      <c r="T49" s="3939"/>
      <c r="U49" s="3939"/>
      <c r="V49" s="3939"/>
      <c r="W49" s="3939"/>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
      <c r="A65" s="364"/>
      <c r="B65" s="367" t="s">
        <v>1094</v>
      </c>
      <c r="C65" s="368" t="s">
        <v>2695</v>
      </c>
      <c r="D65" s="368" t="s">
        <v>2696</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7">
      <c r="A100" s="360" t="s">
        <v>1101</v>
      </c>
      <c r="B100" s="361" t="s">
        <v>2402</v>
      </c>
      <c r="C100" s="3633" t="s">
        <v>2699</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2221" t="s">
        <v>2689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2406</v>
      </c>
      <c r="C109" s="2221" t="s">
        <v>2691</v>
      </c>
      <c r="D109" s="2221" t="s">
        <v>2692</v>
      </c>
      <c r="E109" s="2221" t="s">
        <v>2693</v>
      </c>
      <c r="F109" s="3635" t="s">
        <v>2694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2221" t="s">
        <v>2691</v>
      </c>
      <c r="D122" s="2221" t="s">
        <v>2692</v>
      </c>
      <c r="E122" s="2221" t="s">
        <v>2693</v>
      </c>
      <c r="F122" s="3635" t="s">
        <v>2694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2207</v>
      </c>
      <c r="B1" s="955"/>
      <c r="C1" s="956" t="s">
        <v>438</v>
      </c>
      <c r="D1" s="957" t="s">
        <v>138</v>
      </c>
      <c r="E1" s="958" t="s">
        <v>614</v>
      </c>
      <c r="F1" s="959">
        <f ca="1">J53</f>
        <v>49.98</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33" t="s">
        <v>2040</v>
      </c>
      <c r="C6" s="982">
        <f ca="1">ROUND(F6*F8*F7*(1-F9)/10000,0)</f>
        <v>0</v>
      </c>
      <c r="D6" s="983" t="s">
        <v>2209</v>
      </c>
      <c r="E6" s="984" t="s">
        <v>2042</v>
      </c>
      <c r="F6" s="985">
        <f ca="1">INDIRECT("'数据-取费表'!u"&amp;$G$1)</f>
        <v>0</v>
      </c>
      <c r="G6" s="974"/>
      <c r="H6" s="986" t="s">
        <v>875</v>
      </c>
      <c r="I6" s="3933" t="s">
        <v>2040</v>
      </c>
      <c r="J6" s="982">
        <f ca="1">ROUND(M6*M8*M7*(1-M9)/10000,0)</f>
        <v>0</v>
      </c>
      <c r="K6" s="1056" t="s">
        <v>2210</v>
      </c>
      <c r="L6" s="984" t="s">
        <v>2042</v>
      </c>
      <c r="M6" s="985">
        <f ca="1">INDIRECT("'数据-取费表'!z"&amp;$G$1)</f>
        <v>0</v>
      </c>
    </row>
    <row r="7" spans="1:33" ht="18" customHeight="1">
      <c r="A7" s="987"/>
      <c r="B7" s="3934"/>
      <c r="C7" s="988"/>
      <c r="D7" s="989"/>
      <c r="E7" s="984" t="s">
        <v>2043</v>
      </c>
      <c r="F7" s="985">
        <f ca="1">IF(INDIRECT("'数据-取费表'!ah"&amp;$G$1)="",INDIRECT("'数据-取费表'!k"&amp;$G$1),INDIRECT("'数据-取费表'!ah"&amp;$G$1))</f>
        <v>10700</v>
      </c>
      <c r="G7" s="974"/>
      <c r="H7" s="990"/>
      <c r="I7" s="3934"/>
      <c r="J7" s="988"/>
      <c r="K7" s="989"/>
      <c r="L7" s="984" t="s">
        <v>2043</v>
      </c>
      <c r="M7" s="985">
        <f ca="1">F7</f>
        <v>10700</v>
      </c>
    </row>
    <row r="8" spans="1:33" ht="18" customHeight="1">
      <c r="A8" s="991"/>
      <c r="B8" s="3935"/>
      <c r="C8" s="988"/>
      <c r="D8" s="989"/>
      <c r="E8" s="984" t="s">
        <v>2044</v>
      </c>
      <c r="F8" s="985">
        <f ca="1">INDIRECT("'数据-取费表'!ai"&amp;$G$1)</f>
        <v>365</v>
      </c>
      <c r="G8" s="974"/>
      <c r="H8" s="990"/>
      <c r="I8" s="3935"/>
      <c r="J8" s="988"/>
      <c r="K8" s="989"/>
      <c r="L8" s="984" t="s">
        <v>2044</v>
      </c>
      <c r="M8" s="985">
        <f ca="1">INDIRECT("'数据-取费表'!ai"&amp;$G$1)</f>
        <v>365</v>
      </c>
    </row>
    <row r="9" spans="1:33" ht="18" customHeight="1">
      <c r="A9" s="992"/>
      <c r="B9" s="3936"/>
      <c r="C9" s="988"/>
      <c r="D9" s="989"/>
      <c r="E9" s="984" t="s">
        <v>2045</v>
      </c>
      <c r="F9" s="993">
        <f ca="1">INDIRECT("'数据-取费表'!w"&amp;$G$1)</f>
        <v>0</v>
      </c>
      <c r="G9" s="974"/>
      <c r="H9" s="994"/>
      <c r="I9" s="3935"/>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4653</v>
      </c>
      <c r="D14" s="1019" t="s">
        <v>2055</v>
      </c>
      <c r="E14" s="1020"/>
      <c r="F14" s="1021"/>
      <c r="G14" s="974"/>
      <c r="H14" s="1022" t="s">
        <v>875</v>
      </c>
      <c r="I14" s="1103" t="s">
        <v>2056</v>
      </c>
      <c r="J14" s="127">
        <f ca="1">C29</f>
        <v>6238</v>
      </c>
      <c r="K14" s="1104"/>
      <c r="L14" s="1120"/>
      <c r="M14" s="1121"/>
    </row>
    <row r="15" spans="1:33" s="949" customFormat="1" ht="18" customHeight="1">
      <c r="A15" s="1017" t="s">
        <v>904</v>
      </c>
      <c r="B15" s="984" t="s">
        <v>955</v>
      </c>
      <c r="C15" s="127">
        <f ca="1">ROUND(C14*F15,0)</f>
        <v>140</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31</v>
      </c>
      <c r="K16" s="1046" t="s">
        <v>2060</v>
      </c>
      <c r="L16" s="1047"/>
      <c r="M16" s="980"/>
    </row>
    <row r="17" spans="1:33" s="949" customFormat="1" ht="18" customHeight="1">
      <c r="A17" s="1017" t="s">
        <v>2212</v>
      </c>
      <c r="B17" s="984" t="s">
        <v>2061</v>
      </c>
      <c r="C17" s="127">
        <f ca="1">ROUND(F17*(F43+INDIRECT("'数据-取费表'!S"&amp;$G$1))/10000,0)</f>
        <v>222</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70</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5085</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102</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3221.3</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31.19</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326</v>
      </c>
      <c r="D23" s="1033" t="str">
        <f>IF(F23&lt;=1,"(建造成本+管理费用)×利率×(建设周期÷2)","(建造成本+管理费用)×((1+利率)^(建设周期÷2)-1)")</f>
        <v>(建造成本+管理费用)×((1+利率)^(建设周期÷2)-1)</v>
      </c>
      <c r="E23" s="984" t="s">
        <v>2089</v>
      </c>
      <c r="F23" s="1034">
        <f>'数据-取费表'!B20</f>
        <v>3</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1.2999999999999999E-3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-31</v>
      </c>
      <c r="K25" s="1066" t="s">
        <v>2099</v>
      </c>
      <c r="L25" s="1067"/>
      <c r="M25" s="1068"/>
    </row>
    <row r="26" spans="1:33" ht="18" customHeight="1">
      <c r="A26" s="1017" t="s">
        <v>900</v>
      </c>
      <c r="B26" s="984" t="s">
        <v>2100</v>
      </c>
      <c r="C26" s="127">
        <f ca="1">ROUND((C19+C20)*F26,0)</f>
        <v>259</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6238</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31</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3221.3</v>
      </c>
      <c r="G35" s="974"/>
      <c r="H35" s="1048"/>
      <c r="I35" s="1142" t="s">
        <v>2225</v>
      </c>
      <c r="J35" s="1143">
        <f ca="1">ROUND(C13*J36,0)</f>
        <v>0</v>
      </c>
      <c r="K35" s="1137"/>
      <c r="L35" s="1055"/>
      <c r="M35" s="1055"/>
    </row>
    <row r="36" spans="1:18" ht="18" customHeight="1">
      <c r="A36" s="1022" t="s">
        <v>877</v>
      </c>
      <c r="B36" s="984" t="s">
        <v>2086</v>
      </c>
      <c r="C36" s="127">
        <f ca="1">ROUND(C29*F36,2)</f>
        <v>31.19</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-31</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49.98</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6238</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-640</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49.98</v>
      </c>
      <c r="K53" s="3943" t="s">
        <v>2243</v>
      </c>
      <c r="L53" s="3944"/>
      <c r="M53" s="1160"/>
      <c r="O53" s="1178" t="s">
        <v>2162</v>
      </c>
      <c r="P53" s="1173" t="s">
        <v>2163</v>
      </c>
      <c r="Q53" s="1206">
        <f ca="1">J53</f>
        <v>49.98</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6238</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31</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c r="A62" s="1059"/>
      <c r="B62" s="1060"/>
      <c r="C62" s="1061"/>
      <c r="D62" s="1062"/>
      <c r="E62" s="984" t="s">
        <v>2083</v>
      </c>
      <c r="F62" s="985">
        <f t="shared" ca="1" si="0"/>
        <v>3221.3</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c r="A63" s="1022" t="s">
        <v>877</v>
      </c>
      <c r="B63" s="984" t="s">
        <v>2086</v>
      </c>
      <c r="C63" s="127">
        <f ca="1">ROUND(C56*F63,2)</f>
        <v>31.19</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75">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-31</v>
      </c>
      <c r="D66" s="1019" t="s">
        <v>2099</v>
      </c>
      <c r="E66" s="1210"/>
      <c r="F66" s="1211"/>
      <c r="K66" s="1155"/>
      <c r="O66" s="1172" t="s">
        <v>2142</v>
      </c>
      <c r="P66" s="1173" t="s">
        <v>2143</v>
      </c>
      <c r="Q66" s="1206">
        <f ca="1">C40+J29</f>
        <v>0</v>
      </c>
      <c r="R66" s="1173" t="s">
        <v>2144</v>
      </c>
    </row>
    <row r="67" spans="1:18" s="707" customFormat="1" ht="19.5">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21">
      <c r="A68" s="992"/>
      <c r="B68" s="1070"/>
      <c r="C68" s="988"/>
      <c r="D68" s="1071" t="s">
        <v>2108</v>
      </c>
      <c r="E68" s="984" t="s">
        <v>2109</v>
      </c>
      <c r="F68" s="1072">
        <f ca="1">F41</f>
        <v>0</v>
      </c>
      <c r="O68" s="1178" t="s">
        <v>2152</v>
      </c>
      <c r="P68" s="1173" t="s">
        <v>2181</v>
      </c>
      <c r="Q68" s="1213">
        <f ca="1">L51</f>
        <v>-640</v>
      </c>
      <c r="R68" s="1214" t="s">
        <v>2198</v>
      </c>
    </row>
    <row r="69" spans="1:18" ht="19.5">
      <c r="A69" s="1000"/>
      <c r="B69" s="1074"/>
      <c r="C69" s="1014"/>
      <c r="D69" s="1062"/>
      <c r="E69" s="984" t="s">
        <v>2113</v>
      </c>
      <c r="F69" s="1099"/>
      <c r="O69" s="1178" t="s">
        <v>2156</v>
      </c>
      <c r="P69" s="1212" t="s">
        <v>2199</v>
      </c>
      <c r="Q69" s="1206">
        <f ca="1">ROUND(Q70-Q71*Q72,0)</f>
        <v>-31</v>
      </c>
      <c r="R69" s="1208"/>
    </row>
    <row r="70" spans="1:18">
      <c r="A70" s="1045" t="s">
        <v>2222</v>
      </c>
      <c r="B70" s="1075" t="s">
        <v>2234</v>
      </c>
      <c r="C70" s="1076">
        <f ca="1">ROUND(C67*10000/F70,0)</f>
        <v>0</v>
      </c>
      <c r="D70" s="1077" t="s">
        <v>2235</v>
      </c>
      <c r="E70" s="1078" t="s">
        <v>2236</v>
      </c>
      <c r="F70" s="1079">
        <f ca="1">F43</f>
        <v>10700</v>
      </c>
      <c r="O70" s="1178" t="s">
        <v>2200</v>
      </c>
      <c r="P70" s="1212" t="s">
        <v>2201</v>
      </c>
      <c r="Q70" s="1206">
        <f ca="1">C39</f>
        <v>-31</v>
      </c>
      <c r="R70" s="1173" t="s">
        <v>2144</v>
      </c>
    </row>
    <row r="71" spans="1:18">
      <c r="O71" s="1178" t="s">
        <v>2202</v>
      </c>
      <c r="P71" s="1212" t="s">
        <v>2203</v>
      </c>
      <c r="Q71" s="1206">
        <f ca="1">C13</f>
        <v>0</v>
      </c>
      <c r="R71" s="1173" t="s">
        <v>2144</v>
      </c>
    </row>
    <row r="72" spans="1:18">
      <c r="O72" s="1178" t="s">
        <v>2204</v>
      </c>
      <c r="P72" s="1212" t="s">
        <v>2205</v>
      </c>
      <c r="Q72" s="1207">
        <f ca="1">J36</f>
        <v>7.0000000000000007E-2</v>
      </c>
      <c r="R72" s="1208"/>
    </row>
    <row r="73" spans="1:18">
      <c r="O73" s="1178" t="s">
        <v>2159</v>
      </c>
      <c r="P73" s="1173" t="s">
        <v>2184</v>
      </c>
      <c r="Q73" s="1207">
        <f>L52</f>
        <v>0</v>
      </c>
      <c r="R73" s="1208"/>
    </row>
    <row r="74" spans="1:18" ht="19.5">
      <c r="O74" s="1178" t="s">
        <v>2162</v>
      </c>
      <c r="P74" s="1173" t="s">
        <v>2185</v>
      </c>
      <c r="Q74" s="1206" t="e">
        <f ca="1">L58</f>
        <v>#DIV/0!</v>
      </c>
      <c r="R74" s="1208" t="s">
        <v>2186</v>
      </c>
    </row>
    <row r="75" spans="1:18">
      <c r="O75" s="1178" t="s">
        <v>2206</v>
      </c>
      <c r="P75" s="1173" t="str">
        <f>K59</f>
        <v>建筑物剩余耐用年限下的土地年期修正系数Kn</v>
      </c>
      <c r="Q75" s="1206" t="e">
        <f ca="1">L59</f>
        <v>#DIV/0!</v>
      </c>
      <c r="R75" s="1208" t="s">
        <v>2193</v>
      </c>
    </row>
    <row r="76" spans="1:18">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15" customHeight="1">
      <c r="A2" s="786" t="s">
        <v>2246</v>
      </c>
      <c r="B2" s="787" t="e">
        <f>C40</f>
        <v>#DIV/0!</v>
      </c>
      <c r="C2" s="782" t="s">
        <v>2247</v>
      </c>
      <c r="D2" s="782"/>
      <c r="E2" s="788"/>
      <c r="F2" s="789"/>
      <c r="G2" s="790"/>
      <c r="H2" s="791"/>
      <c r="I2" s="887"/>
      <c r="J2" s="3957" t="s">
        <v>2248</v>
      </c>
      <c r="K2" s="3958"/>
      <c r="L2" s="888" t="s">
        <v>2249</v>
      </c>
      <c r="M2" s="888" t="s">
        <v>2250</v>
      </c>
      <c r="N2" s="888" t="s">
        <v>2251</v>
      </c>
      <c r="O2" s="888" t="s">
        <v>2252</v>
      </c>
      <c r="P2" s="888" t="s">
        <v>2253</v>
      </c>
      <c r="Q2" s="927" t="s">
        <v>2254</v>
      </c>
      <c r="R2" s="928" t="s">
        <v>2255</v>
      </c>
      <c r="S2" s="926"/>
      <c r="T2" s="926"/>
      <c r="U2" s="926"/>
      <c r="V2" s="887"/>
    </row>
    <row r="3" spans="1:22" s="773" customFormat="1" ht="13.15" customHeight="1">
      <c r="A3" s="792" t="s">
        <v>2256</v>
      </c>
      <c r="B3" s="793" t="e">
        <f>ROUND(B2*10000/B4,0)</f>
        <v>#DIV/0!</v>
      </c>
      <c r="C3" s="782" t="s">
        <v>2257</v>
      </c>
      <c r="D3" s="782"/>
      <c r="E3" s="788"/>
      <c r="F3" s="789"/>
      <c r="G3" s="790"/>
      <c r="H3" s="791"/>
      <c r="I3" s="887"/>
      <c r="J3" s="3951" t="s">
        <v>2258</v>
      </c>
      <c r="K3" s="3952"/>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51" t="s">
        <v>2259</v>
      </c>
      <c r="K4" s="3952"/>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15" customHeight="1">
      <c r="A6" s="3961" t="s">
        <v>2262</v>
      </c>
      <c r="B6" s="3962"/>
      <c r="C6" s="3963"/>
      <c r="D6" s="799"/>
      <c r="E6" s="800"/>
      <c r="F6" s="801"/>
      <c r="G6" s="802"/>
      <c r="H6" s="791"/>
      <c r="I6" s="887"/>
      <c r="J6" s="3945">
        <v>1</v>
      </c>
      <c r="K6" s="3948" t="s">
        <v>2263</v>
      </c>
      <c r="L6" s="895" t="s">
        <v>2264</v>
      </c>
      <c r="M6" s="896" t="s">
        <v>2265</v>
      </c>
      <c r="N6" s="896" t="s">
        <v>2266</v>
      </c>
      <c r="O6" s="896" t="s">
        <v>2267</v>
      </c>
      <c r="P6" s="896" t="s">
        <v>2268</v>
      </c>
      <c r="Q6" s="896" t="s">
        <v>2269</v>
      </c>
      <c r="R6" s="930" t="s">
        <v>2270</v>
      </c>
      <c r="S6" s="926"/>
      <c r="T6" s="926" t="s">
        <v>2271</v>
      </c>
      <c r="U6" s="926"/>
      <c r="V6" s="887"/>
    </row>
    <row r="7" spans="1:22" s="773" customFormat="1" ht="13.15" customHeight="1">
      <c r="A7" s="803" t="s">
        <v>2272</v>
      </c>
      <c r="B7" s="804"/>
      <c r="C7" s="805"/>
      <c r="D7" s="806">
        <f>SUM(D9,D10,D11,D17,0)</f>
        <v>0</v>
      </c>
      <c r="E7" s="807" t="e">
        <f>E9+E10+E11+E17</f>
        <v>#DIV/0!</v>
      </c>
      <c r="F7" s="808"/>
      <c r="G7" s="809"/>
      <c r="H7" s="791"/>
      <c r="I7" s="887"/>
      <c r="J7" s="3945"/>
      <c r="K7" s="3949"/>
      <c r="L7" s="897" t="s">
        <v>2273</v>
      </c>
      <c r="M7" s="898"/>
      <c r="N7" s="795"/>
      <c r="O7" s="899"/>
      <c r="P7" s="899"/>
      <c r="Q7" s="828">
        <v>365</v>
      </c>
      <c r="R7" s="933">
        <f>ROUND(M7*N7*O7*P7*Q7/10000,0)</f>
        <v>0</v>
      </c>
      <c r="S7" s="926"/>
      <c r="T7" s="926" t="s">
        <v>2274</v>
      </c>
      <c r="U7" s="926"/>
      <c r="V7" s="887"/>
    </row>
    <row r="8" spans="1:22" s="773" customFormat="1" ht="13.15" customHeight="1">
      <c r="A8" s="810" t="s">
        <v>2275</v>
      </c>
      <c r="B8" s="3959" t="s">
        <v>2276</v>
      </c>
      <c r="C8" s="3960"/>
      <c r="D8" s="813" t="s">
        <v>2277</v>
      </c>
      <c r="E8" s="814" t="s">
        <v>2278</v>
      </c>
      <c r="F8" s="815" t="s">
        <v>2279</v>
      </c>
      <c r="G8" s="816"/>
      <c r="H8" s="791"/>
      <c r="I8" s="887"/>
      <c r="J8" s="3945"/>
      <c r="K8" s="3949"/>
      <c r="L8" s="897" t="s">
        <v>2280</v>
      </c>
      <c r="M8" s="898"/>
      <c r="N8" s="795"/>
      <c r="O8" s="899"/>
      <c r="P8" s="899"/>
      <c r="Q8" s="828">
        <v>365</v>
      </c>
      <c r="R8" s="933">
        <f t="shared" ref="R8:R13" si="0">ROUND(M8*N8*O8*P8*Q8/10000,0)</f>
        <v>0</v>
      </c>
      <c r="S8" s="926"/>
      <c r="T8" s="926" t="s">
        <v>2281</v>
      </c>
      <c r="U8" s="926"/>
      <c r="V8" s="887"/>
    </row>
    <row r="9" spans="1:22" s="773" customFormat="1" ht="13.15" customHeight="1">
      <c r="A9" s="810">
        <v>1</v>
      </c>
      <c r="B9" s="3959" t="s">
        <v>2282</v>
      </c>
      <c r="C9" s="3960"/>
      <c r="D9" s="813">
        <f>ROUND(D6*E9,0)</f>
        <v>0</v>
      </c>
      <c r="E9" s="817"/>
      <c r="F9" s="818" t="s">
        <v>2283</v>
      </c>
      <c r="G9" s="802"/>
      <c r="H9" s="791"/>
      <c r="I9" s="887"/>
      <c r="J9" s="3945"/>
      <c r="K9" s="3949"/>
      <c r="L9" s="897" t="s">
        <v>2284</v>
      </c>
      <c r="M9" s="898"/>
      <c r="N9" s="795"/>
      <c r="O9" s="899"/>
      <c r="P9" s="899"/>
      <c r="Q9" s="828">
        <v>365</v>
      </c>
      <c r="R9" s="933">
        <f t="shared" si="0"/>
        <v>0</v>
      </c>
      <c r="S9" s="926"/>
      <c r="T9" s="926"/>
      <c r="U9" s="926"/>
      <c r="V9" s="887"/>
    </row>
    <row r="10" spans="1:22" s="773" customFormat="1" ht="13.15" customHeight="1">
      <c r="A10" s="810">
        <v>2</v>
      </c>
      <c r="B10" s="3959" t="s">
        <v>2285</v>
      </c>
      <c r="C10" s="3960"/>
      <c r="D10" s="813">
        <f>ROUND(D6*E10,0)</f>
        <v>0</v>
      </c>
      <c r="E10" s="817"/>
      <c r="F10" s="818" t="s">
        <v>2286</v>
      </c>
      <c r="G10" s="802"/>
      <c r="H10" s="791"/>
      <c r="I10" s="887"/>
      <c r="J10" s="3945"/>
      <c r="K10" s="3949"/>
      <c r="L10" s="897" t="s">
        <v>2287</v>
      </c>
      <c r="M10" s="898"/>
      <c r="N10" s="795"/>
      <c r="O10" s="899"/>
      <c r="P10" s="899"/>
      <c r="Q10" s="828">
        <v>365</v>
      </c>
      <c r="R10" s="933">
        <f t="shared" si="0"/>
        <v>0</v>
      </c>
      <c r="S10" s="926"/>
      <c r="T10" s="926"/>
      <c r="U10" s="926"/>
      <c r="V10" s="887"/>
    </row>
    <row r="11" spans="1:22" s="773" customFormat="1" ht="13.15" customHeight="1">
      <c r="A11" s="810">
        <v>3</v>
      </c>
      <c r="B11" s="3959" t="s">
        <v>2288</v>
      </c>
      <c r="C11" s="3960"/>
      <c r="D11" s="813">
        <f>D12+D14+D15+D16</f>
        <v>0</v>
      </c>
      <c r="E11" s="819" t="e">
        <f>D11/D6</f>
        <v>#DIV/0!</v>
      </c>
      <c r="F11" s="815"/>
      <c r="G11" s="816"/>
      <c r="H11" s="791"/>
      <c r="I11" s="887"/>
      <c r="J11" s="3945"/>
      <c r="K11" s="3949"/>
      <c r="L11" s="897" t="s">
        <v>2289</v>
      </c>
      <c r="M11" s="898"/>
      <c r="N11" s="795"/>
      <c r="O11" s="899"/>
      <c r="P11" s="899"/>
      <c r="Q11" s="828">
        <v>365</v>
      </c>
      <c r="R11" s="933">
        <f t="shared" si="0"/>
        <v>0</v>
      </c>
      <c r="S11" s="926"/>
      <c r="T11" s="926"/>
      <c r="U11" s="926"/>
      <c r="V11" s="887"/>
    </row>
    <row r="12" spans="1:22" s="773" customFormat="1" ht="13.15" customHeight="1">
      <c r="A12" s="820" t="s">
        <v>2290</v>
      </c>
      <c r="B12" s="3953" t="s">
        <v>2291</v>
      </c>
      <c r="C12" s="3954"/>
      <c r="D12" s="823">
        <f>ROUND(D13*1.2%*(1-30%),0)</f>
        <v>0</v>
      </c>
      <c r="E12" s="824">
        <v>1.2E-2</v>
      </c>
      <c r="F12" s="815" t="s">
        <v>2292</v>
      </c>
      <c r="G12" s="816"/>
      <c r="H12" s="791"/>
      <c r="I12" s="887"/>
      <c r="J12" s="3945"/>
      <c r="K12" s="3949"/>
      <c r="L12" s="897" t="s">
        <v>2293</v>
      </c>
      <c r="M12" s="898"/>
      <c r="N12" s="795"/>
      <c r="O12" s="899"/>
      <c r="P12" s="899"/>
      <c r="Q12" s="828">
        <v>365</v>
      </c>
      <c r="R12" s="933">
        <f t="shared" si="0"/>
        <v>0</v>
      </c>
      <c r="S12" s="926"/>
      <c r="T12" s="926"/>
      <c r="U12" s="926"/>
      <c r="V12" s="887"/>
    </row>
    <row r="13" spans="1:22" s="773" customFormat="1" ht="13.15" customHeight="1">
      <c r="A13" s="820"/>
      <c r="B13" s="821"/>
      <c r="C13" s="825" t="s">
        <v>2294</v>
      </c>
      <c r="D13" s="826"/>
      <c r="E13" s="827"/>
      <c r="F13" s="815"/>
      <c r="G13" s="816"/>
      <c r="H13" s="791"/>
      <c r="I13" s="887"/>
      <c r="J13" s="3945"/>
      <c r="K13" s="3949"/>
      <c r="L13" s="897" t="s">
        <v>2295</v>
      </c>
      <c r="M13" s="898"/>
      <c r="N13" s="795"/>
      <c r="O13" s="899"/>
      <c r="P13" s="899"/>
      <c r="Q13" s="828">
        <v>365</v>
      </c>
      <c r="R13" s="933">
        <f t="shared" si="0"/>
        <v>0</v>
      </c>
      <c r="S13" s="926"/>
      <c r="T13" s="926"/>
      <c r="U13" s="926"/>
      <c r="V13" s="887"/>
    </row>
    <row r="14" spans="1:22" s="773" customFormat="1" ht="13.15" customHeight="1">
      <c r="A14" s="820" t="s">
        <v>2296</v>
      </c>
      <c r="B14" s="3953" t="s">
        <v>2297</v>
      </c>
      <c r="C14" s="3954"/>
      <c r="D14" s="823">
        <f>ROUND(E14*B5/10000,0)</f>
        <v>0</v>
      </c>
      <c r="E14" s="828"/>
      <c r="F14" s="815" t="s">
        <v>2298</v>
      </c>
      <c r="G14" s="816"/>
      <c r="H14" s="791"/>
      <c r="I14" s="887"/>
      <c r="J14" s="3945"/>
      <c r="K14" s="3950"/>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2300</v>
      </c>
      <c r="B15" s="3953" t="s">
        <v>2301</v>
      </c>
      <c r="C15" s="3954"/>
      <c r="D15" s="823">
        <f>ROUND(D6*E15,0)</f>
        <v>0</v>
      </c>
      <c r="E15" s="824">
        <v>5.5E-2</v>
      </c>
      <c r="F15" s="815" t="s">
        <v>2302</v>
      </c>
      <c r="G15" s="802"/>
      <c r="H15" s="791"/>
      <c r="I15" s="887"/>
      <c r="J15" s="3945">
        <v>2</v>
      </c>
      <c r="K15" s="3948" t="s">
        <v>2303</v>
      </c>
      <c r="L15" s="897" t="s">
        <v>2304</v>
      </c>
      <c r="M15" s="898" t="s">
        <v>2305</v>
      </c>
      <c r="N15" s="898" t="s">
        <v>2306</v>
      </c>
      <c r="O15" s="899" t="s">
        <v>2307</v>
      </c>
      <c r="P15" s="899" t="s">
        <v>2269</v>
      </c>
      <c r="Q15" s="795" t="s">
        <v>138</v>
      </c>
      <c r="R15" s="935" t="s">
        <v>2270</v>
      </c>
      <c r="S15" s="926"/>
      <c r="T15" s="926"/>
      <c r="U15" s="926"/>
      <c r="V15" s="887"/>
    </row>
    <row r="16" spans="1:22" s="773" customFormat="1" ht="13.15" customHeight="1">
      <c r="A16" s="820" t="s">
        <v>2308</v>
      </c>
      <c r="B16" s="3953" t="s">
        <v>2309</v>
      </c>
      <c r="C16" s="3954"/>
      <c r="D16" s="829">
        <f>D6*E16</f>
        <v>0</v>
      </c>
      <c r="E16" s="830"/>
      <c r="F16" s="818" t="s">
        <v>2310</v>
      </c>
      <c r="G16" s="802"/>
      <c r="H16" s="791"/>
      <c r="I16" s="887"/>
      <c r="J16" s="3945"/>
      <c r="K16" s="3949"/>
      <c r="L16" s="897" t="s">
        <v>2311</v>
      </c>
      <c r="M16" s="898"/>
      <c r="N16" s="898"/>
      <c r="O16" s="899"/>
      <c r="P16" s="828">
        <v>365</v>
      </c>
      <c r="Q16" s="795"/>
      <c r="R16" s="935">
        <f>ROUND(M16*N16*O16*P16/10000,0)</f>
        <v>0</v>
      </c>
      <c r="S16" s="926"/>
      <c r="T16" s="926"/>
      <c r="U16" s="926"/>
      <c r="V16" s="887"/>
    </row>
    <row r="17" spans="1:22" s="773" customFormat="1" ht="13.15" customHeight="1">
      <c r="A17" s="831">
        <v>4</v>
      </c>
      <c r="B17" s="3955" t="s">
        <v>2312</v>
      </c>
      <c r="C17" s="3956"/>
      <c r="D17" s="832">
        <f>ROUND(D6*E17,0)</f>
        <v>0</v>
      </c>
      <c r="E17" s="833"/>
      <c r="F17" s="834" t="s">
        <v>2313</v>
      </c>
      <c r="G17" s="802"/>
      <c r="H17" s="791"/>
      <c r="I17" s="887"/>
      <c r="J17" s="3945"/>
      <c r="K17" s="3949"/>
      <c r="L17" s="897" t="s">
        <v>2314</v>
      </c>
      <c r="M17" s="898"/>
      <c r="N17" s="898"/>
      <c r="O17" s="899"/>
      <c r="P17" s="828">
        <v>365</v>
      </c>
      <c r="Q17" s="795"/>
      <c r="R17" s="935">
        <f>ROUND(M17*N17*O17*P17/10000,0)</f>
        <v>0</v>
      </c>
      <c r="S17" s="926"/>
      <c r="T17" s="926"/>
      <c r="U17" s="926"/>
      <c r="V17" s="887"/>
    </row>
    <row r="18" spans="1:22" s="773" customFormat="1" ht="13.15" customHeight="1">
      <c r="A18" s="803" t="s">
        <v>2315</v>
      </c>
      <c r="B18" s="804"/>
      <c r="C18" s="804"/>
      <c r="D18" s="835">
        <f>ROUND(D6*E18,0)</f>
        <v>0</v>
      </c>
      <c r="E18" s="836"/>
      <c r="F18" s="837" t="s">
        <v>2316</v>
      </c>
      <c r="G18" s="802"/>
      <c r="H18" s="791"/>
      <c r="I18" s="887"/>
      <c r="J18" s="3945"/>
      <c r="K18" s="3949"/>
      <c r="L18" s="897" t="s">
        <v>2317</v>
      </c>
      <c r="M18" s="898"/>
      <c r="N18" s="898"/>
      <c r="O18" s="899"/>
      <c r="P18" s="828">
        <v>365</v>
      </c>
      <c r="Q18" s="795"/>
      <c r="R18" s="935">
        <f>ROUND(M18*N18*O18*P18/10000,0)</f>
        <v>0</v>
      </c>
      <c r="S18" s="926"/>
      <c r="T18" s="926"/>
      <c r="U18" s="926"/>
      <c r="V18" s="887"/>
    </row>
    <row r="19" spans="1:22" s="773" customFormat="1" ht="13.15" customHeight="1">
      <c r="A19" s="838" t="s">
        <v>2318</v>
      </c>
      <c r="B19" s="800"/>
      <c r="C19" s="800"/>
      <c r="D19" s="800"/>
      <c r="E19" s="800"/>
      <c r="F19" s="801"/>
      <c r="G19" s="816"/>
      <c r="H19" s="791"/>
      <c r="I19" s="887"/>
      <c r="J19" s="3945"/>
      <c r="K19" s="3950"/>
      <c r="L19" s="900" t="s">
        <v>2299</v>
      </c>
      <c r="M19" s="901"/>
      <c r="N19" s="901">
        <f>SUM(N16:N18)</f>
        <v>0</v>
      </c>
      <c r="O19" s="902"/>
      <c r="P19" s="903" t="s">
        <v>2319</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45">
        <v>3</v>
      </c>
      <c r="K20" s="3948" t="s">
        <v>2320</v>
      </c>
      <c r="L20" s="897" t="s">
        <v>2321</v>
      </c>
      <c r="M20" s="898" t="s">
        <v>2322</v>
      </c>
      <c r="N20" s="904" t="s">
        <v>2323</v>
      </c>
      <c r="O20" s="899" t="s">
        <v>2324</v>
      </c>
      <c r="P20" s="828" t="s">
        <v>2269</v>
      </c>
      <c r="Q20" s="795" t="s">
        <v>138</v>
      </c>
      <c r="R20" s="935" t="s">
        <v>2270</v>
      </c>
      <c r="S20" s="923"/>
      <c r="T20" s="923"/>
      <c r="U20" s="923"/>
      <c r="V20" s="887"/>
    </row>
    <row r="21" spans="1:22" s="773" customFormat="1" ht="13.15" customHeight="1">
      <c r="A21" s="803"/>
      <c r="B21" s="804"/>
      <c r="C21" s="811" t="s">
        <v>2325</v>
      </c>
      <c r="D21" s="840" t="s">
        <v>2326</v>
      </c>
      <c r="E21" s="812" t="s">
        <v>2327</v>
      </c>
      <c r="F21" s="839"/>
      <c r="G21" s="816"/>
      <c r="H21" s="791"/>
      <c r="I21" s="887"/>
      <c r="J21" s="3945"/>
      <c r="K21" s="3949"/>
      <c r="L21" s="897" t="s">
        <v>2328</v>
      </c>
      <c r="M21" s="898"/>
      <c r="N21" s="898"/>
      <c r="O21" s="899"/>
      <c r="P21" s="828">
        <v>365</v>
      </c>
      <c r="Q21" s="795"/>
      <c r="R21" s="937">
        <f>ROUND(M21*N21*O21*P21/10000,0)</f>
        <v>0</v>
      </c>
      <c r="S21" s="923"/>
      <c r="T21" s="923"/>
      <c r="U21" s="923"/>
      <c r="V21" s="887"/>
    </row>
    <row r="22" spans="1:22" s="773" customFormat="1" ht="13.15" customHeight="1">
      <c r="A22" s="803"/>
      <c r="B22" s="804"/>
      <c r="C22" s="841" t="s">
        <v>2329</v>
      </c>
      <c r="D22" s="842" t="s">
        <v>2330</v>
      </c>
      <c r="E22" s="843" t="s">
        <v>2331</v>
      </c>
      <c r="F22" s="839"/>
      <c r="G22" s="844"/>
      <c r="H22" s="791"/>
      <c r="I22" s="887"/>
      <c r="J22" s="3945"/>
      <c r="K22" s="3949"/>
      <c r="L22" s="897" t="s">
        <v>2332</v>
      </c>
      <c r="M22" s="898"/>
      <c r="N22" s="898"/>
      <c r="O22" s="899"/>
      <c r="P22" s="828">
        <v>365</v>
      </c>
      <c r="Q22" s="795"/>
      <c r="R22" s="937">
        <f>ROUND(M22*N22*O22*P22/10000,0)</f>
        <v>0</v>
      </c>
      <c r="S22" s="923"/>
      <c r="T22" s="923"/>
      <c r="U22" s="923"/>
      <c r="V22" s="887"/>
    </row>
    <row r="23" spans="1:22" s="773" customFormat="1" ht="13.15" customHeight="1">
      <c r="A23" s="845">
        <v>1</v>
      </c>
      <c r="B23" s="846" t="s">
        <v>2333</v>
      </c>
      <c r="C23" s="847">
        <f>D6</f>
        <v>0</v>
      </c>
      <c r="D23" s="848">
        <f>C23*(1+D24)</f>
        <v>0</v>
      </c>
      <c r="E23" s="849">
        <f>D23*(1+E24)</f>
        <v>0</v>
      </c>
      <c r="F23" s="850"/>
      <c r="G23" s="851"/>
      <c r="H23" s="791"/>
      <c r="I23" s="887"/>
      <c r="J23" s="3945"/>
      <c r="K23" s="3949"/>
      <c r="L23" s="897" t="s">
        <v>2334</v>
      </c>
      <c r="M23" s="898"/>
      <c r="N23" s="898"/>
      <c r="O23" s="899"/>
      <c r="P23" s="828">
        <v>365</v>
      </c>
      <c r="Q23" s="795"/>
      <c r="R23" s="937">
        <f>ROUND(M23*N23*O23*P23/10000,0)</f>
        <v>0</v>
      </c>
      <c r="S23" s="926"/>
      <c r="T23" s="926"/>
      <c r="U23" s="926"/>
      <c r="V23" s="887"/>
    </row>
    <row r="24" spans="1:22" s="773" customFormat="1" ht="13.15" customHeight="1">
      <c r="A24" s="852"/>
      <c r="B24" s="853" t="s">
        <v>2335</v>
      </c>
      <c r="C24" s="854"/>
      <c r="D24" s="855"/>
      <c r="E24" s="856"/>
      <c r="F24" s="857"/>
      <c r="G24" s="851"/>
      <c r="H24" s="791"/>
      <c r="I24" s="887"/>
      <c r="J24" s="3945"/>
      <c r="K24" s="3950"/>
      <c r="L24" s="900" t="s">
        <v>2299</v>
      </c>
      <c r="M24" s="901">
        <f>SUM(M21:M23)</f>
        <v>0</v>
      </c>
      <c r="N24" s="901"/>
      <c r="O24" s="902"/>
      <c r="P24" s="903" t="s">
        <v>2319</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15" customHeight="1">
      <c r="A26" s="845">
        <v>2</v>
      </c>
      <c r="B26" s="846" t="s">
        <v>2337</v>
      </c>
      <c r="C26" s="847">
        <f>D7</f>
        <v>0</v>
      </c>
      <c r="D26" s="848">
        <f>D23*D27</f>
        <v>0</v>
      </c>
      <c r="E26" s="849">
        <f>E23*E27</f>
        <v>0</v>
      </c>
      <c r="F26" s="850"/>
      <c r="G26" s="851"/>
      <c r="H26" s="791"/>
      <c r="I26" s="887"/>
      <c r="J26" s="3946">
        <v>5</v>
      </c>
      <c r="K26" s="908" t="s">
        <v>2338</v>
      </c>
      <c r="L26" s="909"/>
      <c r="M26" s="910"/>
      <c r="N26" s="911" t="s">
        <v>2339</v>
      </c>
      <c r="O26" s="911" t="s">
        <v>2340</v>
      </c>
      <c r="P26" s="912" t="s">
        <v>2341</v>
      </c>
      <c r="Q26" s="912" t="s">
        <v>2342</v>
      </c>
      <c r="R26" s="930" t="s">
        <v>2270</v>
      </c>
      <c r="S26" s="939"/>
      <c r="T26" s="939"/>
      <c r="U26" s="939"/>
      <c r="V26" s="913"/>
    </row>
    <row r="27" spans="1:22" s="773" customFormat="1" ht="13.15" customHeight="1">
      <c r="A27" s="852"/>
      <c r="B27" s="853" t="s">
        <v>2343</v>
      </c>
      <c r="C27" s="858" t="e">
        <f>E7</f>
        <v>#DIV/0!</v>
      </c>
      <c r="D27" s="855"/>
      <c r="E27" s="856"/>
      <c r="F27" s="857"/>
      <c r="G27" s="851"/>
      <c r="H27" s="859"/>
      <c r="I27" s="913"/>
      <c r="J27" s="3947"/>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15"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15" customHeight="1">
      <c r="A32" s="845">
        <v>4</v>
      </c>
      <c r="B32" s="846" t="s">
        <v>2348</v>
      </c>
      <c r="C32" s="847">
        <f>C23-C26-C29</f>
        <v>0</v>
      </c>
      <c r="D32" s="848">
        <f>D23-D26-D29</f>
        <v>0</v>
      </c>
      <c r="E32" s="849">
        <f>E23-E26-E29</f>
        <v>0</v>
      </c>
      <c r="F32" s="850"/>
      <c r="G32" s="844"/>
      <c r="H32" s="791"/>
      <c r="I32" s="887"/>
      <c r="J32" s="3957" t="s">
        <v>2248</v>
      </c>
      <c r="K32" s="3958"/>
      <c r="L32" s="888" t="s">
        <v>2249</v>
      </c>
      <c r="M32" s="888" t="s">
        <v>2250</v>
      </c>
      <c r="N32" s="888" t="s">
        <v>2251</v>
      </c>
      <c r="O32" s="888" t="s">
        <v>2252</v>
      </c>
      <c r="P32" s="888" t="s">
        <v>2253</v>
      </c>
      <c r="Q32" s="927" t="s">
        <v>2254</v>
      </c>
      <c r="R32" s="943" t="s">
        <v>2255</v>
      </c>
      <c r="S32" s="923"/>
      <c r="T32" s="926"/>
      <c r="U32" s="926"/>
      <c r="V32" s="913"/>
    </row>
    <row r="33" spans="1:23" s="773" customFormat="1" ht="13.15" customHeight="1">
      <c r="A33" s="845"/>
      <c r="B33" s="846"/>
      <c r="C33" s="847"/>
      <c r="D33" s="862"/>
      <c r="E33" s="822"/>
      <c r="F33" s="850"/>
      <c r="G33" s="844"/>
      <c r="H33" s="859"/>
      <c r="I33" s="913"/>
      <c r="J33" s="3951" t="s">
        <v>2258</v>
      </c>
      <c r="K33" s="3952"/>
      <c r="L33" s="889"/>
      <c r="M33" s="889"/>
      <c r="N33" s="889"/>
      <c r="O33" s="889"/>
      <c r="P33" s="889"/>
      <c r="Q33" s="929"/>
      <c r="R33" s="944">
        <f>SUM(L33:Q33)</f>
        <v>0</v>
      </c>
      <c r="S33" s="923"/>
      <c r="T33" s="926"/>
      <c r="U33" s="926"/>
      <c r="V33" s="887"/>
    </row>
    <row r="34" spans="1:23" s="773" customFormat="1" ht="13.15" customHeight="1">
      <c r="A34" s="845">
        <v>5</v>
      </c>
      <c r="B34" s="846" t="s">
        <v>2349</v>
      </c>
      <c r="C34" s="863"/>
      <c r="D34" s="864"/>
      <c r="E34" s="865"/>
      <c r="F34" s="850"/>
      <c r="G34" s="844"/>
      <c r="H34" s="859"/>
      <c r="I34" s="913"/>
      <c r="J34" s="3951" t="s">
        <v>2259</v>
      </c>
      <c r="K34" s="3952"/>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15" customHeight="1">
      <c r="A36" s="845">
        <v>7</v>
      </c>
      <c r="B36" s="870" t="s">
        <v>2351</v>
      </c>
      <c r="C36" s="871"/>
      <c r="D36" s="872"/>
      <c r="E36" s="873"/>
      <c r="F36" s="874">
        <f>C36+D36+E36</f>
        <v>0</v>
      </c>
      <c r="G36" s="844"/>
      <c r="H36" s="791"/>
      <c r="I36" s="887"/>
      <c r="J36" s="3945">
        <v>1</v>
      </c>
      <c r="K36" s="3948" t="s">
        <v>2352</v>
      </c>
      <c r="L36" s="895"/>
      <c r="M36" s="896"/>
      <c r="N36" s="896"/>
      <c r="O36" s="896"/>
      <c r="P36" s="896"/>
      <c r="Q36" s="896"/>
      <c r="R36" s="930" t="s">
        <v>2270</v>
      </c>
      <c r="S36" s="923"/>
      <c r="T36" s="926" t="s">
        <v>2271</v>
      </c>
      <c r="U36" s="926"/>
      <c r="V36" s="887"/>
    </row>
    <row r="37" spans="1:23" s="773" customFormat="1" ht="13.15" customHeight="1">
      <c r="A37" s="845"/>
      <c r="B37" s="846"/>
      <c r="C37" s="846"/>
      <c r="D37" s="846"/>
      <c r="E37" s="846"/>
      <c r="F37" s="850"/>
      <c r="G37" s="844"/>
      <c r="H37" s="791"/>
      <c r="I37" s="887"/>
      <c r="J37" s="3945"/>
      <c r="K37" s="3949"/>
      <c r="L37" s="897"/>
      <c r="M37" s="898"/>
      <c r="N37" s="795"/>
      <c r="O37" s="899"/>
      <c r="P37" s="899"/>
      <c r="Q37" s="828"/>
      <c r="R37" s="933"/>
      <c r="S37" s="923"/>
      <c r="T37" s="926" t="s">
        <v>2274</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45"/>
      <c r="K38" s="3949"/>
      <c r="L38" s="897"/>
      <c r="M38" s="898"/>
      <c r="N38" s="795"/>
      <c r="O38" s="899"/>
      <c r="P38" s="899"/>
      <c r="Q38" s="828"/>
      <c r="R38" s="933"/>
      <c r="S38" s="923"/>
      <c r="T38" s="926" t="s">
        <v>2281</v>
      </c>
      <c r="U38" s="926"/>
      <c r="V38" s="887"/>
    </row>
    <row r="39" spans="1:23" s="773" customFormat="1" ht="13.15" customHeight="1">
      <c r="A39" s="845">
        <v>9</v>
      </c>
      <c r="B39" s="846" t="s">
        <v>2353</v>
      </c>
      <c r="C39" s="823" t="e">
        <f>C38</f>
        <v>#DIV/0!</v>
      </c>
      <c r="D39" s="846">
        <f>D38/(1+D34)^C36</f>
        <v>0</v>
      </c>
      <c r="E39" s="846">
        <f>E38/(1+E34)^(C36+D36)</f>
        <v>0</v>
      </c>
      <c r="F39" s="850"/>
      <c r="G39" s="875"/>
      <c r="H39" s="791"/>
      <c r="I39" s="887"/>
      <c r="J39" s="3945"/>
      <c r="K39" s="3949"/>
      <c r="L39" s="897"/>
      <c r="M39" s="898"/>
      <c r="N39" s="795"/>
      <c r="O39" s="899"/>
      <c r="P39" s="899"/>
      <c r="Q39" s="828"/>
      <c r="R39" s="933"/>
      <c r="S39" s="923"/>
      <c r="T39" s="926"/>
      <c r="U39" s="926"/>
      <c r="V39" s="887"/>
    </row>
    <row r="40" spans="1:23" s="773" customFormat="1" ht="13.15" customHeight="1">
      <c r="A40" s="876">
        <v>10</v>
      </c>
      <c r="B40" s="846" t="s">
        <v>2354</v>
      </c>
      <c r="C40" s="877" t="e">
        <f>C39+D39+E39</f>
        <v>#DIV/0!</v>
      </c>
      <c r="D40" s="878"/>
      <c r="E40" s="878"/>
      <c r="F40" s="879"/>
      <c r="G40" s="844"/>
      <c r="H40" s="791"/>
      <c r="I40" s="887"/>
      <c r="J40" s="3945"/>
      <c r="K40" s="3950"/>
      <c r="L40" s="900" t="s">
        <v>2299</v>
      </c>
      <c r="M40" s="901"/>
      <c r="N40" s="901"/>
      <c r="O40" s="902"/>
      <c r="P40" s="902"/>
      <c r="Q40" s="934"/>
      <c r="R40" s="928">
        <f>SUM(R37:R39)</f>
        <v>0</v>
      </c>
      <c r="S40" s="923"/>
      <c r="T40" s="926"/>
      <c r="U40" s="926"/>
      <c r="V40" s="887"/>
    </row>
    <row r="41" spans="1:23" s="773" customFormat="1" ht="13.15"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15" customHeight="1">
      <c r="G42" s="884"/>
      <c r="H42" s="791"/>
      <c r="I42" s="887"/>
      <c r="J42" s="3946">
        <v>3</v>
      </c>
      <c r="K42" s="908" t="s">
        <v>2338</v>
      </c>
      <c r="L42" s="909"/>
      <c r="M42" s="910"/>
      <c r="N42" s="911" t="s">
        <v>2339</v>
      </c>
      <c r="O42" s="911" t="s">
        <v>2340</v>
      </c>
      <c r="P42" s="912" t="s">
        <v>2341</v>
      </c>
      <c r="Q42" s="912" t="s">
        <v>2342</v>
      </c>
      <c r="R42" s="930" t="s">
        <v>2270</v>
      </c>
      <c r="S42" s="939"/>
      <c r="T42" s="939"/>
      <c r="U42" s="926"/>
      <c r="V42" s="887"/>
    </row>
    <row r="43" spans="1:23" ht="13.15" customHeight="1">
      <c r="A43" s="773"/>
      <c r="B43" s="773"/>
      <c r="C43" s="773"/>
      <c r="D43" s="773"/>
      <c r="E43" s="773"/>
      <c r="F43" s="773"/>
      <c r="I43" s="777"/>
      <c r="J43" s="3947"/>
      <c r="K43" s="914"/>
      <c r="L43" s="915"/>
      <c r="M43" s="916"/>
      <c r="N43" s="898"/>
      <c r="O43" s="898"/>
      <c r="P43" s="898"/>
      <c r="Q43" s="938"/>
      <c r="R43" s="936">
        <f>ROUND(O43*N43*P43*(1-Q43)/10000,0)</f>
        <v>0</v>
      </c>
      <c r="S43" s="923"/>
      <c r="T43" s="926"/>
      <c r="V43" s="779"/>
      <c r="W43" s="947"/>
    </row>
    <row r="44" spans="1:23" ht="13.15"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4.75">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1022</v>
      </c>
      <c r="B4" s="224"/>
      <c r="C4" s="3864" t="s">
        <v>1023</v>
      </c>
      <c r="D4" s="3865"/>
      <c r="E4" s="3880" t="s">
        <v>1024</v>
      </c>
      <c r="F4" s="3881"/>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47" t="s">
        <v>1025</v>
      </c>
      <c r="AC4" s="3828" t="s">
        <v>1026</v>
      </c>
    </row>
    <row r="5" spans="1:29" ht="15">
      <c r="A5" s="225"/>
      <c r="B5" s="226"/>
      <c r="C5" s="3866" t="s">
        <v>1029</v>
      </c>
      <c r="D5" s="3867"/>
      <c r="E5" s="3882" t="s">
        <v>1030</v>
      </c>
      <c r="F5" s="3883"/>
      <c r="G5" s="3866" t="s">
        <v>1031</v>
      </c>
      <c r="H5" s="3867"/>
      <c r="I5" s="3866" t="s">
        <v>1032</v>
      </c>
      <c r="J5" s="3867"/>
      <c r="K5" s="388"/>
      <c r="L5" s="389"/>
      <c r="M5" s="390"/>
      <c r="N5" s="390"/>
      <c r="O5" s="390"/>
      <c r="P5" s="3837"/>
      <c r="Q5" s="3838"/>
      <c r="R5" s="3843"/>
      <c r="S5" s="3844"/>
      <c r="T5" s="3843"/>
      <c r="U5" s="3844"/>
      <c r="V5" s="3847"/>
      <c r="W5" s="3847"/>
      <c r="X5" s="460"/>
      <c r="Y5" s="3843"/>
      <c r="Z5" s="3844"/>
      <c r="AA5" s="3829"/>
      <c r="AB5" s="3847"/>
      <c r="AC5" s="3829"/>
    </row>
    <row r="6" spans="1:29" ht="15">
      <c r="A6" s="227"/>
      <c r="B6" s="228"/>
      <c r="C6" s="3877" t="s">
        <v>1033</v>
      </c>
      <c r="D6" s="3862"/>
      <c r="E6" s="3878" t="s">
        <v>1033</v>
      </c>
      <c r="F6" s="3879"/>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47"/>
      <c r="AC6" s="3830"/>
    </row>
    <row r="7" spans="1:29" s="199" customFormat="1" ht="15">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53" t="s">
        <v>1036</v>
      </c>
      <c r="Q7" s="3863"/>
      <c r="R7" s="461" t="s">
        <v>1037</v>
      </c>
      <c r="S7" s="462">
        <f t="shared" ref="S7:S15" si="0">F7</f>
        <v>0</v>
      </c>
      <c r="T7" s="461" t="s">
        <v>1037</v>
      </c>
      <c r="U7" s="462">
        <f t="shared" ref="U7:U15" si="1">H7</f>
        <v>0</v>
      </c>
      <c r="V7" s="461" t="s">
        <v>1037</v>
      </c>
      <c r="W7" s="462">
        <f t="shared" ref="W7:W15" si="2">J7</f>
        <v>0</v>
      </c>
      <c r="X7" s="463"/>
      <c r="Y7" s="3853" t="s">
        <v>1036</v>
      </c>
      <c r="Z7" s="3854"/>
      <c r="AA7" s="480" t="e">
        <f>D7/F7</f>
        <v>#DIV/0!</v>
      </c>
      <c r="AB7" s="480" t="e">
        <f>D7/H7</f>
        <v>#DIV/0!</v>
      </c>
      <c r="AC7" s="480" t="e">
        <f>D7/J7</f>
        <v>#DIV/0!</v>
      </c>
    </row>
    <row r="8" spans="1:29" s="199" customFormat="1" ht="15">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3" t="s">
        <v>1041</v>
      </c>
      <c r="Q8" s="3854"/>
      <c r="R8" s="461" t="s">
        <v>1037</v>
      </c>
      <c r="S8" s="462">
        <f t="shared" si="0"/>
        <v>0</v>
      </c>
      <c r="T8" s="461" t="s">
        <v>1037</v>
      </c>
      <c r="U8" s="462">
        <f t="shared" si="1"/>
        <v>0</v>
      </c>
      <c r="V8" s="461" t="s">
        <v>1037</v>
      </c>
      <c r="W8" s="462">
        <f t="shared" si="2"/>
        <v>0</v>
      </c>
      <c r="X8" s="463"/>
      <c r="Y8" s="3853" t="s">
        <v>1041</v>
      </c>
      <c r="Z8" s="3854"/>
      <c r="AA8" s="480" t="e">
        <f t="shared" ref="AA8:AA46" si="3">D8/F8</f>
        <v>#DIV/0!</v>
      </c>
      <c r="AB8" s="480" t="e">
        <f t="shared" ref="AB8:AB46" si="4">D8/H8</f>
        <v>#DIV/0!</v>
      </c>
      <c r="AC8" s="480" t="e">
        <f t="shared" ref="AC8:AC46" si="5">D8/J8</f>
        <v>#DIV/0!</v>
      </c>
    </row>
    <row r="9" spans="1:29" s="199" customFormat="1" ht="15">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8"/>
      <c r="Q11" s="464" t="str">
        <f t="shared" si="6"/>
        <v>容积率</v>
      </c>
      <c r="R11" s="461" t="s">
        <v>1037</v>
      </c>
      <c r="S11" s="462" t="e">
        <f t="shared" si="0"/>
        <v>#N/A</v>
      </c>
      <c r="T11" s="461" t="s">
        <v>1037</v>
      </c>
      <c r="U11" s="462" t="e">
        <f t="shared" si="1"/>
        <v>#N/A</v>
      </c>
      <c r="V11" s="461" t="s">
        <v>1037</v>
      </c>
      <c r="W11" s="462" t="e">
        <f t="shared" si="2"/>
        <v>#N/A</v>
      </c>
      <c r="X11" s="463"/>
      <c r="Y11" s="381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71.25">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5" t="s">
        <v>1049</v>
      </c>
      <c r="Q15" s="395" t="str">
        <f t="shared" si="6"/>
        <v>商业繁华度</v>
      </c>
      <c r="R15" s="465" t="s">
        <v>1037</v>
      </c>
      <c r="S15" s="466">
        <f t="shared" si="0"/>
        <v>100</v>
      </c>
      <c r="T15" s="465" t="s">
        <v>1037</v>
      </c>
      <c r="U15" s="466">
        <f t="shared" si="1"/>
        <v>100</v>
      </c>
      <c r="V15" s="465" t="s">
        <v>1037</v>
      </c>
      <c r="W15" s="466">
        <f t="shared" si="2"/>
        <v>100</v>
      </c>
      <c r="X15" s="460"/>
      <c r="Y15" s="3855"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6"/>
      <c r="Q16" s="395"/>
      <c r="R16" s="465"/>
      <c r="S16" s="466"/>
      <c r="T16" s="465"/>
      <c r="U16" s="466"/>
      <c r="V16" s="465"/>
      <c r="W16" s="466"/>
      <c r="X16" s="460"/>
      <c r="Y16" s="385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6"/>
      <c r="Q18" s="395"/>
      <c r="R18" s="465"/>
      <c r="S18" s="466"/>
      <c r="T18" s="465"/>
      <c r="U18" s="466"/>
      <c r="V18" s="465"/>
      <c r="W18" s="466"/>
      <c r="X18" s="460"/>
      <c r="Y18" s="385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56"/>
      <c r="Q20" s="395"/>
      <c r="R20" s="465"/>
      <c r="S20" s="466"/>
      <c r="T20" s="465"/>
      <c r="U20" s="466"/>
      <c r="V20" s="465"/>
      <c r="W20" s="466"/>
      <c r="X20" s="460"/>
      <c r="Y20" s="385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56"/>
      <c r="Q22" s="395"/>
      <c r="R22" s="465"/>
      <c r="S22" s="466"/>
      <c r="T22" s="465"/>
      <c r="U22" s="466"/>
      <c r="V22" s="465"/>
      <c r="W22" s="466"/>
      <c r="X22" s="460"/>
      <c r="Y22" s="3856"/>
      <c r="Z22" s="459"/>
      <c r="AA22" s="471">
        <v>1</v>
      </c>
      <c r="AB22" s="471">
        <v>1</v>
      </c>
      <c r="AC22" s="471">
        <v>1</v>
      </c>
    </row>
    <row r="23" spans="1:29" ht="57">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6"/>
      <c r="Q23" s="395" t="str">
        <f>B23</f>
        <v>自然及人文环境</v>
      </c>
      <c r="R23" s="465" t="s">
        <v>1037</v>
      </c>
      <c r="S23" s="466">
        <f>F23</f>
        <v>100</v>
      </c>
      <c r="T23" s="465" t="s">
        <v>1037</v>
      </c>
      <c r="U23" s="466">
        <f>H23</f>
        <v>100</v>
      </c>
      <c r="V23" s="465" t="s">
        <v>1037</v>
      </c>
      <c r="W23" s="466">
        <f>J23</f>
        <v>100</v>
      </c>
      <c r="X23" s="460"/>
      <c r="Y23" s="385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56"/>
      <c r="Q24" s="395"/>
      <c r="R24" s="465"/>
      <c r="S24" s="466"/>
      <c r="T24" s="465"/>
      <c r="U24" s="466"/>
      <c r="V24" s="465"/>
      <c r="W24" s="466"/>
      <c r="X24" s="460"/>
      <c r="Y24" s="3856"/>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6"/>
      <c r="Q25" s="395" t="str">
        <f t="shared" ref="Q25:Q46" si="8">B25</f>
        <v>临街状况</v>
      </c>
      <c r="R25" s="465" t="s">
        <v>1037</v>
      </c>
      <c r="S25" s="466">
        <f>F25</f>
        <v>100</v>
      </c>
      <c r="T25" s="465" t="s">
        <v>1037</v>
      </c>
      <c r="U25" s="466">
        <f>H25</f>
        <v>100</v>
      </c>
      <c r="V25" s="465" t="s">
        <v>1037</v>
      </c>
      <c r="W25" s="466">
        <f>J25</f>
        <v>100</v>
      </c>
      <c r="X25" s="460"/>
      <c r="Y25" s="3856"/>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6"/>
      <c r="Q26" s="395" t="str">
        <f t="shared" si="8"/>
        <v>平面位置/可视性</v>
      </c>
      <c r="R26" s="465" t="s">
        <v>1037</v>
      </c>
      <c r="S26" s="466">
        <f>F26</f>
        <v>100</v>
      </c>
      <c r="T26" s="465" t="s">
        <v>1037</v>
      </c>
      <c r="U26" s="466">
        <f>H26</f>
        <v>100</v>
      </c>
      <c r="V26" s="465" t="s">
        <v>1037</v>
      </c>
      <c r="W26" s="466">
        <f>J26</f>
        <v>100</v>
      </c>
      <c r="X26" s="460"/>
      <c r="Y26" s="3856"/>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56"/>
      <c r="Q27" s="464" t="str">
        <f t="shared" si="8"/>
        <v>人流量</v>
      </c>
      <c r="R27" s="461" t="s">
        <v>1037</v>
      </c>
      <c r="S27" s="462">
        <f>F27</f>
        <v>100</v>
      </c>
      <c r="T27" s="461" t="s">
        <v>1037</v>
      </c>
      <c r="U27" s="462">
        <f>H27</f>
        <v>100</v>
      </c>
      <c r="V27" s="461" t="s">
        <v>1037</v>
      </c>
      <c r="W27" s="462">
        <f>J27</f>
        <v>100</v>
      </c>
      <c r="X27" s="463"/>
      <c r="Y27" s="3856"/>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6"/>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56"/>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6"/>
      <c r="Q29" s="395">
        <f t="shared" si="8"/>
        <v>111</v>
      </c>
      <c r="R29" s="465" t="s">
        <v>1037</v>
      </c>
      <c r="S29" s="466">
        <f t="shared" si="9"/>
        <v>100</v>
      </c>
      <c r="T29" s="465" t="s">
        <v>1037</v>
      </c>
      <c r="U29" s="466">
        <f t="shared" si="10"/>
        <v>100</v>
      </c>
      <c r="V29" s="465" t="s">
        <v>1037</v>
      </c>
      <c r="W29" s="466">
        <f t="shared" si="11"/>
        <v>100</v>
      </c>
      <c r="X29" s="460"/>
      <c r="Y29" s="385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6"/>
      <c r="Q30" s="395">
        <f t="shared" si="8"/>
        <v>111</v>
      </c>
      <c r="R30" s="465" t="s">
        <v>1037</v>
      </c>
      <c r="S30" s="466">
        <f t="shared" si="9"/>
        <v>100</v>
      </c>
      <c r="T30" s="465" t="s">
        <v>1037</v>
      </c>
      <c r="U30" s="466">
        <f t="shared" si="10"/>
        <v>100</v>
      </c>
      <c r="V30" s="465" t="s">
        <v>1037</v>
      </c>
      <c r="W30" s="466">
        <f t="shared" si="11"/>
        <v>100</v>
      </c>
      <c r="X30" s="460"/>
      <c r="Y30" s="3856"/>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6"/>
      <c r="Q31" s="395">
        <f t="shared" si="8"/>
        <v>111</v>
      </c>
      <c r="R31" s="465" t="s">
        <v>1037</v>
      </c>
      <c r="S31" s="466">
        <f t="shared" si="9"/>
        <v>100</v>
      </c>
      <c r="T31" s="465" t="s">
        <v>1037</v>
      </c>
      <c r="U31" s="466">
        <f t="shared" si="10"/>
        <v>100</v>
      </c>
      <c r="V31" s="465" t="s">
        <v>1037</v>
      </c>
      <c r="W31" s="466">
        <f t="shared" si="11"/>
        <v>100</v>
      </c>
      <c r="X31" s="460"/>
      <c r="Y31" s="3856"/>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57" t="s">
        <v>1053</v>
      </c>
      <c r="Q32" s="395" t="str">
        <f t="shared" si="8"/>
        <v>商业类型</v>
      </c>
      <c r="R32" s="465" t="s">
        <v>1037</v>
      </c>
      <c r="S32" s="466">
        <f t="shared" si="9"/>
        <v>100</v>
      </c>
      <c r="T32" s="465" t="s">
        <v>1037</v>
      </c>
      <c r="U32" s="466">
        <f t="shared" si="10"/>
        <v>100</v>
      </c>
      <c r="V32" s="465" t="s">
        <v>1037</v>
      </c>
      <c r="W32" s="466">
        <f t="shared" si="11"/>
        <v>100</v>
      </c>
      <c r="X32" s="460"/>
      <c r="Y32" s="3858"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8"/>
      <c r="Q33" s="467" t="str">
        <f t="shared" si="8"/>
        <v>项目建筑规模</v>
      </c>
      <c r="R33" s="468" t="s">
        <v>1037</v>
      </c>
      <c r="S33" s="469" t="e">
        <f t="shared" si="9"/>
        <v>#N/A</v>
      </c>
      <c r="T33" s="468" t="s">
        <v>1037</v>
      </c>
      <c r="U33" s="469" t="e">
        <f t="shared" si="10"/>
        <v>#N/A</v>
      </c>
      <c r="V33" s="468" t="s">
        <v>1037</v>
      </c>
      <c r="W33" s="469" t="e">
        <f t="shared" si="11"/>
        <v>#N/A</v>
      </c>
      <c r="X33" s="470"/>
      <c r="Y33" s="3858"/>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8"/>
      <c r="Q34" s="395" t="str">
        <f t="shared" si="8"/>
        <v>建筑结构</v>
      </c>
      <c r="R34" s="465" t="s">
        <v>1037</v>
      </c>
      <c r="S34" s="466">
        <f t="shared" si="9"/>
        <v>100</v>
      </c>
      <c r="T34" s="465" t="s">
        <v>1037</v>
      </c>
      <c r="U34" s="466">
        <f t="shared" si="10"/>
        <v>100</v>
      </c>
      <c r="V34" s="465" t="s">
        <v>1037</v>
      </c>
      <c r="W34" s="466">
        <f t="shared" si="11"/>
        <v>100</v>
      </c>
      <c r="X34" s="460"/>
      <c r="Y34" s="3858"/>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8"/>
      <c r="Q35" s="395" t="str">
        <f t="shared" si="8"/>
        <v>公共部分装修</v>
      </c>
      <c r="R35" s="465" t="s">
        <v>1037</v>
      </c>
      <c r="S35" s="466">
        <f t="shared" si="9"/>
        <v>100</v>
      </c>
      <c r="T35" s="465" t="s">
        <v>1037</v>
      </c>
      <c r="U35" s="466">
        <f t="shared" si="10"/>
        <v>100</v>
      </c>
      <c r="V35" s="465" t="s">
        <v>1037</v>
      </c>
      <c r="W35" s="466">
        <f t="shared" si="11"/>
        <v>100</v>
      </c>
      <c r="X35" s="460"/>
      <c r="Y35" s="3858"/>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8"/>
      <c r="Q36" s="395" t="str">
        <f t="shared" si="8"/>
        <v>成新度</v>
      </c>
      <c r="R36" s="465" t="s">
        <v>1037</v>
      </c>
      <c r="S36" s="466" t="e">
        <f t="shared" si="9"/>
        <v>#N/A</v>
      </c>
      <c r="T36" s="465" t="s">
        <v>1037</v>
      </c>
      <c r="U36" s="466" t="e">
        <f t="shared" si="10"/>
        <v>#N/A</v>
      </c>
      <c r="V36" s="465" t="s">
        <v>1037</v>
      </c>
      <c r="W36" s="466" t="e">
        <f t="shared" si="11"/>
        <v>#N/A</v>
      </c>
      <c r="X36" s="460"/>
      <c r="Y36" s="3858"/>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8"/>
      <c r="Q37" s="464" t="str">
        <f t="shared" si="8"/>
        <v>市政基础设施</v>
      </c>
      <c r="R37" s="461" t="s">
        <v>1037</v>
      </c>
      <c r="S37" s="462">
        <f t="shared" si="9"/>
        <v>100</v>
      </c>
      <c r="T37" s="461" t="s">
        <v>1037</v>
      </c>
      <c r="U37" s="462">
        <f t="shared" si="10"/>
        <v>100</v>
      </c>
      <c r="V37" s="461" t="s">
        <v>1037</v>
      </c>
      <c r="W37" s="462">
        <f t="shared" si="11"/>
        <v>100</v>
      </c>
      <c r="X37" s="463"/>
      <c r="Y37" s="3858"/>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8" t="s">
        <v>1053</v>
      </c>
      <c r="Q38" s="395" t="str">
        <f t="shared" si="8"/>
        <v>业态</v>
      </c>
      <c r="R38" s="465" t="s">
        <v>1037</v>
      </c>
      <c r="S38" s="466">
        <f t="shared" si="9"/>
        <v>100</v>
      </c>
      <c r="T38" s="465" t="s">
        <v>1037</v>
      </c>
      <c r="U38" s="466">
        <f t="shared" si="10"/>
        <v>100</v>
      </c>
      <c r="V38" s="465" t="s">
        <v>1037</v>
      </c>
      <c r="W38" s="466">
        <f t="shared" si="11"/>
        <v>100</v>
      </c>
      <c r="X38" s="460"/>
      <c r="Y38" s="3858"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8"/>
      <c r="Q39" s="395" t="str">
        <f t="shared" si="8"/>
        <v>层高</v>
      </c>
      <c r="R39" s="465" t="s">
        <v>1037</v>
      </c>
      <c r="S39" s="466">
        <f t="shared" si="9"/>
        <v>100</v>
      </c>
      <c r="T39" s="465" t="s">
        <v>1037</v>
      </c>
      <c r="U39" s="466">
        <f t="shared" si="10"/>
        <v>100</v>
      </c>
      <c r="V39" s="465" t="s">
        <v>1037</v>
      </c>
      <c r="W39" s="466">
        <f t="shared" si="11"/>
        <v>100</v>
      </c>
      <c r="X39" s="460"/>
      <c r="Y39" s="3858"/>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8"/>
      <c r="Q40" s="395" t="str">
        <f t="shared" si="8"/>
        <v>单套建筑面积</v>
      </c>
      <c r="R40" s="465" t="s">
        <v>1037</v>
      </c>
      <c r="S40" s="466">
        <f t="shared" si="9"/>
        <v>100</v>
      </c>
      <c r="T40" s="465" t="s">
        <v>1037</v>
      </c>
      <c r="U40" s="466">
        <f t="shared" si="10"/>
        <v>100</v>
      </c>
      <c r="V40" s="465" t="s">
        <v>1037</v>
      </c>
      <c r="W40" s="466">
        <f t="shared" si="11"/>
        <v>100</v>
      </c>
      <c r="X40" s="460"/>
      <c r="Y40" s="3858"/>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8"/>
      <c r="Q41" s="467" t="str">
        <f t="shared" si="8"/>
        <v>进深比</v>
      </c>
      <c r="R41" s="468" t="s">
        <v>1037</v>
      </c>
      <c r="S41" s="469">
        <f t="shared" si="9"/>
        <v>100</v>
      </c>
      <c r="T41" s="468" t="s">
        <v>1037</v>
      </c>
      <c r="U41" s="469">
        <f t="shared" si="10"/>
        <v>100</v>
      </c>
      <c r="V41" s="468" t="s">
        <v>1037</v>
      </c>
      <c r="W41" s="469">
        <f t="shared" si="11"/>
        <v>100</v>
      </c>
      <c r="X41" s="470"/>
      <c r="Y41" s="3858"/>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8"/>
      <c r="Q42" s="395" t="str">
        <f t="shared" si="8"/>
        <v>内部装修</v>
      </c>
      <c r="R42" s="465" t="s">
        <v>1037</v>
      </c>
      <c r="S42" s="466">
        <f t="shared" si="9"/>
        <v>100</v>
      </c>
      <c r="T42" s="465" t="s">
        <v>1037</v>
      </c>
      <c r="U42" s="466">
        <f t="shared" si="10"/>
        <v>100</v>
      </c>
      <c r="V42" s="465" t="s">
        <v>1037</v>
      </c>
      <c r="W42" s="466">
        <f t="shared" si="11"/>
        <v>100</v>
      </c>
      <c r="X42" s="460"/>
      <c r="Y42" s="3858"/>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8"/>
      <c r="Q43" s="395" t="str">
        <f t="shared" si="8"/>
        <v>内部装修维护情况</v>
      </c>
      <c r="R43" s="465" t="s">
        <v>1037</v>
      </c>
      <c r="S43" s="466">
        <f t="shared" si="9"/>
        <v>100</v>
      </c>
      <c r="T43" s="465" t="s">
        <v>1037</v>
      </c>
      <c r="U43" s="466">
        <f t="shared" si="10"/>
        <v>100</v>
      </c>
      <c r="V43" s="465" t="s">
        <v>1037</v>
      </c>
      <c r="W43" s="466">
        <f t="shared" si="11"/>
        <v>100</v>
      </c>
      <c r="X43" s="460"/>
      <c r="Y43" s="385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8"/>
      <c r="Q44" s="464">
        <f t="shared" si="8"/>
        <v>111</v>
      </c>
      <c r="R44" s="461" t="s">
        <v>1037</v>
      </c>
      <c r="S44" s="462">
        <f t="shared" si="9"/>
        <v>100</v>
      </c>
      <c r="T44" s="461" t="s">
        <v>1037</v>
      </c>
      <c r="U44" s="462">
        <f t="shared" si="10"/>
        <v>100</v>
      </c>
      <c r="V44" s="461" t="s">
        <v>1037</v>
      </c>
      <c r="W44" s="462">
        <f t="shared" si="11"/>
        <v>100</v>
      </c>
      <c r="X44" s="463"/>
      <c r="Y44" s="385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8"/>
      <c r="Q45" s="395">
        <f t="shared" si="8"/>
        <v>111</v>
      </c>
      <c r="R45" s="465" t="s">
        <v>1037</v>
      </c>
      <c r="S45" s="466">
        <f t="shared" si="9"/>
        <v>100</v>
      </c>
      <c r="T45" s="465" t="s">
        <v>1037</v>
      </c>
      <c r="U45" s="466">
        <f t="shared" si="10"/>
        <v>100</v>
      </c>
      <c r="V45" s="465" t="s">
        <v>1037</v>
      </c>
      <c r="W45" s="466">
        <f t="shared" si="11"/>
        <v>100</v>
      </c>
      <c r="X45" s="460"/>
      <c r="Y45" s="3858"/>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0"/>
      <c r="Q46" s="395">
        <f t="shared" si="8"/>
        <v>111</v>
      </c>
      <c r="R46" s="465" t="s">
        <v>1037</v>
      </c>
      <c r="S46" s="466">
        <f t="shared" si="9"/>
        <v>100</v>
      </c>
      <c r="T46" s="465" t="s">
        <v>1037</v>
      </c>
      <c r="U46" s="466">
        <f t="shared" si="10"/>
        <v>100</v>
      </c>
      <c r="V46" s="465" t="s">
        <v>1037</v>
      </c>
      <c r="W46" s="466">
        <f t="shared" si="11"/>
        <v>100</v>
      </c>
      <c r="X46" s="460"/>
      <c r="Y46" s="3940"/>
      <c r="Z46" s="459">
        <f t="shared" si="12"/>
        <v>111</v>
      </c>
      <c r="AA46" s="471">
        <f t="shared" si="3"/>
        <v>1</v>
      </c>
      <c r="AB46" s="471">
        <f t="shared" si="4"/>
        <v>1</v>
      </c>
      <c r="AC46" s="471">
        <f t="shared" si="5"/>
        <v>1</v>
      </c>
    </row>
    <row r="47" spans="1:29" ht="15">
      <c r="A47" s="312" t="s">
        <v>2413</v>
      </c>
      <c r="B47" s="313"/>
      <c r="C47" s="314" t="s">
        <v>138</v>
      </c>
      <c r="D47" s="315"/>
      <c r="E47" s="316"/>
      <c r="F47" s="317"/>
      <c r="G47" s="318"/>
      <c r="H47" s="319"/>
      <c r="I47" s="316"/>
      <c r="J47" s="319"/>
      <c r="K47" s="409"/>
      <c r="L47" s="410"/>
      <c r="M47" s="340"/>
      <c r="N47" s="390"/>
      <c r="O47" s="340"/>
      <c r="P47" s="3848" t="str">
        <f>A47</f>
        <v>成交单价（元/平方米）</v>
      </c>
      <c r="Q47" s="3848"/>
      <c r="R47" s="3938">
        <f>E47</f>
        <v>0</v>
      </c>
      <c r="S47" s="3938"/>
      <c r="T47" s="3938">
        <f>G47</f>
        <v>0</v>
      </c>
      <c r="U47" s="3938"/>
      <c r="V47" s="3938">
        <f>I47</f>
        <v>0</v>
      </c>
      <c r="W47" s="3938"/>
      <c r="X47" s="342"/>
      <c r="Y47" s="483"/>
      <c r="Z47" s="342"/>
      <c r="AA47" s="342"/>
      <c r="AB47" s="342"/>
      <c r="AC47" s="342"/>
    </row>
    <row r="48" spans="1:29" ht="15">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48" t="str">
        <f>A48</f>
        <v>比较价格（元/平方米）</v>
      </c>
      <c r="Q48" s="3848"/>
      <c r="R48" s="3938" t="e">
        <f>IF(F1="售价",ROUND(PRODUCT(R47,AA7:AA46),0),ROUND(PRODUCT(R47,AA7:AA46),1))</f>
        <v>#DIV/0!</v>
      </c>
      <c r="S48" s="3938"/>
      <c r="T48" s="3938" t="e">
        <f>IF(F1="售价",ROUND(PRODUCT(T47,AB7:AB46),0),ROUND(PRODUCT(T47,AB7:AB46),1))</f>
        <v>#DIV/0!</v>
      </c>
      <c r="U48" s="3938"/>
      <c r="V48" s="3938" t="e">
        <f>IF(F1="售价",ROUND(PRODUCT(V47,AC7:AC46),0),ROUND(PRODUCT(V47,AC7:AC46),1))</f>
        <v>#DIV/0!</v>
      </c>
      <c r="W48" s="3938"/>
      <c r="X48" s="342"/>
      <c r="Y48" s="342"/>
      <c r="Z48" s="342"/>
      <c r="AA48" s="342"/>
      <c r="AB48" s="342"/>
      <c r="AC48" s="342"/>
    </row>
    <row r="49" spans="1:29" ht="15">
      <c r="A49" s="326" t="s">
        <v>1064</v>
      </c>
      <c r="B49" s="327"/>
      <c r="C49" s="328" t="e">
        <f>R49</f>
        <v>#DIV/0!</v>
      </c>
      <c r="D49" s="328"/>
      <c r="E49" s="328"/>
      <c r="F49" s="328"/>
      <c r="G49" s="328"/>
      <c r="H49" s="328"/>
      <c r="I49" s="328"/>
      <c r="J49" s="328"/>
      <c r="K49" s="412"/>
      <c r="L49" s="410"/>
      <c r="M49" s="340"/>
      <c r="N49" s="390"/>
      <c r="O49" s="340"/>
      <c r="P49" s="3850" t="str">
        <f>A49</f>
        <v>估价对象XX用房的比较价格（楼面单价，元/平方米）</v>
      </c>
      <c r="Q49" s="3851"/>
      <c r="R49" s="3939" t="e">
        <f>IF(F1="售价",ROUND(IF(D48="简单平均",AVERAGE(R48:V48),R48*F48+T48*H48+V48*J48),0),ROUND(IF(D48="简单平均",AVERAGE(R48:V48),R48*F48+T48*H48+V48*J48),1))</f>
        <v>#DIV/0!</v>
      </c>
      <c r="S49" s="3939"/>
      <c r="T49" s="3939"/>
      <c r="U49" s="3939"/>
      <c r="V49" s="3939"/>
      <c r="W49" s="3939"/>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1022</v>
      </c>
      <c r="B4" s="224"/>
      <c r="C4" s="3864" t="s">
        <v>1023</v>
      </c>
      <c r="D4" s="3865"/>
      <c r="E4" s="3880" t="s">
        <v>1024</v>
      </c>
      <c r="F4" s="3881"/>
      <c r="G4" s="3864" t="s">
        <v>1025</v>
      </c>
      <c r="H4" s="3865"/>
      <c r="I4" s="3864" t="s">
        <v>1026</v>
      </c>
      <c r="J4" s="3865"/>
      <c r="K4" s="388" t="s">
        <v>1027</v>
      </c>
      <c r="L4" s="389"/>
      <c r="M4" s="390"/>
      <c r="N4" s="390"/>
      <c r="O4" s="390"/>
      <c r="P4" s="3964" t="s">
        <v>1028</v>
      </c>
      <c r="Q4" s="3836"/>
      <c r="R4" s="3841" t="s">
        <v>1024</v>
      </c>
      <c r="S4" s="3842"/>
      <c r="T4" s="3841" t="s">
        <v>1025</v>
      </c>
      <c r="U4" s="3842"/>
      <c r="V4" s="3847" t="s">
        <v>1026</v>
      </c>
      <c r="W4" s="3847"/>
      <c r="X4" s="460"/>
      <c r="Y4" s="3841" t="s">
        <v>1028</v>
      </c>
      <c r="Z4" s="3842"/>
      <c r="AA4" s="3828" t="s">
        <v>1024</v>
      </c>
      <c r="AB4" s="3828" t="s">
        <v>1025</v>
      </c>
      <c r="AC4" s="3828" t="s">
        <v>1026</v>
      </c>
    </row>
    <row r="5" spans="1:29" ht="15">
      <c r="A5" s="225"/>
      <c r="B5" s="226"/>
      <c r="C5" s="3866" t="s">
        <v>1029</v>
      </c>
      <c r="D5" s="3867"/>
      <c r="E5" s="3882" t="s">
        <v>1030</v>
      </c>
      <c r="F5" s="3883"/>
      <c r="G5" s="3866" t="s">
        <v>1031</v>
      </c>
      <c r="H5" s="3867"/>
      <c r="I5" s="3866" t="s">
        <v>1032</v>
      </c>
      <c r="J5" s="3867"/>
      <c r="K5" s="388"/>
      <c r="L5" s="389"/>
      <c r="M5" s="390"/>
      <c r="N5" s="390"/>
      <c r="O5" s="390"/>
      <c r="P5" s="3965"/>
      <c r="Q5" s="3838"/>
      <c r="R5" s="3843"/>
      <c r="S5" s="3844"/>
      <c r="T5" s="3843"/>
      <c r="U5" s="3844"/>
      <c r="V5" s="3847"/>
      <c r="W5" s="3847"/>
      <c r="X5" s="460"/>
      <c r="Y5" s="3843"/>
      <c r="Z5" s="3844"/>
      <c r="AA5" s="3829"/>
      <c r="AB5" s="3829"/>
      <c r="AC5" s="3829"/>
    </row>
    <row r="6" spans="1:29" ht="15">
      <c r="A6" s="227"/>
      <c r="B6" s="228"/>
      <c r="C6" s="3877" t="s">
        <v>1033</v>
      </c>
      <c r="D6" s="3862"/>
      <c r="E6" s="3878" t="s">
        <v>1033</v>
      </c>
      <c r="F6" s="3879"/>
      <c r="G6" s="3877" t="s">
        <v>1033</v>
      </c>
      <c r="H6" s="3862"/>
      <c r="I6" s="3877" t="s">
        <v>1033</v>
      </c>
      <c r="J6" s="3862"/>
      <c r="K6" s="388" t="s">
        <v>1034</v>
      </c>
      <c r="L6" s="389"/>
      <c r="M6" s="390"/>
      <c r="N6" s="390"/>
      <c r="O6" s="390"/>
      <c r="P6" s="3966"/>
      <c r="Q6" s="3840"/>
      <c r="R6" s="3843"/>
      <c r="S6" s="3844"/>
      <c r="T6" s="3845"/>
      <c r="U6" s="3846"/>
      <c r="V6" s="3847"/>
      <c r="W6" s="3847"/>
      <c r="X6" s="460"/>
      <c r="Y6" s="3845"/>
      <c r="Z6" s="3846"/>
      <c r="AA6" s="3830"/>
      <c r="AB6" s="3830"/>
      <c r="AC6" s="3830"/>
    </row>
    <row r="7" spans="1:29" s="199" customFormat="1" ht="15">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63" t="s">
        <v>1036</v>
      </c>
      <c r="Q7" s="3863"/>
      <c r="R7" s="461" t="s">
        <v>1037</v>
      </c>
      <c r="S7" s="462">
        <f t="shared" ref="S7:S15" si="0">F7</f>
        <v>0</v>
      </c>
      <c r="T7" s="461" t="s">
        <v>1037</v>
      </c>
      <c r="U7" s="462">
        <f t="shared" ref="U7:U15" si="1">H7</f>
        <v>0</v>
      </c>
      <c r="V7" s="461" t="s">
        <v>1037</v>
      </c>
      <c r="W7" s="462">
        <f t="shared" ref="W7:W15" si="2">J7</f>
        <v>0</v>
      </c>
      <c r="X7" s="463"/>
      <c r="Y7" s="3853" t="s">
        <v>1036</v>
      </c>
      <c r="Z7" s="3854"/>
      <c r="AA7" s="480" t="e">
        <f>D7/F7</f>
        <v>#DIV/0!</v>
      </c>
      <c r="AB7" s="480" t="e">
        <f>D7/H7</f>
        <v>#DIV/0!</v>
      </c>
      <c r="AC7" s="480" t="e">
        <f>D7/J7</f>
        <v>#DIV/0!</v>
      </c>
    </row>
    <row r="8" spans="1:29" s="199" customFormat="1" ht="15">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3" t="s">
        <v>1041</v>
      </c>
      <c r="Q8" s="3854"/>
      <c r="R8" s="461" t="s">
        <v>1037</v>
      </c>
      <c r="S8" s="462">
        <f t="shared" si="0"/>
        <v>0</v>
      </c>
      <c r="T8" s="461" t="s">
        <v>1037</v>
      </c>
      <c r="U8" s="462">
        <f t="shared" si="1"/>
        <v>0</v>
      </c>
      <c r="V8" s="461" t="s">
        <v>1037</v>
      </c>
      <c r="W8" s="462">
        <f t="shared" si="2"/>
        <v>0</v>
      </c>
      <c r="X8" s="463"/>
      <c r="Y8" s="3853" t="s">
        <v>1041</v>
      </c>
      <c r="Z8" s="3854"/>
      <c r="AA8" s="480" t="e">
        <f t="shared" ref="AA8:AA47" si="3">D8/F8</f>
        <v>#DIV/0!</v>
      </c>
      <c r="AB8" s="480" t="e">
        <f t="shared" ref="AB8:AB47" si="4">D8/H8</f>
        <v>#DIV/0!</v>
      </c>
      <c r="AC8" s="480" t="e">
        <f t="shared" ref="AC8:AC47" si="5">D8/J8</f>
        <v>#DIV/0!</v>
      </c>
    </row>
    <row r="9" spans="1:29" s="199" customFormat="1" ht="15">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8"/>
      <c r="Q11" s="464" t="str">
        <f t="shared" si="6"/>
        <v>容积率</v>
      </c>
      <c r="R11" s="461" t="s">
        <v>1037</v>
      </c>
      <c r="S11" s="462" t="e">
        <f t="shared" si="0"/>
        <v>#N/A</v>
      </c>
      <c r="T11" s="461" t="s">
        <v>1037</v>
      </c>
      <c r="U11" s="462" t="e">
        <f t="shared" si="1"/>
        <v>#N/A</v>
      </c>
      <c r="V11" s="461" t="s">
        <v>1037</v>
      </c>
      <c r="W11" s="462" t="e">
        <f t="shared" si="2"/>
        <v>#N/A</v>
      </c>
      <c r="X11" s="463"/>
      <c r="Y11" s="381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71.25">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5" t="s">
        <v>1049</v>
      </c>
      <c r="Q15" s="395" t="str">
        <f t="shared" si="6"/>
        <v>办公集聚程度</v>
      </c>
      <c r="R15" s="465" t="s">
        <v>1037</v>
      </c>
      <c r="S15" s="466">
        <f t="shared" si="0"/>
        <v>100</v>
      </c>
      <c r="T15" s="465" t="s">
        <v>1037</v>
      </c>
      <c r="U15" s="466">
        <f t="shared" si="1"/>
        <v>100</v>
      </c>
      <c r="V15" s="465" t="s">
        <v>1037</v>
      </c>
      <c r="W15" s="466">
        <f t="shared" si="2"/>
        <v>100</v>
      </c>
      <c r="X15" s="460"/>
      <c r="Y15" s="3855"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56"/>
      <c r="Q16" s="395"/>
      <c r="R16" s="465"/>
      <c r="S16" s="466"/>
      <c r="T16" s="465"/>
      <c r="U16" s="466"/>
      <c r="V16" s="465"/>
      <c r="W16" s="466"/>
      <c r="X16" s="460"/>
      <c r="Y16" s="3856"/>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56"/>
      <c r="Q18" s="395"/>
      <c r="R18" s="465"/>
      <c r="S18" s="466"/>
      <c r="T18" s="465"/>
      <c r="U18" s="466"/>
      <c r="V18" s="465"/>
      <c r="W18" s="466"/>
      <c r="X18" s="460"/>
      <c r="Y18" s="3856"/>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56"/>
      <c r="Q20" s="395"/>
      <c r="R20" s="465"/>
      <c r="S20" s="466"/>
      <c r="T20" s="465"/>
      <c r="U20" s="466"/>
      <c r="V20" s="465"/>
      <c r="W20" s="466"/>
      <c r="X20" s="460"/>
      <c r="Y20" s="3856"/>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56"/>
      <c r="Q22" s="395"/>
      <c r="R22" s="465"/>
      <c r="S22" s="466"/>
      <c r="T22" s="465"/>
      <c r="U22" s="466"/>
      <c r="V22" s="465"/>
      <c r="W22" s="466"/>
      <c r="X22" s="460"/>
      <c r="Y22" s="3856"/>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6"/>
      <c r="Q23" s="395" t="str">
        <f>B23</f>
        <v>环境质量</v>
      </c>
      <c r="R23" s="465" t="s">
        <v>1037</v>
      </c>
      <c r="S23" s="466">
        <f>F23</f>
        <v>100</v>
      </c>
      <c r="T23" s="465" t="s">
        <v>1037</v>
      </c>
      <c r="U23" s="466">
        <f>H23</f>
        <v>100</v>
      </c>
      <c r="V23" s="465" t="s">
        <v>1037</v>
      </c>
      <c r="W23" s="466">
        <f>J23</f>
        <v>100</v>
      </c>
      <c r="X23" s="460"/>
      <c r="Y23" s="3856"/>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56"/>
      <c r="Q24" s="395"/>
      <c r="R24" s="465"/>
      <c r="S24" s="466"/>
      <c r="T24" s="465"/>
      <c r="U24" s="466"/>
      <c r="V24" s="465"/>
      <c r="W24" s="466"/>
      <c r="X24" s="460"/>
      <c r="Y24" s="3856"/>
      <c r="Z24" s="459"/>
      <c r="AA24" s="471">
        <v>1</v>
      </c>
      <c r="AB24" s="471">
        <v>1</v>
      </c>
      <c r="AC24" s="471">
        <v>1</v>
      </c>
    </row>
    <row r="25" spans="1:29" ht="27">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56"/>
      <c r="Q25" s="395" t="str">
        <f>B25</f>
        <v>毗邻道路的类型与等级</v>
      </c>
      <c r="R25" s="465" t="s">
        <v>1037</v>
      </c>
      <c r="S25" s="466">
        <f>F25</f>
        <v>100</v>
      </c>
      <c r="T25" s="465" t="s">
        <v>1037</v>
      </c>
      <c r="U25" s="466">
        <f>H25</f>
        <v>100</v>
      </c>
      <c r="V25" s="465" t="s">
        <v>1037</v>
      </c>
      <c r="W25" s="466">
        <f>J25</f>
        <v>100</v>
      </c>
      <c r="X25" s="460"/>
      <c r="Y25" s="3856"/>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56"/>
      <c r="Q26" s="395"/>
      <c r="R26" s="465"/>
      <c r="S26" s="466"/>
      <c r="T26" s="465"/>
      <c r="U26" s="466"/>
      <c r="V26" s="465"/>
      <c r="W26" s="466"/>
      <c r="X26" s="460"/>
      <c r="Y26" s="3856"/>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56"/>
      <c r="Q27" s="395" t="str">
        <f t="shared" ref="Q27:Q47" si="8">B27</f>
        <v>楼层</v>
      </c>
      <c r="R27" s="465" t="s">
        <v>1037</v>
      </c>
      <c r="S27" s="466">
        <f>F27</f>
        <v>100</v>
      </c>
      <c r="T27" s="465" t="s">
        <v>1037</v>
      </c>
      <c r="U27" s="466">
        <f>H27</f>
        <v>100</v>
      </c>
      <c r="V27" s="465" t="s">
        <v>1037</v>
      </c>
      <c r="W27" s="466">
        <f>J27</f>
        <v>100</v>
      </c>
      <c r="X27" s="460"/>
      <c r="Y27" s="3856"/>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56"/>
      <c r="Q28" s="464" t="str">
        <f t="shared" si="8"/>
        <v>朝向</v>
      </c>
      <c r="R28" s="461" t="s">
        <v>1037</v>
      </c>
      <c r="S28" s="462">
        <f>F28</f>
        <v>100</v>
      </c>
      <c r="T28" s="461" t="s">
        <v>1037</v>
      </c>
      <c r="U28" s="462">
        <f>H28</f>
        <v>100</v>
      </c>
      <c r="V28" s="461" t="s">
        <v>1037</v>
      </c>
      <c r="W28" s="462">
        <f>J28</f>
        <v>100</v>
      </c>
      <c r="X28" s="463"/>
      <c r="Y28" s="3856"/>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56"/>
      <c r="Q29" s="395">
        <f t="shared" si="8"/>
        <v>111</v>
      </c>
      <c r="R29" s="465" t="s">
        <v>1037</v>
      </c>
      <c r="S29" s="466">
        <f t="shared" ref="S29:S47" si="9">F29</f>
        <v>100</v>
      </c>
      <c r="T29" s="465" t="s">
        <v>1037</v>
      </c>
      <c r="U29" s="466">
        <f t="shared" ref="U29:U47" si="10">H29</f>
        <v>100</v>
      </c>
      <c r="V29" s="465" t="s">
        <v>1037</v>
      </c>
      <c r="W29" s="466">
        <f t="shared" ref="W29:W47" si="11">J29</f>
        <v>100</v>
      </c>
      <c r="X29" s="460"/>
      <c r="Y29" s="3856"/>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56"/>
      <c r="Q30" s="395">
        <f t="shared" si="8"/>
        <v>111</v>
      </c>
      <c r="R30" s="465" t="s">
        <v>1037</v>
      </c>
      <c r="S30" s="466">
        <f t="shared" si="9"/>
        <v>100</v>
      </c>
      <c r="T30" s="465" t="s">
        <v>1037</v>
      </c>
      <c r="U30" s="466">
        <f t="shared" si="10"/>
        <v>100</v>
      </c>
      <c r="V30" s="465" t="s">
        <v>1037</v>
      </c>
      <c r="W30" s="466">
        <f t="shared" si="11"/>
        <v>100</v>
      </c>
      <c r="X30" s="460"/>
      <c r="Y30" s="3856"/>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56"/>
      <c r="Q31" s="395">
        <f t="shared" si="8"/>
        <v>111</v>
      </c>
      <c r="R31" s="465" t="s">
        <v>1037</v>
      </c>
      <c r="S31" s="466">
        <f t="shared" si="9"/>
        <v>100</v>
      </c>
      <c r="T31" s="465" t="s">
        <v>1037</v>
      </c>
      <c r="U31" s="466">
        <f t="shared" si="10"/>
        <v>100</v>
      </c>
      <c r="V31" s="465" t="s">
        <v>1037</v>
      </c>
      <c r="W31" s="466">
        <f t="shared" si="11"/>
        <v>100</v>
      </c>
      <c r="X31" s="460"/>
      <c r="Y31" s="3856"/>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56"/>
      <c r="Q32" s="395">
        <f t="shared" si="8"/>
        <v>111</v>
      </c>
      <c r="R32" s="465" t="s">
        <v>1037</v>
      </c>
      <c r="S32" s="466">
        <f t="shared" si="9"/>
        <v>100</v>
      </c>
      <c r="T32" s="465" t="s">
        <v>1037</v>
      </c>
      <c r="U32" s="466">
        <f t="shared" si="10"/>
        <v>100</v>
      </c>
      <c r="V32" s="465" t="s">
        <v>1037</v>
      </c>
      <c r="W32" s="466">
        <f t="shared" si="11"/>
        <v>100</v>
      </c>
      <c r="X32" s="460"/>
      <c r="Y32" s="3856"/>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7" t="s">
        <v>1053</v>
      </c>
      <c r="Q33" s="395" t="str">
        <f t="shared" si="8"/>
        <v>建筑类型</v>
      </c>
      <c r="R33" s="465" t="s">
        <v>1037</v>
      </c>
      <c r="S33" s="466">
        <f t="shared" si="9"/>
        <v>100</v>
      </c>
      <c r="T33" s="465" t="s">
        <v>1037</v>
      </c>
      <c r="U33" s="466">
        <f t="shared" si="10"/>
        <v>100</v>
      </c>
      <c r="V33" s="465" t="s">
        <v>1037</v>
      </c>
      <c r="W33" s="466">
        <f t="shared" si="11"/>
        <v>100</v>
      </c>
      <c r="X33" s="460"/>
      <c r="Y33" s="3858"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8"/>
      <c r="Q34" s="467" t="str">
        <f t="shared" si="8"/>
        <v>项目建筑规模</v>
      </c>
      <c r="R34" s="468" t="s">
        <v>1037</v>
      </c>
      <c r="S34" s="469" t="e">
        <f t="shared" si="9"/>
        <v>#N/A</v>
      </c>
      <c r="T34" s="468" t="s">
        <v>1037</v>
      </c>
      <c r="U34" s="469" t="e">
        <f t="shared" si="10"/>
        <v>#N/A</v>
      </c>
      <c r="V34" s="468" t="s">
        <v>1037</v>
      </c>
      <c r="W34" s="469" t="e">
        <f t="shared" si="11"/>
        <v>#N/A</v>
      </c>
      <c r="X34" s="470"/>
      <c r="Y34" s="3858"/>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8"/>
      <c r="Q35" s="395" t="str">
        <f t="shared" si="8"/>
        <v>建筑结构</v>
      </c>
      <c r="R35" s="465" t="s">
        <v>1037</v>
      </c>
      <c r="S35" s="466">
        <f t="shared" si="9"/>
        <v>100</v>
      </c>
      <c r="T35" s="465" t="s">
        <v>1037</v>
      </c>
      <c r="U35" s="466">
        <f t="shared" si="10"/>
        <v>100</v>
      </c>
      <c r="V35" s="465" t="s">
        <v>1037</v>
      </c>
      <c r="W35" s="466">
        <f t="shared" si="11"/>
        <v>100</v>
      </c>
      <c r="X35" s="460"/>
      <c r="Y35" s="3858"/>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8"/>
      <c r="Q36" s="395" t="str">
        <f t="shared" si="8"/>
        <v>公共部分装修</v>
      </c>
      <c r="R36" s="465" t="s">
        <v>1037</v>
      </c>
      <c r="S36" s="466">
        <f t="shared" si="9"/>
        <v>100</v>
      </c>
      <c r="T36" s="465" t="s">
        <v>1037</v>
      </c>
      <c r="U36" s="466">
        <f t="shared" si="10"/>
        <v>100</v>
      </c>
      <c r="V36" s="465" t="s">
        <v>1037</v>
      </c>
      <c r="W36" s="466">
        <f t="shared" si="11"/>
        <v>100</v>
      </c>
      <c r="X36" s="460"/>
      <c r="Y36" s="3858"/>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8"/>
      <c r="Q37" s="395" t="str">
        <f t="shared" si="8"/>
        <v>成新度</v>
      </c>
      <c r="R37" s="465" t="s">
        <v>1037</v>
      </c>
      <c r="S37" s="466" t="e">
        <f t="shared" si="9"/>
        <v>#N/A</v>
      </c>
      <c r="T37" s="465" t="s">
        <v>1037</v>
      </c>
      <c r="U37" s="466" t="e">
        <f t="shared" si="10"/>
        <v>#N/A</v>
      </c>
      <c r="V37" s="465" t="s">
        <v>1037</v>
      </c>
      <c r="W37" s="466" t="e">
        <f t="shared" si="11"/>
        <v>#N/A</v>
      </c>
      <c r="X37" s="460"/>
      <c r="Y37" s="3858"/>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8"/>
      <c r="Q38" s="464" t="str">
        <f t="shared" si="8"/>
        <v>写字楼等级</v>
      </c>
      <c r="R38" s="461" t="s">
        <v>1037</v>
      </c>
      <c r="S38" s="462">
        <f t="shared" si="9"/>
        <v>100</v>
      </c>
      <c r="T38" s="461" t="s">
        <v>1037</v>
      </c>
      <c r="U38" s="462">
        <f t="shared" si="10"/>
        <v>100</v>
      </c>
      <c r="V38" s="461" t="s">
        <v>1037</v>
      </c>
      <c r="W38" s="462">
        <f t="shared" si="11"/>
        <v>100</v>
      </c>
      <c r="X38" s="463"/>
      <c r="Y38" s="3858"/>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8" t="s">
        <v>1053</v>
      </c>
      <c r="Q39" s="395" t="str">
        <f t="shared" si="8"/>
        <v>物业管理</v>
      </c>
      <c r="R39" s="465" t="s">
        <v>1037</v>
      </c>
      <c r="S39" s="466">
        <f t="shared" si="9"/>
        <v>100</v>
      </c>
      <c r="T39" s="465" t="s">
        <v>1037</v>
      </c>
      <c r="U39" s="466">
        <f t="shared" si="10"/>
        <v>100</v>
      </c>
      <c r="V39" s="465" t="s">
        <v>1037</v>
      </c>
      <c r="W39" s="466">
        <f t="shared" si="11"/>
        <v>100</v>
      </c>
      <c r="X39" s="460"/>
      <c r="Y39" s="3858"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8"/>
      <c r="Q40" s="395" t="str">
        <f t="shared" si="8"/>
        <v>市政基础设施</v>
      </c>
      <c r="R40" s="465" t="s">
        <v>1037</v>
      </c>
      <c r="S40" s="466">
        <f t="shared" si="9"/>
        <v>100</v>
      </c>
      <c r="T40" s="465" t="s">
        <v>1037</v>
      </c>
      <c r="U40" s="466">
        <f t="shared" si="10"/>
        <v>100</v>
      </c>
      <c r="V40" s="465" t="s">
        <v>1037</v>
      </c>
      <c r="W40" s="466">
        <f t="shared" si="11"/>
        <v>100</v>
      </c>
      <c r="X40" s="460"/>
      <c r="Y40" s="3858"/>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8"/>
      <c r="Q41" s="395" t="str">
        <f t="shared" si="8"/>
        <v>层高</v>
      </c>
      <c r="R41" s="465" t="s">
        <v>1037</v>
      </c>
      <c r="S41" s="466">
        <f t="shared" si="9"/>
        <v>100</v>
      </c>
      <c r="T41" s="465" t="s">
        <v>1037</v>
      </c>
      <c r="U41" s="466">
        <f t="shared" si="10"/>
        <v>100</v>
      </c>
      <c r="V41" s="465" t="s">
        <v>1037</v>
      </c>
      <c r="W41" s="466">
        <f t="shared" si="11"/>
        <v>100</v>
      </c>
      <c r="X41" s="460"/>
      <c r="Y41" s="3858"/>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8"/>
      <c r="Q42" s="467" t="str">
        <f t="shared" si="8"/>
        <v>单套建筑面积</v>
      </c>
      <c r="R42" s="468" t="s">
        <v>1037</v>
      </c>
      <c r="S42" s="469">
        <f t="shared" si="9"/>
        <v>100</v>
      </c>
      <c r="T42" s="468" t="s">
        <v>1037</v>
      </c>
      <c r="U42" s="469">
        <f t="shared" si="10"/>
        <v>100</v>
      </c>
      <c r="V42" s="468" t="s">
        <v>1037</v>
      </c>
      <c r="W42" s="469">
        <f t="shared" si="11"/>
        <v>100</v>
      </c>
      <c r="X42" s="470"/>
      <c r="Y42" s="3858"/>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8"/>
      <c r="Q43" s="395" t="str">
        <f t="shared" si="8"/>
        <v>内部装修</v>
      </c>
      <c r="R43" s="465" t="s">
        <v>1037</v>
      </c>
      <c r="S43" s="466">
        <f t="shared" si="9"/>
        <v>100</v>
      </c>
      <c r="T43" s="465" t="s">
        <v>1037</v>
      </c>
      <c r="U43" s="466">
        <f t="shared" si="10"/>
        <v>100</v>
      </c>
      <c r="V43" s="465" t="s">
        <v>1037</v>
      </c>
      <c r="W43" s="466">
        <f t="shared" si="11"/>
        <v>100</v>
      </c>
      <c r="X43" s="460"/>
      <c r="Y43" s="3858"/>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8"/>
      <c r="Q44" s="395" t="str">
        <f t="shared" si="8"/>
        <v>内部装修维护情况</v>
      </c>
      <c r="R44" s="465" t="s">
        <v>1037</v>
      </c>
      <c r="S44" s="466">
        <f t="shared" si="9"/>
        <v>100</v>
      </c>
      <c r="T44" s="465" t="s">
        <v>1037</v>
      </c>
      <c r="U44" s="466">
        <f t="shared" si="10"/>
        <v>100</v>
      </c>
      <c r="V44" s="465" t="s">
        <v>1037</v>
      </c>
      <c r="W44" s="466">
        <f t="shared" si="11"/>
        <v>100</v>
      </c>
      <c r="X44" s="460"/>
      <c r="Y44" s="3858"/>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8"/>
      <c r="Q45" s="464">
        <f t="shared" si="8"/>
        <v>111</v>
      </c>
      <c r="R45" s="461" t="s">
        <v>1037</v>
      </c>
      <c r="S45" s="462">
        <f t="shared" si="9"/>
        <v>100</v>
      </c>
      <c r="T45" s="461" t="s">
        <v>1037</v>
      </c>
      <c r="U45" s="462">
        <f t="shared" si="10"/>
        <v>100</v>
      </c>
      <c r="V45" s="461" t="s">
        <v>1037</v>
      </c>
      <c r="W45" s="462">
        <f t="shared" si="11"/>
        <v>100</v>
      </c>
      <c r="X45" s="463"/>
      <c r="Y45" s="3858"/>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8"/>
      <c r="Q46" s="395">
        <f t="shared" si="8"/>
        <v>111</v>
      </c>
      <c r="R46" s="465" t="s">
        <v>1037</v>
      </c>
      <c r="S46" s="466">
        <f t="shared" si="9"/>
        <v>100</v>
      </c>
      <c r="T46" s="465" t="s">
        <v>1037</v>
      </c>
      <c r="U46" s="466">
        <f t="shared" si="10"/>
        <v>100</v>
      </c>
      <c r="V46" s="465" t="s">
        <v>1037</v>
      </c>
      <c r="W46" s="466">
        <f t="shared" si="11"/>
        <v>100</v>
      </c>
      <c r="X46" s="460"/>
      <c r="Y46" s="3858"/>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0"/>
      <c r="Q47" s="395">
        <f t="shared" si="8"/>
        <v>111</v>
      </c>
      <c r="R47" s="465" t="s">
        <v>1037</v>
      </c>
      <c r="S47" s="466">
        <f t="shared" si="9"/>
        <v>100</v>
      </c>
      <c r="T47" s="465" t="s">
        <v>1037</v>
      </c>
      <c r="U47" s="466">
        <f t="shared" si="10"/>
        <v>100</v>
      </c>
      <c r="V47" s="465" t="s">
        <v>1037</v>
      </c>
      <c r="W47" s="466">
        <f t="shared" si="11"/>
        <v>100</v>
      </c>
      <c r="X47" s="460"/>
      <c r="Y47" s="3940"/>
      <c r="Z47" s="459">
        <f t="shared" si="12"/>
        <v>111</v>
      </c>
      <c r="AA47" s="471">
        <f t="shared" si="3"/>
        <v>1</v>
      </c>
      <c r="AB47" s="471">
        <f t="shared" si="4"/>
        <v>1</v>
      </c>
      <c r="AC47" s="471">
        <f t="shared" si="5"/>
        <v>1</v>
      </c>
    </row>
    <row r="48" spans="1:29" ht="15">
      <c r="A48" s="312" t="s">
        <v>2413</v>
      </c>
      <c r="B48" s="313"/>
      <c r="C48" s="314" t="s">
        <v>138</v>
      </c>
      <c r="D48" s="315"/>
      <c r="E48" s="316"/>
      <c r="F48" s="317"/>
      <c r="G48" s="318"/>
      <c r="H48" s="319"/>
      <c r="I48" s="316"/>
      <c r="J48" s="319"/>
      <c r="K48" s="409"/>
      <c r="L48" s="410"/>
      <c r="M48" s="390"/>
      <c r="N48" s="390"/>
      <c r="O48" s="390"/>
      <c r="P48" s="3851" t="str">
        <f>A48</f>
        <v>成交单价（元/平方米）</v>
      </c>
      <c r="Q48" s="3848"/>
      <c r="R48" s="3938">
        <f>E48</f>
        <v>0</v>
      </c>
      <c r="S48" s="3938"/>
      <c r="T48" s="3938">
        <f>G48</f>
        <v>0</v>
      </c>
      <c r="U48" s="3938"/>
      <c r="V48" s="3938">
        <f>I48</f>
        <v>0</v>
      </c>
      <c r="W48" s="3938"/>
      <c r="X48" s="342"/>
      <c r="Y48" s="483"/>
      <c r="Z48" s="342"/>
      <c r="AA48" s="342"/>
      <c r="AB48" s="342"/>
      <c r="AC48" s="342"/>
    </row>
    <row r="49" spans="1:29" ht="15">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51" t="str">
        <f>A49</f>
        <v>比较价格（元/平方米）</v>
      </c>
      <c r="Q49" s="3848"/>
      <c r="R49" s="3938" t="e">
        <f>IF(F1="售价",ROUND(PRODUCT(R48,AA7:AA47),0),ROUND(PRODUCT(R48,AA7:AA47),1))</f>
        <v>#DIV/0!</v>
      </c>
      <c r="S49" s="3938"/>
      <c r="T49" s="3938" t="e">
        <f>IF(F1="售价",ROUND(PRODUCT(T48,AB7:AB47),0),ROUND(PRODUCT(T48,AB7:AB47),1))</f>
        <v>#DIV/0!</v>
      </c>
      <c r="U49" s="3938"/>
      <c r="V49" s="3938" t="e">
        <f>IF(F1="售价",ROUND(PRODUCT(V48,AC7:AC47),0),ROUND(PRODUCT(V48,AC7:AC47),1))</f>
        <v>#DIV/0!</v>
      </c>
      <c r="W49" s="3938"/>
      <c r="X49" s="342"/>
      <c r="Y49" s="342"/>
      <c r="Z49" s="342"/>
      <c r="AA49" s="342"/>
      <c r="AB49" s="342"/>
      <c r="AC49" s="342"/>
    </row>
    <row r="50" spans="1:29" ht="15">
      <c r="A50" s="326" t="s">
        <v>1064</v>
      </c>
      <c r="B50" s="327"/>
      <c r="C50" s="328" t="e">
        <f>R50</f>
        <v>#DIV/0!</v>
      </c>
      <c r="D50" s="328"/>
      <c r="E50" s="328"/>
      <c r="F50" s="328"/>
      <c r="G50" s="328"/>
      <c r="H50" s="328"/>
      <c r="I50" s="328"/>
      <c r="J50" s="328"/>
      <c r="K50" s="412"/>
      <c r="L50" s="410"/>
      <c r="M50" s="390"/>
      <c r="N50" s="390"/>
      <c r="O50" s="390"/>
      <c r="P50" s="3967" t="str">
        <f>A50</f>
        <v>估价对象XX用房的比较价格（楼面单价，元/平方米）</v>
      </c>
      <c r="Q50" s="3851"/>
      <c r="R50" s="3939" t="e">
        <f>IF(F1="售价",ROUND(IF(D49="简单平均",AVERAGE(R49:V49),R49*F49+T49*H49+V49*J49),0),ROUND(IF(D49="简单平均",AVERAGE(R49:V49),R49*F49+T49*H49+V49*J49),1))</f>
        <v>#DIV/0!</v>
      </c>
      <c r="S50" s="3939"/>
      <c r="T50" s="3939"/>
      <c r="U50" s="3939"/>
      <c r="V50" s="3939"/>
      <c r="W50" s="3939"/>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93.75">
      <c r="A7" s="3582" t="s">
        <v>95</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96</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93.75">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0" t="s">
        <v>91</v>
      </c>
    </row>
    <row r="23" spans="1:1" ht="18.75">
      <c r="A23" s="3589" t="s">
        <v>97</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64" t="s">
        <v>1023</v>
      </c>
      <c r="D4" s="3865"/>
      <c r="E4" s="3880" t="s">
        <v>1024</v>
      </c>
      <c r="F4" s="3881"/>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9" t="s">
        <v>1025</v>
      </c>
      <c r="AC4" s="3828" t="s">
        <v>1026</v>
      </c>
    </row>
    <row r="5" spans="1:29" ht="15">
      <c r="A5" s="225"/>
      <c r="B5" s="226"/>
      <c r="C5" s="3866" t="s">
        <v>1029</v>
      </c>
      <c r="D5" s="3867"/>
      <c r="E5" s="3882" t="s">
        <v>1030</v>
      </c>
      <c r="F5" s="3883"/>
      <c r="G5" s="3866" t="s">
        <v>1031</v>
      </c>
      <c r="H5" s="3867"/>
      <c r="I5" s="3866" t="s">
        <v>1032</v>
      </c>
      <c r="J5" s="3867"/>
      <c r="K5" s="388"/>
      <c r="L5" s="389"/>
      <c r="M5" s="390"/>
      <c r="N5" s="390"/>
      <c r="O5" s="390"/>
      <c r="P5" s="3837"/>
      <c r="Q5" s="3838"/>
      <c r="R5" s="3843"/>
      <c r="S5" s="3844"/>
      <c r="T5" s="3843"/>
      <c r="U5" s="3844"/>
      <c r="V5" s="3847"/>
      <c r="W5" s="3847"/>
      <c r="X5" s="460"/>
      <c r="Y5" s="3843"/>
      <c r="Z5" s="3844"/>
      <c r="AA5" s="3829"/>
      <c r="AB5" s="3829"/>
      <c r="AC5" s="3829"/>
    </row>
    <row r="6" spans="1:29" ht="15">
      <c r="A6" s="227"/>
      <c r="B6" s="228"/>
      <c r="C6" s="3877" t="s">
        <v>1033</v>
      </c>
      <c r="D6" s="3862"/>
      <c r="E6" s="3878" t="s">
        <v>1033</v>
      </c>
      <c r="F6" s="3879"/>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30"/>
      <c r="AC6" s="3830"/>
    </row>
    <row r="7" spans="1:29" s="199" customFormat="1" ht="15">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53" t="s">
        <v>1036</v>
      </c>
      <c r="Q7" s="3863"/>
      <c r="R7" s="461" t="s">
        <v>1037</v>
      </c>
      <c r="S7" s="462">
        <f t="shared" ref="S7:S15" si="0">F7</f>
        <v>0</v>
      </c>
      <c r="T7" s="461" t="s">
        <v>1037</v>
      </c>
      <c r="U7" s="462">
        <f t="shared" ref="U7:U15" si="1">H7</f>
        <v>0</v>
      </c>
      <c r="V7" s="461" t="s">
        <v>1037</v>
      </c>
      <c r="W7" s="462">
        <f t="shared" ref="W7:W15" si="2">J7</f>
        <v>0</v>
      </c>
      <c r="X7" s="463"/>
      <c r="Y7" s="3853" t="s">
        <v>1036</v>
      </c>
      <c r="Z7" s="3854"/>
      <c r="AA7" s="480" t="e">
        <f>D7/F7</f>
        <v>#DIV/0!</v>
      </c>
      <c r="AB7" s="480" t="e">
        <f>D7/H7</f>
        <v>#DIV/0!</v>
      </c>
      <c r="AC7" s="480" t="e">
        <f>D7/J7</f>
        <v>#DIV/0!</v>
      </c>
    </row>
    <row r="8" spans="1:29" s="199" customFormat="1" ht="15">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3" t="s">
        <v>1041</v>
      </c>
      <c r="Q8" s="3854"/>
      <c r="R8" s="461" t="s">
        <v>1037</v>
      </c>
      <c r="S8" s="462">
        <f t="shared" si="0"/>
        <v>0</v>
      </c>
      <c r="T8" s="461" t="s">
        <v>1037</v>
      </c>
      <c r="U8" s="462">
        <f t="shared" si="1"/>
        <v>0</v>
      </c>
      <c r="V8" s="461" t="s">
        <v>1037</v>
      </c>
      <c r="W8" s="462">
        <f t="shared" si="2"/>
        <v>0</v>
      </c>
      <c r="X8" s="463"/>
      <c r="Y8" s="3853" t="s">
        <v>1041</v>
      </c>
      <c r="Z8" s="3854"/>
      <c r="AA8" s="480" t="e">
        <f t="shared" ref="AA8:AA40" si="3">D8/F8</f>
        <v>#DIV/0!</v>
      </c>
      <c r="AB8" s="480" t="e">
        <f t="shared" ref="AB8:AB40" si="4">D8/H8</f>
        <v>#DIV/0!</v>
      </c>
      <c r="AC8" s="480" t="e">
        <f t="shared" ref="AC8:AC40" si="5">D8/J8</f>
        <v>#DIV/0!</v>
      </c>
    </row>
    <row r="9" spans="1:29" s="199" customFormat="1" ht="15">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8"/>
      <c r="Q11" s="464" t="str">
        <f t="shared" si="6"/>
        <v>容积率</v>
      </c>
      <c r="R11" s="461" t="s">
        <v>1037</v>
      </c>
      <c r="S11" s="462" t="e">
        <f t="shared" si="0"/>
        <v>#N/A</v>
      </c>
      <c r="T11" s="461" t="s">
        <v>1037</v>
      </c>
      <c r="U11" s="462" t="e">
        <f t="shared" si="1"/>
        <v>#N/A</v>
      </c>
      <c r="V11" s="461" t="s">
        <v>1037</v>
      </c>
      <c r="W11" s="462" t="e">
        <f t="shared" si="2"/>
        <v>#N/A</v>
      </c>
      <c r="X11" s="463"/>
      <c r="Y11" s="381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5" t="s">
        <v>1049</v>
      </c>
      <c r="Q15" s="395" t="str">
        <f t="shared" si="6"/>
        <v>产业集聚程度</v>
      </c>
      <c r="R15" s="465" t="s">
        <v>1037</v>
      </c>
      <c r="S15" s="466">
        <f t="shared" si="0"/>
        <v>100</v>
      </c>
      <c r="T15" s="465" t="s">
        <v>1037</v>
      </c>
      <c r="U15" s="466">
        <f t="shared" si="1"/>
        <v>100</v>
      </c>
      <c r="V15" s="465" t="s">
        <v>1037</v>
      </c>
      <c r="W15" s="466">
        <f t="shared" si="2"/>
        <v>100</v>
      </c>
      <c r="X15" s="460"/>
      <c r="Y15" s="3855"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6"/>
      <c r="Q16" s="395"/>
      <c r="R16" s="465"/>
      <c r="S16" s="466"/>
      <c r="T16" s="465"/>
      <c r="U16" s="466"/>
      <c r="V16" s="465"/>
      <c r="W16" s="466"/>
      <c r="X16" s="460"/>
      <c r="Y16" s="3856"/>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6"/>
      <c r="Q18" s="395"/>
      <c r="R18" s="465"/>
      <c r="S18" s="466"/>
      <c r="T18" s="465"/>
      <c r="U18" s="466"/>
      <c r="V18" s="465"/>
      <c r="W18" s="466"/>
      <c r="X18" s="460"/>
      <c r="Y18" s="3856"/>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56"/>
      <c r="Q20" s="395"/>
      <c r="R20" s="465"/>
      <c r="S20" s="466"/>
      <c r="T20" s="465"/>
      <c r="U20" s="466"/>
      <c r="V20" s="465"/>
      <c r="W20" s="466"/>
      <c r="X20" s="460"/>
      <c r="Y20" s="3856"/>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6"/>
      <c r="Q22" s="395"/>
      <c r="R22" s="465"/>
      <c r="S22" s="466"/>
      <c r="T22" s="465"/>
      <c r="U22" s="466"/>
      <c r="V22" s="465"/>
      <c r="W22" s="466"/>
      <c r="X22" s="460"/>
      <c r="Y22" s="3856"/>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6"/>
      <c r="Q23" s="395" t="str">
        <f>B23</f>
        <v>环境质量</v>
      </c>
      <c r="R23" s="465" t="s">
        <v>1037</v>
      </c>
      <c r="S23" s="466">
        <f>F23</f>
        <v>100</v>
      </c>
      <c r="T23" s="465" t="s">
        <v>1037</v>
      </c>
      <c r="U23" s="466">
        <f>H23</f>
        <v>100</v>
      </c>
      <c r="V23" s="465" t="s">
        <v>1037</v>
      </c>
      <c r="W23" s="466">
        <f>J23</f>
        <v>100</v>
      </c>
      <c r="X23" s="460"/>
      <c r="Y23" s="3856"/>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56"/>
      <c r="Q24" s="395"/>
      <c r="R24" s="465"/>
      <c r="S24" s="466"/>
      <c r="T24" s="465"/>
      <c r="U24" s="466"/>
      <c r="V24" s="465"/>
      <c r="W24" s="466"/>
      <c r="X24" s="460"/>
      <c r="Y24" s="3856"/>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6"/>
      <c r="Q25" s="395">
        <f>B25</f>
        <v>111</v>
      </c>
      <c r="R25" s="465" t="s">
        <v>1037</v>
      </c>
      <c r="S25" s="466">
        <f>F25</f>
        <v>100</v>
      </c>
      <c r="T25" s="465" t="s">
        <v>1037</v>
      </c>
      <c r="U25" s="466">
        <f>H25</f>
        <v>100</v>
      </c>
      <c r="V25" s="465" t="s">
        <v>1037</v>
      </c>
      <c r="W25" s="466">
        <f>J25</f>
        <v>100</v>
      </c>
      <c r="X25" s="460"/>
      <c r="Y25" s="3856"/>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6"/>
      <c r="Q26" s="395">
        <f t="shared" ref="Q26:Q40" si="8">B26</f>
        <v>111</v>
      </c>
      <c r="R26" s="465" t="s">
        <v>1037</v>
      </c>
      <c r="S26" s="466">
        <f>F26</f>
        <v>100</v>
      </c>
      <c r="T26" s="465" t="s">
        <v>1037</v>
      </c>
      <c r="U26" s="466">
        <f>H26</f>
        <v>100</v>
      </c>
      <c r="V26" s="465" t="s">
        <v>1037</v>
      </c>
      <c r="W26" s="466">
        <f>J26</f>
        <v>100</v>
      </c>
      <c r="X26" s="460"/>
      <c r="Y26" s="3856"/>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6"/>
      <c r="Q27" s="464">
        <f t="shared" si="8"/>
        <v>111</v>
      </c>
      <c r="R27" s="461" t="s">
        <v>1037</v>
      </c>
      <c r="S27" s="462">
        <f>F27</f>
        <v>100</v>
      </c>
      <c r="T27" s="461" t="s">
        <v>1037</v>
      </c>
      <c r="U27" s="462">
        <f>H27</f>
        <v>100</v>
      </c>
      <c r="V27" s="461" t="s">
        <v>1037</v>
      </c>
      <c r="W27" s="462">
        <f>J27</f>
        <v>100</v>
      </c>
      <c r="X27" s="463"/>
      <c r="Y27" s="3856"/>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6"/>
      <c r="Q28" s="395">
        <f t="shared" si="8"/>
        <v>111</v>
      </c>
      <c r="R28" s="465" t="s">
        <v>1037</v>
      </c>
      <c r="S28" s="466">
        <f t="shared" ref="S28:S40" si="9">F28</f>
        <v>100</v>
      </c>
      <c r="T28" s="465" t="s">
        <v>1037</v>
      </c>
      <c r="U28" s="466">
        <f t="shared" ref="U28:U40" si="10">H28</f>
        <v>100</v>
      </c>
      <c r="V28" s="465" t="s">
        <v>1037</v>
      </c>
      <c r="W28" s="466">
        <f t="shared" ref="W28:W40" si="11">J28</f>
        <v>100</v>
      </c>
      <c r="X28" s="460"/>
      <c r="Y28" s="3856"/>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7" t="s">
        <v>1053</v>
      </c>
      <c r="Q29" s="395" t="str">
        <f t="shared" si="8"/>
        <v>建筑类型</v>
      </c>
      <c r="R29" s="465" t="s">
        <v>1037</v>
      </c>
      <c r="S29" s="466">
        <f t="shared" si="9"/>
        <v>100</v>
      </c>
      <c r="T29" s="465" t="s">
        <v>1037</v>
      </c>
      <c r="U29" s="466">
        <f t="shared" si="10"/>
        <v>100</v>
      </c>
      <c r="V29" s="465" t="s">
        <v>1037</v>
      </c>
      <c r="W29" s="466">
        <f t="shared" si="11"/>
        <v>100</v>
      </c>
      <c r="X29" s="460"/>
      <c r="Y29" s="3858"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8"/>
      <c r="Q30" s="467" t="str">
        <f t="shared" si="8"/>
        <v>项目建筑规模</v>
      </c>
      <c r="R30" s="468" t="s">
        <v>1037</v>
      </c>
      <c r="S30" s="469" t="e">
        <f t="shared" si="9"/>
        <v>#N/A</v>
      </c>
      <c r="T30" s="468" t="s">
        <v>1037</v>
      </c>
      <c r="U30" s="469" t="e">
        <f t="shared" si="10"/>
        <v>#N/A</v>
      </c>
      <c r="V30" s="468" t="s">
        <v>1037</v>
      </c>
      <c r="W30" s="469" t="e">
        <f t="shared" si="11"/>
        <v>#N/A</v>
      </c>
      <c r="X30" s="470"/>
      <c r="Y30" s="3858"/>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8"/>
      <c r="Q31" s="395" t="str">
        <f t="shared" si="8"/>
        <v>建筑结构</v>
      </c>
      <c r="R31" s="465" t="s">
        <v>1037</v>
      </c>
      <c r="S31" s="466">
        <f t="shared" si="9"/>
        <v>100</v>
      </c>
      <c r="T31" s="465" t="s">
        <v>1037</v>
      </c>
      <c r="U31" s="466">
        <f t="shared" si="10"/>
        <v>100</v>
      </c>
      <c r="V31" s="465" t="s">
        <v>1037</v>
      </c>
      <c r="W31" s="466">
        <f t="shared" si="11"/>
        <v>100</v>
      </c>
      <c r="X31" s="460"/>
      <c r="Y31" s="3858"/>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8"/>
      <c r="Q32" s="395" t="str">
        <f t="shared" si="8"/>
        <v>公共部分装修</v>
      </c>
      <c r="R32" s="465" t="s">
        <v>1037</v>
      </c>
      <c r="S32" s="466">
        <f t="shared" si="9"/>
        <v>100</v>
      </c>
      <c r="T32" s="465" t="s">
        <v>1037</v>
      </c>
      <c r="U32" s="466">
        <f t="shared" si="10"/>
        <v>100</v>
      </c>
      <c r="V32" s="465" t="s">
        <v>1037</v>
      </c>
      <c r="W32" s="466">
        <f t="shared" si="11"/>
        <v>100</v>
      </c>
      <c r="X32" s="460"/>
      <c r="Y32" s="3858"/>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8"/>
      <c r="Q33" s="395" t="str">
        <f t="shared" si="8"/>
        <v>成新度</v>
      </c>
      <c r="R33" s="465" t="s">
        <v>1037</v>
      </c>
      <c r="S33" s="466" t="e">
        <f t="shared" si="9"/>
        <v>#N/A</v>
      </c>
      <c r="T33" s="465" t="s">
        <v>1037</v>
      </c>
      <c r="U33" s="466" t="e">
        <f t="shared" si="10"/>
        <v>#N/A</v>
      </c>
      <c r="V33" s="465" t="s">
        <v>1037</v>
      </c>
      <c r="W33" s="466" t="e">
        <f t="shared" si="11"/>
        <v>#N/A</v>
      </c>
      <c r="X33" s="460"/>
      <c r="Y33" s="3858"/>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8"/>
      <c r="Q34" s="464" t="str">
        <f t="shared" si="8"/>
        <v>物业管理</v>
      </c>
      <c r="R34" s="461" t="s">
        <v>1037</v>
      </c>
      <c r="S34" s="462">
        <f t="shared" si="9"/>
        <v>100</v>
      </c>
      <c r="T34" s="461" t="s">
        <v>1037</v>
      </c>
      <c r="U34" s="462">
        <f t="shared" si="10"/>
        <v>100</v>
      </c>
      <c r="V34" s="461" t="s">
        <v>1037</v>
      </c>
      <c r="W34" s="462">
        <f t="shared" si="11"/>
        <v>100</v>
      </c>
      <c r="X34" s="463"/>
      <c r="Y34" s="3858"/>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8" t="s">
        <v>1053</v>
      </c>
      <c r="Q35" s="395" t="str">
        <f t="shared" si="8"/>
        <v>市政基础设施</v>
      </c>
      <c r="R35" s="465" t="s">
        <v>1037</v>
      </c>
      <c r="S35" s="466">
        <f t="shared" si="9"/>
        <v>100</v>
      </c>
      <c r="T35" s="465" t="s">
        <v>1037</v>
      </c>
      <c r="U35" s="466">
        <f t="shared" si="10"/>
        <v>100</v>
      </c>
      <c r="V35" s="465" t="s">
        <v>1037</v>
      </c>
      <c r="W35" s="466">
        <f t="shared" si="11"/>
        <v>100</v>
      </c>
      <c r="X35" s="460"/>
      <c r="Y35" s="3858"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8"/>
      <c r="Q36" s="395" t="str">
        <f t="shared" si="8"/>
        <v>内部装修</v>
      </c>
      <c r="R36" s="465" t="s">
        <v>1037</v>
      </c>
      <c r="S36" s="466">
        <f t="shared" si="9"/>
        <v>100</v>
      </c>
      <c r="T36" s="465" t="s">
        <v>1037</v>
      </c>
      <c r="U36" s="466">
        <f t="shared" si="10"/>
        <v>100</v>
      </c>
      <c r="V36" s="465" t="s">
        <v>1037</v>
      </c>
      <c r="W36" s="466">
        <f t="shared" si="11"/>
        <v>100</v>
      </c>
      <c r="X36" s="460"/>
      <c r="Y36" s="3858"/>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8"/>
      <c r="Q37" s="395" t="str">
        <f t="shared" si="8"/>
        <v>内部装修状况</v>
      </c>
      <c r="R37" s="465" t="s">
        <v>1037</v>
      </c>
      <c r="S37" s="466">
        <f t="shared" si="9"/>
        <v>100</v>
      </c>
      <c r="T37" s="465" t="s">
        <v>1037</v>
      </c>
      <c r="U37" s="466">
        <f t="shared" si="10"/>
        <v>100</v>
      </c>
      <c r="V37" s="465" t="s">
        <v>1037</v>
      </c>
      <c r="W37" s="466">
        <f t="shared" si="11"/>
        <v>100</v>
      </c>
      <c r="X37" s="460"/>
      <c r="Y37" s="3858"/>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8"/>
      <c r="Q38" s="467">
        <f t="shared" si="8"/>
        <v>111</v>
      </c>
      <c r="R38" s="468" t="s">
        <v>1037</v>
      </c>
      <c r="S38" s="469">
        <f t="shared" si="9"/>
        <v>100</v>
      </c>
      <c r="T38" s="468" t="s">
        <v>1037</v>
      </c>
      <c r="U38" s="469">
        <f t="shared" si="10"/>
        <v>100</v>
      </c>
      <c r="V38" s="468" t="s">
        <v>1037</v>
      </c>
      <c r="W38" s="469">
        <f t="shared" si="11"/>
        <v>100</v>
      </c>
      <c r="X38" s="470"/>
      <c r="Y38" s="3858"/>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8"/>
      <c r="Q39" s="395">
        <f t="shared" si="8"/>
        <v>111</v>
      </c>
      <c r="R39" s="465" t="s">
        <v>1037</v>
      </c>
      <c r="S39" s="466">
        <f t="shared" si="9"/>
        <v>100</v>
      </c>
      <c r="T39" s="465" t="s">
        <v>1037</v>
      </c>
      <c r="U39" s="466">
        <f t="shared" si="10"/>
        <v>100</v>
      </c>
      <c r="V39" s="465" t="s">
        <v>1037</v>
      </c>
      <c r="W39" s="466">
        <f t="shared" si="11"/>
        <v>100</v>
      </c>
      <c r="X39" s="460"/>
      <c r="Y39" s="3858"/>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0"/>
      <c r="Q40" s="395">
        <f t="shared" si="8"/>
        <v>111</v>
      </c>
      <c r="R40" s="465" t="s">
        <v>1037</v>
      </c>
      <c r="S40" s="466">
        <f t="shared" si="9"/>
        <v>100</v>
      </c>
      <c r="T40" s="465" t="s">
        <v>1037</v>
      </c>
      <c r="U40" s="466">
        <f t="shared" si="10"/>
        <v>100</v>
      </c>
      <c r="V40" s="465" t="s">
        <v>1037</v>
      </c>
      <c r="W40" s="466">
        <f t="shared" si="11"/>
        <v>100</v>
      </c>
      <c r="X40" s="460"/>
      <c r="Y40" s="3940"/>
      <c r="Z40" s="459">
        <f t="shared" si="12"/>
        <v>111</v>
      </c>
      <c r="AA40" s="471">
        <f t="shared" si="3"/>
        <v>1</v>
      </c>
      <c r="AB40" s="471">
        <f t="shared" si="4"/>
        <v>1</v>
      </c>
      <c r="AC40" s="471">
        <f t="shared" si="5"/>
        <v>1</v>
      </c>
    </row>
    <row r="41" spans="1:29" ht="15">
      <c r="A41" s="312" t="s">
        <v>2413</v>
      </c>
      <c r="B41" s="313"/>
      <c r="C41" s="314" t="s">
        <v>138</v>
      </c>
      <c r="D41" s="315"/>
      <c r="E41" s="316"/>
      <c r="F41" s="317"/>
      <c r="G41" s="318"/>
      <c r="H41" s="319"/>
      <c r="I41" s="316"/>
      <c r="J41" s="319"/>
      <c r="K41" s="409"/>
      <c r="L41" s="410"/>
      <c r="M41" s="340"/>
      <c r="N41" s="390"/>
      <c r="O41" s="340"/>
      <c r="P41" s="3848" t="str">
        <f>A41</f>
        <v>成交单价（元/平方米）</v>
      </c>
      <c r="Q41" s="3848"/>
      <c r="R41" s="3938">
        <f>E41</f>
        <v>0</v>
      </c>
      <c r="S41" s="3938"/>
      <c r="T41" s="3938">
        <f>G41</f>
        <v>0</v>
      </c>
      <c r="U41" s="3938"/>
      <c r="V41" s="3938">
        <f>I41</f>
        <v>0</v>
      </c>
      <c r="W41" s="3938"/>
      <c r="X41" s="342"/>
      <c r="Y41" s="483"/>
      <c r="Z41" s="342"/>
      <c r="AA41" s="342"/>
      <c r="AB41" s="342"/>
      <c r="AC41" s="342"/>
    </row>
    <row r="42" spans="1:29" ht="15">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48" t="str">
        <f>A42</f>
        <v>比较价格（元/平方米）</v>
      </c>
      <c r="Q42" s="3848"/>
      <c r="R42" s="3938" t="e">
        <f>IF(F1="售价",ROUND(PRODUCT(R41,AA7:AA40),0),ROUND(PRODUCT(R41,AA7:AA40),1))</f>
        <v>#DIV/0!</v>
      </c>
      <c r="S42" s="3938"/>
      <c r="T42" s="3938" t="e">
        <f>IF(F1="售价",ROUND(PRODUCT(T41,AB7:AB40),0),ROUND(PRODUCT(T41,AB7:AB40),1))</f>
        <v>#DIV/0!</v>
      </c>
      <c r="U42" s="3938"/>
      <c r="V42" s="3938" t="e">
        <f>IF(F1="售价",ROUND(PRODUCT(V41,AC7:AC40),0),ROUND(PRODUCT(V41,AC7:AC40),1))</f>
        <v>#DIV/0!</v>
      </c>
      <c r="W42" s="3938"/>
      <c r="X42" s="342"/>
      <c r="Y42" s="342"/>
      <c r="Z42" s="342"/>
      <c r="AA42" s="342"/>
      <c r="AB42" s="342"/>
      <c r="AC42" s="342"/>
    </row>
    <row r="43" spans="1:29" ht="15">
      <c r="A43" s="326" t="s">
        <v>1064</v>
      </c>
      <c r="B43" s="327"/>
      <c r="C43" s="328" t="e">
        <f>R43</f>
        <v>#DIV/0!</v>
      </c>
      <c r="D43" s="328"/>
      <c r="E43" s="328"/>
      <c r="F43" s="328"/>
      <c r="G43" s="328"/>
      <c r="H43" s="328"/>
      <c r="I43" s="328"/>
      <c r="J43" s="328"/>
      <c r="K43" s="412"/>
      <c r="L43" s="410"/>
      <c r="M43" s="340"/>
      <c r="N43" s="340"/>
      <c r="O43" s="340"/>
      <c r="P43" s="3850" t="str">
        <f>A43</f>
        <v>估价对象XX用房的比较价格（楼面单价，元/平方米）</v>
      </c>
      <c r="Q43" s="3851"/>
      <c r="R43" s="3939" t="e">
        <f>IF(F1="售价",ROUND(IF(D42="简单平均",AVERAGE(R42:V42),R42*F42+T42*H42+V42*J42),0),ROUND(IF(D42="简单平均",AVERAGE(R42:V42),R42*F42+T42*H42+V42*J42),1))</f>
        <v>#DIV/0!</v>
      </c>
      <c r="S43" s="3939"/>
      <c r="T43" s="3939"/>
      <c r="U43" s="3939"/>
      <c r="V43" s="3939"/>
      <c r="W43" s="3939"/>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topLeftCell="A4" zoomScale="80" zoomScaleNormal="60" zoomScaleSheetLayoutView="80" workbookViewId="0">
      <selection activeCell="M10" sqref="M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10039</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9382</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64" t="s">
        <v>1023</v>
      </c>
      <c r="D4" s="3865"/>
      <c r="E4" s="3880" t="s">
        <v>1024</v>
      </c>
      <c r="F4" s="3881"/>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9" t="s">
        <v>1025</v>
      </c>
      <c r="AC4" s="3828" t="s">
        <v>1026</v>
      </c>
    </row>
    <row r="5" spans="1:29" ht="15">
      <c r="A5" s="225"/>
      <c r="B5" s="226"/>
      <c r="C5" s="3866" t="s">
        <v>1029</v>
      </c>
      <c r="D5" s="3867"/>
      <c r="E5" s="3941" t="s">
        <v>2688</v>
      </c>
      <c r="F5" s="3883"/>
      <c r="G5" s="3942" t="s">
        <v>2707</v>
      </c>
      <c r="H5" s="3867"/>
      <c r="I5" s="3942" t="s">
        <v>2712</v>
      </c>
      <c r="J5" s="3867"/>
      <c r="K5" s="388"/>
      <c r="L5" s="389"/>
      <c r="M5" s="390"/>
      <c r="N5" s="390"/>
      <c r="O5" s="390"/>
      <c r="P5" s="3837"/>
      <c r="Q5" s="3838"/>
      <c r="R5" s="3843"/>
      <c r="S5" s="3844"/>
      <c r="T5" s="3843"/>
      <c r="U5" s="3844"/>
      <c r="V5" s="3847"/>
      <c r="W5" s="3847"/>
      <c r="X5" s="460"/>
      <c r="Y5" s="3843"/>
      <c r="Z5" s="3844"/>
      <c r="AA5" s="3829"/>
      <c r="AB5" s="3829"/>
      <c r="AC5" s="3829"/>
    </row>
    <row r="6" spans="1:29" ht="15">
      <c r="A6" s="227"/>
      <c r="B6" s="228"/>
      <c r="C6" s="3877" t="s">
        <v>1033</v>
      </c>
      <c r="D6" s="3862"/>
      <c r="E6" s="3878" t="s">
        <v>1033</v>
      </c>
      <c r="F6" s="3879"/>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30"/>
      <c r="AC6" s="3830"/>
    </row>
    <row r="7" spans="1:29" s="199" customFormat="1" ht="15">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53" t="s">
        <v>1036</v>
      </c>
      <c r="Q7" s="3863"/>
      <c r="R7" s="461" t="s">
        <v>1037</v>
      </c>
      <c r="S7" s="462">
        <f t="shared" ref="S7:S14" si="0">F7</f>
        <v>100</v>
      </c>
      <c r="T7" s="461" t="s">
        <v>1037</v>
      </c>
      <c r="U7" s="462">
        <f t="shared" ref="U7:U14" si="1">H7</f>
        <v>100</v>
      </c>
      <c r="V7" s="461" t="s">
        <v>1037</v>
      </c>
      <c r="W7" s="462">
        <f t="shared" ref="W7:W14" si="2">J7</f>
        <v>100</v>
      </c>
      <c r="X7" s="463"/>
      <c r="Y7" s="3853" t="s">
        <v>1036</v>
      </c>
      <c r="Z7" s="3854"/>
      <c r="AA7" s="480">
        <f>D7/F7</f>
        <v>1</v>
      </c>
      <c r="AB7" s="480">
        <f>D7/H7</f>
        <v>1</v>
      </c>
      <c r="AC7" s="480">
        <f>D7/J7</f>
        <v>1</v>
      </c>
    </row>
    <row r="8" spans="1:29" s="199" customFormat="1" ht="15">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53" t="s">
        <v>1041</v>
      </c>
      <c r="Q8" s="3854"/>
      <c r="R8" s="461" t="s">
        <v>1037</v>
      </c>
      <c r="S8" s="462">
        <f t="shared" si="0"/>
        <v>100</v>
      </c>
      <c r="T8" s="461" t="s">
        <v>1037</v>
      </c>
      <c r="U8" s="462">
        <f t="shared" si="1"/>
        <v>100</v>
      </c>
      <c r="V8" s="461" t="s">
        <v>1037</v>
      </c>
      <c r="W8" s="462">
        <f t="shared" si="2"/>
        <v>100</v>
      </c>
      <c r="X8" s="463"/>
      <c r="Y8" s="3853" t="s">
        <v>1041</v>
      </c>
      <c r="Z8" s="3854"/>
      <c r="AA8" s="480">
        <f t="shared" ref="AA8:AA34" si="3">D8/F8</f>
        <v>1</v>
      </c>
      <c r="AB8" s="480">
        <f t="shared" ref="AB8:AB34" si="4">D8/H8</f>
        <v>1</v>
      </c>
      <c r="AC8" s="480">
        <f t="shared" ref="AC8:AC34" si="5">D8/J8</f>
        <v>1</v>
      </c>
    </row>
    <row r="9" spans="1:29" s="199" customFormat="1" ht="15">
      <c r="A9" s="239"/>
      <c r="B9" s="240" t="s">
        <v>1042</v>
      </c>
      <c r="C9" s="3641" t="s">
        <v>2708</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48" t="s">
        <v>1043</v>
      </c>
      <c r="Q9" s="464" t="str">
        <f t="shared" ref="Q9:Q14" si="6">B9</f>
        <v>用途</v>
      </c>
      <c r="R9" s="461" t="s">
        <v>1037</v>
      </c>
      <c r="S9" s="462">
        <f t="shared" si="0"/>
        <v>100</v>
      </c>
      <c r="T9" s="461" t="s">
        <v>1037</v>
      </c>
      <c r="U9" s="462">
        <f t="shared" si="1"/>
        <v>100</v>
      </c>
      <c r="V9" s="461" t="s">
        <v>1037</v>
      </c>
      <c r="W9" s="462">
        <f t="shared" si="2"/>
        <v>100</v>
      </c>
      <c r="X9" s="463"/>
      <c r="Y9" s="3814"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SUMIF(53:53,E10,54:54)-SUMIF(53:53,C10,54:54)+100</f>
        <v>100</v>
      </c>
      <c r="G10" s="247" t="s">
        <v>2702</v>
      </c>
      <c r="H10" s="246">
        <f>SUMIF(53:53,G10,54:54)-SUMIF(53:53,C10,54:54)+100</f>
        <v>100</v>
      </c>
      <c r="I10" s="245" t="s">
        <v>2702</v>
      </c>
      <c r="J10" s="246">
        <f>SUMIF(53:53,I10,54:54)-SUMIF(53:53,C10,54:54)+100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8"/>
      <c r="Q11" s="464">
        <f t="shared" si="6"/>
        <v>111</v>
      </c>
      <c r="R11" s="461" t="s">
        <v>1037</v>
      </c>
      <c r="S11" s="462">
        <f t="shared" si="0"/>
        <v>100</v>
      </c>
      <c r="T11" s="461" t="s">
        <v>1037</v>
      </c>
      <c r="U11" s="462">
        <f t="shared" si="1"/>
        <v>100</v>
      </c>
      <c r="V11" s="461" t="s">
        <v>1037</v>
      </c>
      <c r="W11" s="462">
        <f t="shared" si="2"/>
        <v>100</v>
      </c>
      <c r="X11" s="463"/>
      <c r="Y11" s="381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106</v>
      </c>
      <c r="I14" s="261"/>
      <c r="J14" s="260">
        <f>SUMIF(61:61,I15,62:62)-SUMIF(61:61,C15,62:62)+100</f>
        <v>106</v>
      </c>
      <c r="K14" s="403">
        <v>3</v>
      </c>
      <c r="L14" s="402"/>
      <c r="M14" s="390"/>
      <c r="N14" s="390"/>
      <c r="O14" s="401"/>
      <c r="P14" s="3855" t="s">
        <v>1049</v>
      </c>
      <c r="Q14" s="395" t="str">
        <f t="shared" si="6"/>
        <v>交通便捷度</v>
      </c>
      <c r="R14" s="465" t="s">
        <v>1037</v>
      </c>
      <c r="S14" s="466">
        <f t="shared" si="0"/>
        <v>100</v>
      </c>
      <c r="T14" s="465" t="s">
        <v>1037</v>
      </c>
      <c r="U14" s="466">
        <f t="shared" si="1"/>
        <v>106</v>
      </c>
      <c r="V14" s="465" t="s">
        <v>1037</v>
      </c>
      <c r="W14" s="466">
        <f t="shared" si="2"/>
        <v>106</v>
      </c>
      <c r="X14" s="460"/>
      <c r="Y14" s="3855" t="s">
        <v>1049</v>
      </c>
      <c r="Z14" s="459" t="str">
        <f t="shared" si="7"/>
        <v>交通便捷度</v>
      </c>
      <c r="AA14" s="471">
        <f t="shared" si="3"/>
        <v>1</v>
      </c>
      <c r="AB14" s="471">
        <f t="shared" si="4"/>
        <v>0.94339622641509435</v>
      </c>
      <c r="AC14" s="471">
        <f t="shared" si="5"/>
        <v>0.94339622641509435</v>
      </c>
    </row>
    <row r="15" spans="1:29" ht="15">
      <c r="A15" s="264"/>
      <c r="B15" s="265"/>
      <c r="C15" s="277" t="s">
        <v>2720</v>
      </c>
      <c r="D15" s="267"/>
      <c r="E15" s="277" t="s">
        <v>2720</v>
      </c>
      <c r="F15" s="268"/>
      <c r="G15" s="277" t="s">
        <v>2656</v>
      </c>
      <c r="H15" s="269"/>
      <c r="I15" s="277" t="s">
        <v>2656</v>
      </c>
      <c r="J15" s="267"/>
      <c r="K15" s="404"/>
      <c r="L15" s="402"/>
      <c r="M15" s="390"/>
      <c r="N15" s="390"/>
      <c r="O15" s="401"/>
      <c r="P15" s="3856"/>
      <c r="Q15" s="395"/>
      <c r="R15" s="465"/>
      <c r="S15" s="466"/>
      <c r="T15" s="465"/>
      <c r="U15" s="466"/>
      <c r="V15" s="465"/>
      <c r="W15" s="466"/>
      <c r="X15" s="460"/>
      <c r="Y15" s="3856"/>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103</v>
      </c>
      <c r="I16" s="273"/>
      <c r="J16" s="272">
        <f>SUMIF(63:63,I17,64:64)-SUMIF(63:63,C17,64:64)+100</f>
        <v>103</v>
      </c>
      <c r="K16" s="403">
        <v>3</v>
      </c>
      <c r="L16" s="402"/>
      <c r="M16" s="390"/>
      <c r="N16" s="390"/>
      <c r="O16" s="401"/>
      <c r="P16" s="3856"/>
      <c r="Q16" s="395" t="str">
        <f>B16</f>
        <v>公共配套设施</v>
      </c>
      <c r="R16" s="465" t="s">
        <v>1037</v>
      </c>
      <c r="S16" s="466">
        <f>F16</f>
        <v>100</v>
      </c>
      <c r="T16" s="465" t="s">
        <v>1037</v>
      </c>
      <c r="U16" s="466">
        <f>H16</f>
        <v>103</v>
      </c>
      <c r="V16" s="465" t="s">
        <v>1037</v>
      </c>
      <c r="W16" s="466">
        <f>J16</f>
        <v>103</v>
      </c>
      <c r="X16" s="460"/>
      <c r="Y16" s="3856"/>
      <c r="Z16" s="459" t="str">
        <f>Q16</f>
        <v>公共配套设施</v>
      </c>
      <c r="AA16" s="471">
        <f t="shared" si="3"/>
        <v>1</v>
      </c>
      <c r="AB16" s="471">
        <f t="shared" si="4"/>
        <v>0.970873786407767</v>
      </c>
      <c r="AC16" s="471">
        <f t="shared" si="5"/>
        <v>0.970873786407767</v>
      </c>
    </row>
    <row r="17" spans="1:29" ht="15">
      <c r="A17" s="264"/>
      <c r="B17" s="276"/>
      <c r="C17" s="277" t="s">
        <v>2720</v>
      </c>
      <c r="D17" s="267"/>
      <c r="E17" s="277" t="s">
        <v>2720</v>
      </c>
      <c r="F17" s="268"/>
      <c r="G17" s="277" t="s">
        <v>2683</v>
      </c>
      <c r="H17" s="267"/>
      <c r="I17" s="277" t="s">
        <v>2683</v>
      </c>
      <c r="J17" s="267"/>
      <c r="K17" s="404"/>
      <c r="L17" s="402"/>
      <c r="M17" s="390"/>
      <c r="N17" s="390"/>
      <c r="O17" s="401"/>
      <c r="P17" s="3856"/>
      <c r="Q17" s="395"/>
      <c r="R17" s="465"/>
      <c r="S17" s="466"/>
      <c r="T17" s="465"/>
      <c r="U17" s="466"/>
      <c r="V17" s="465"/>
      <c r="W17" s="466"/>
      <c r="X17" s="460"/>
      <c r="Y17" s="3856"/>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56"/>
      <c r="Q18" s="395" t="str">
        <f>B18</f>
        <v>基础设施水平</v>
      </c>
      <c r="R18" s="465" t="s">
        <v>1037</v>
      </c>
      <c r="S18" s="466">
        <f>F18</f>
        <v>100</v>
      </c>
      <c r="T18" s="465" t="s">
        <v>1037</v>
      </c>
      <c r="U18" s="466">
        <f>H18</f>
        <v>100</v>
      </c>
      <c r="V18" s="465" t="s">
        <v>1037</v>
      </c>
      <c r="W18" s="466">
        <f>J18</f>
        <v>100</v>
      </c>
      <c r="X18" s="460"/>
      <c r="Y18" s="3856"/>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56"/>
      <c r="Q19" s="395"/>
      <c r="R19" s="465"/>
      <c r="S19" s="466"/>
      <c r="T19" s="465"/>
      <c r="U19" s="466"/>
      <c r="V19" s="465"/>
      <c r="W19" s="466"/>
      <c r="X19" s="460"/>
      <c r="Y19" s="3856"/>
      <c r="Z19" s="459"/>
      <c r="AA19" s="471">
        <v>1</v>
      </c>
      <c r="AB19" s="471">
        <v>1</v>
      </c>
      <c r="AC19" s="471">
        <v>1</v>
      </c>
    </row>
    <row r="20" spans="1:29" ht="57">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56"/>
      <c r="Q20" s="395" t="str">
        <f>B20</f>
        <v>自然及人文环境</v>
      </c>
      <c r="R20" s="465" t="s">
        <v>1037</v>
      </c>
      <c r="S20" s="466">
        <f>F20</f>
        <v>100</v>
      </c>
      <c r="T20" s="465" t="s">
        <v>1037</v>
      </c>
      <c r="U20" s="466">
        <f>H20</f>
        <v>100</v>
      </c>
      <c r="V20" s="465" t="s">
        <v>1037</v>
      </c>
      <c r="W20" s="466">
        <f>J20</f>
        <v>100</v>
      </c>
      <c r="X20" s="460"/>
      <c r="Y20" s="3856"/>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56"/>
      <c r="Q21" s="395"/>
      <c r="R21" s="465"/>
      <c r="S21" s="466"/>
      <c r="T21" s="465"/>
      <c r="U21" s="466"/>
      <c r="V21" s="465"/>
      <c r="W21" s="466"/>
      <c r="X21" s="460"/>
      <c r="Y21" s="3856"/>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6"/>
      <c r="Q22" s="395" t="str">
        <f>B22</f>
        <v>楼层</v>
      </c>
      <c r="R22" s="465" t="s">
        <v>1037</v>
      </c>
      <c r="S22" s="466">
        <f>F22</f>
        <v>100</v>
      </c>
      <c r="T22" s="465" t="s">
        <v>1037</v>
      </c>
      <c r="U22" s="466">
        <f>H22</f>
        <v>100</v>
      </c>
      <c r="V22" s="465" t="s">
        <v>1037</v>
      </c>
      <c r="W22" s="466">
        <f>J22</f>
        <v>100</v>
      </c>
      <c r="X22" s="460"/>
      <c r="Y22" s="3856"/>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6"/>
      <c r="Q23" s="395">
        <f>B23</f>
        <v>111</v>
      </c>
      <c r="R23" s="465" t="s">
        <v>1037</v>
      </c>
      <c r="S23" s="466">
        <f>F23</f>
        <v>100</v>
      </c>
      <c r="T23" s="465" t="s">
        <v>1037</v>
      </c>
      <c r="U23" s="466">
        <f>H23</f>
        <v>100</v>
      </c>
      <c r="V23" s="465" t="s">
        <v>1037</v>
      </c>
      <c r="W23" s="466">
        <f>J23</f>
        <v>100</v>
      </c>
      <c r="X23" s="460"/>
      <c r="Y23" s="3856"/>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6"/>
      <c r="Q24" s="395">
        <f t="shared" ref="Q24:Q34" si="8">B24</f>
        <v>111</v>
      </c>
      <c r="R24" s="465" t="s">
        <v>1037</v>
      </c>
      <c r="S24" s="466">
        <f>F24</f>
        <v>100</v>
      </c>
      <c r="T24" s="465" t="s">
        <v>1037</v>
      </c>
      <c r="U24" s="466">
        <f>H24</f>
        <v>100</v>
      </c>
      <c r="V24" s="465" t="s">
        <v>1037</v>
      </c>
      <c r="W24" s="466">
        <f>J24</f>
        <v>100</v>
      </c>
      <c r="X24" s="460"/>
      <c r="Y24" s="3856"/>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6"/>
      <c r="Q25" s="464">
        <f t="shared" si="8"/>
        <v>111</v>
      </c>
      <c r="R25" s="461" t="s">
        <v>1037</v>
      </c>
      <c r="S25" s="462">
        <f>F25</f>
        <v>100</v>
      </c>
      <c r="T25" s="461" t="s">
        <v>1037</v>
      </c>
      <c r="U25" s="462">
        <f>H25</f>
        <v>100</v>
      </c>
      <c r="V25" s="461" t="s">
        <v>1037</v>
      </c>
      <c r="W25" s="462">
        <f>J25</f>
        <v>100</v>
      </c>
      <c r="X25" s="463"/>
      <c r="Y25" s="3856"/>
      <c r="Z25" s="481">
        <f>Q25</f>
        <v>111</v>
      </c>
      <c r="AA25" s="471">
        <f t="shared" si="3"/>
        <v>1</v>
      </c>
      <c r="AB25" s="471">
        <f t="shared" si="4"/>
        <v>1</v>
      </c>
      <c r="AC25" s="471">
        <f t="shared" si="5"/>
        <v>1</v>
      </c>
    </row>
    <row r="26" spans="1:29" ht="15">
      <c r="A26" s="292" t="s">
        <v>1054</v>
      </c>
      <c r="B26" s="293" t="s">
        <v>2406</v>
      </c>
      <c r="C26" s="294" t="s">
        <v>2690</v>
      </c>
      <c r="D26" s="295">
        <v>100</v>
      </c>
      <c r="E26" s="294" t="s">
        <v>2690</v>
      </c>
      <c r="F26" s="296">
        <f>SUMIF(77:77,E26,78:78)-SUMIF(77:77,C26,78:78)+100</f>
        <v>100</v>
      </c>
      <c r="G26" s="294" t="s">
        <v>2690</v>
      </c>
      <c r="H26" s="295">
        <f>SUMIF(77:77,G26,78:78)-SUMIF(77:77,C26,78:78)+100</f>
        <v>100</v>
      </c>
      <c r="I26" s="294" t="s">
        <v>2690</v>
      </c>
      <c r="J26" s="295">
        <f>SUMIF(77:77,I26,78:78)-SUMIF(77:77,C26,78:78)+100</f>
        <v>100</v>
      </c>
      <c r="K26" s="406"/>
      <c r="L26" s="402"/>
      <c r="M26" s="390"/>
      <c r="N26" s="390"/>
      <c r="O26" s="401"/>
      <c r="P26" s="3857"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58"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58"/>
      <c r="Q27" s="467" t="str">
        <f t="shared" si="8"/>
        <v>成新率</v>
      </c>
      <c r="R27" s="468" t="s">
        <v>1037</v>
      </c>
      <c r="S27" s="469">
        <f t="shared" si="9"/>
        <v>100</v>
      </c>
      <c r="T27" s="468" t="s">
        <v>1037</v>
      </c>
      <c r="U27" s="469">
        <f t="shared" si="10"/>
        <v>100</v>
      </c>
      <c r="V27" s="468" t="s">
        <v>1037</v>
      </c>
      <c r="W27" s="469">
        <f t="shared" si="11"/>
        <v>100</v>
      </c>
      <c r="X27" s="470"/>
      <c r="Y27" s="3858"/>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8"/>
      <c r="Q28" s="395" t="str">
        <f t="shared" si="8"/>
        <v>物业等级</v>
      </c>
      <c r="R28" s="465" t="s">
        <v>1037</v>
      </c>
      <c r="S28" s="466">
        <f t="shared" si="9"/>
        <v>100</v>
      </c>
      <c r="T28" s="465" t="s">
        <v>1037</v>
      </c>
      <c r="U28" s="466">
        <f t="shared" si="10"/>
        <v>100</v>
      </c>
      <c r="V28" s="465" t="s">
        <v>1037</v>
      </c>
      <c r="W28" s="466">
        <f t="shared" si="11"/>
        <v>100</v>
      </c>
      <c r="X28" s="460"/>
      <c r="Y28" s="3858"/>
      <c r="Z28" s="459" t="str">
        <f t="shared" si="12"/>
        <v>物业等级</v>
      </c>
      <c r="AA28" s="471">
        <f t="shared" si="3"/>
        <v>1</v>
      </c>
      <c r="AB28" s="471">
        <f t="shared" si="4"/>
        <v>1</v>
      </c>
      <c r="AC28" s="471">
        <f t="shared" si="5"/>
        <v>1</v>
      </c>
    </row>
    <row r="29" spans="1:29" ht="15">
      <c r="A29" s="302"/>
      <c r="B29" s="298" t="s">
        <v>2459</v>
      </c>
      <c r="C29" s="304" t="s">
        <v>2710</v>
      </c>
      <c r="D29" s="256">
        <v>100</v>
      </c>
      <c r="E29" s="304" t="s">
        <v>2710</v>
      </c>
      <c r="F29" s="286">
        <f>SUMIF(84:84,E29,85:85)-SUMIF(84:84,C29,85:85)+100</f>
        <v>100</v>
      </c>
      <c r="G29" s="304" t="s">
        <v>2710</v>
      </c>
      <c r="H29" s="256">
        <f>SUMIF(84:84,G29,85:85)-SUMIF(84:84,C29,85:85)+100</f>
        <v>100</v>
      </c>
      <c r="I29" s="304" t="s">
        <v>2710</v>
      </c>
      <c r="J29" s="256">
        <f>SUMIF(84:84,I29,85:85)-SUMIF(84:84,C29,85:85)+100</f>
        <v>100</v>
      </c>
      <c r="K29" s="406">
        <v>3</v>
      </c>
      <c r="L29" s="402"/>
      <c r="M29" s="390"/>
      <c r="N29" s="390"/>
      <c r="O29" s="401"/>
      <c r="P29" s="3858"/>
      <c r="Q29" s="395" t="str">
        <f t="shared" si="8"/>
        <v>有无电梯</v>
      </c>
      <c r="R29" s="465" t="s">
        <v>1037</v>
      </c>
      <c r="S29" s="466">
        <f t="shared" si="9"/>
        <v>100</v>
      </c>
      <c r="T29" s="465" t="s">
        <v>1037</v>
      </c>
      <c r="U29" s="466">
        <f t="shared" si="10"/>
        <v>100</v>
      </c>
      <c r="V29" s="465" t="s">
        <v>1037</v>
      </c>
      <c r="W29" s="466">
        <f t="shared" si="11"/>
        <v>100</v>
      </c>
      <c r="X29" s="460"/>
      <c r="Y29" s="3858"/>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58"/>
      <c r="Q30" s="395" t="str">
        <f t="shared" si="8"/>
        <v>建筑面积</v>
      </c>
      <c r="R30" s="465" t="s">
        <v>1037</v>
      </c>
      <c r="S30" s="466">
        <f t="shared" si="9"/>
        <v>100</v>
      </c>
      <c r="T30" s="465" t="s">
        <v>1037</v>
      </c>
      <c r="U30" s="466">
        <f t="shared" si="10"/>
        <v>100</v>
      </c>
      <c r="V30" s="465" t="s">
        <v>1037</v>
      </c>
      <c r="W30" s="466">
        <f t="shared" si="11"/>
        <v>100</v>
      </c>
      <c r="X30" s="460"/>
      <c r="Y30" s="3858"/>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8"/>
      <c r="Q31" s="464" t="str">
        <f t="shared" si="8"/>
        <v>是否封闭</v>
      </c>
      <c r="R31" s="461" t="s">
        <v>1037</v>
      </c>
      <c r="S31" s="462">
        <f t="shared" si="9"/>
        <v>100</v>
      </c>
      <c r="T31" s="461" t="s">
        <v>1037</v>
      </c>
      <c r="U31" s="462">
        <f t="shared" si="10"/>
        <v>100</v>
      </c>
      <c r="V31" s="461" t="s">
        <v>1037</v>
      </c>
      <c r="W31" s="462">
        <f t="shared" si="11"/>
        <v>100</v>
      </c>
      <c r="X31" s="463"/>
      <c r="Y31" s="3858"/>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58" t="s">
        <v>1053</v>
      </c>
      <c r="Q32" s="395">
        <f t="shared" si="8"/>
        <v>0</v>
      </c>
      <c r="R32" s="465" t="s">
        <v>1037</v>
      </c>
      <c r="S32" s="466">
        <f t="shared" si="9"/>
        <v>100</v>
      </c>
      <c r="T32" s="465" t="s">
        <v>1037</v>
      </c>
      <c r="U32" s="466">
        <f t="shared" si="10"/>
        <v>100</v>
      </c>
      <c r="V32" s="465" t="s">
        <v>1037</v>
      </c>
      <c r="W32" s="466">
        <f t="shared" si="11"/>
        <v>100</v>
      </c>
      <c r="X32" s="460"/>
      <c r="Y32" s="3858" t="s">
        <v>1053</v>
      </c>
      <c r="Z32" s="459">
        <f t="shared" si="12"/>
        <v>0</v>
      </c>
      <c r="AA32" s="471">
        <f t="shared" si="3"/>
        <v>1</v>
      </c>
      <c r="AB32" s="471">
        <f t="shared" si="4"/>
        <v>1</v>
      </c>
      <c r="AC32" s="471">
        <f t="shared" si="5"/>
        <v>1</v>
      </c>
    </row>
    <row r="33" spans="1:29" ht="15">
      <c r="A33" s="302"/>
      <c r="B33" s="3645" t="s">
        <v>2713</v>
      </c>
      <c r="C33" s="3646" t="s">
        <v>2709</v>
      </c>
      <c r="D33" s="256">
        <v>100</v>
      </c>
      <c r="E33" s="3647" t="s">
        <v>2709</v>
      </c>
      <c r="F33" s="286">
        <f>SUMIF(93:93,E33,94:94)-SUMIF(93:93,C33,94:94)+100</f>
        <v>100</v>
      </c>
      <c r="G33" s="3647" t="s">
        <v>2703</v>
      </c>
      <c r="H33" s="256">
        <f>SUMIF(93:93,G33,94:94)-SUMIF(93:93,C33,94:94)+100</f>
        <v>120</v>
      </c>
      <c r="I33" s="3647" t="s">
        <v>2703</v>
      </c>
      <c r="J33" s="256">
        <f>SUMIF(93:93,I33,94:94)-SUMIF(93:93,C33,94:94)+100</f>
        <v>120</v>
      </c>
      <c r="K33" s="399"/>
      <c r="L33" s="402"/>
      <c r="M33" s="390"/>
      <c r="N33" s="390"/>
      <c r="O33" s="401"/>
      <c r="P33" s="3858"/>
      <c r="Q33" s="395" t="str">
        <f t="shared" si="8"/>
        <v>商品房项目</v>
      </c>
      <c r="R33" s="465" t="s">
        <v>1037</v>
      </c>
      <c r="S33" s="466">
        <f t="shared" si="9"/>
        <v>100</v>
      </c>
      <c r="T33" s="465" t="s">
        <v>1037</v>
      </c>
      <c r="U33" s="466">
        <f t="shared" si="10"/>
        <v>120</v>
      </c>
      <c r="V33" s="465" t="s">
        <v>1037</v>
      </c>
      <c r="W33" s="466">
        <f t="shared" si="11"/>
        <v>120</v>
      </c>
      <c r="X33" s="460"/>
      <c r="Y33" s="3858"/>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8"/>
      <c r="Q34" s="395">
        <f t="shared" si="8"/>
        <v>111</v>
      </c>
      <c r="R34" s="465" t="s">
        <v>1037</v>
      </c>
      <c r="S34" s="466">
        <f t="shared" si="9"/>
        <v>100</v>
      </c>
      <c r="T34" s="465" t="s">
        <v>1037</v>
      </c>
      <c r="U34" s="466">
        <f t="shared" si="10"/>
        <v>100</v>
      </c>
      <c r="V34" s="465" t="s">
        <v>1037</v>
      </c>
      <c r="W34" s="466">
        <f t="shared" si="11"/>
        <v>100</v>
      </c>
      <c r="X34" s="460"/>
      <c r="Y34" s="3858"/>
      <c r="Z34" s="459">
        <f t="shared" si="12"/>
        <v>111</v>
      </c>
      <c r="AA34" s="471">
        <f t="shared" si="3"/>
        <v>1</v>
      </c>
      <c r="AB34" s="471">
        <f t="shared" si="4"/>
        <v>1</v>
      </c>
      <c r="AC34" s="471">
        <f t="shared" si="5"/>
        <v>1</v>
      </c>
    </row>
    <row r="35" spans="1:29" ht="15">
      <c r="A35" s="312" t="s">
        <v>2413</v>
      </c>
      <c r="B35" s="313"/>
      <c r="C35" s="314" t="s">
        <v>138</v>
      </c>
      <c r="D35" s="315"/>
      <c r="E35" s="316">
        <v>8414</v>
      </c>
      <c r="F35" s="317"/>
      <c r="G35" s="318">
        <v>14309</v>
      </c>
      <c r="H35" s="319"/>
      <c r="I35" s="316">
        <v>11541</v>
      </c>
      <c r="J35" s="319"/>
      <c r="K35" s="409"/>
      <c r="L35" s="410"/>
      <c r="M35" s="340"/>
      <c r="N35" s="390"/>
      <c r="O35" s="340"/>
      <c r="P35" s="3848" t="str">
        <f>A35</f>
        <v>成交单价（元/平方米）</v>
      </c>
      <c r="Q35" s="3848"/>
      <c r="R35" s="3938">
        <f>E35</f>
        <v>8414</v>
      </c>
      <c r="S35" s="3938"/>
      <c r="T35" s="3938">
        <f>G35</f>
        <v>14309</v>
      </c>
      <c r="U35" s="3938"/>
      <c r="V35" s="3938">
        <f>I35</f>
        <v>11541</v>
      </c>
      <c r="W35" s="3938"/>
      <c r="X35" s="342"/>
      <c r="Y35" s="483"/>
      <c r="Z35" s="342"/>
      <c r="AA35" s="342"/>
      <c r="AB35" s="342"/>
      <c r="AC35" s="342"/>
    </row>
    <row r="36" spans="1:29" ht="15">
      <c r="A36" s="320" t="s">
        <v>1062</v>
      </c>
      <c r="B36" s="321"/>
      <c r="C36" s="322">
        <f>R37</f>
        <v>9382</v>
      </c>
      <c r="D36" s="323" t="s">
        <v>1063</v>
      </c>
      <c r="E36" s="324">
        <f>R36</f>
        <v>8414</v>
      </c>
      <c r="F36" s="325"/>
      <c r="G36" s="322">
        <f>T36</f>
        <v>10922</v>
      </c>
      <c r="H36" s="325"/>
      <c r="I36" s="324">
        <f>V36</f>
        <v>8809</v>
      </c>
      <c r="J36" s="325"/>
      <c r="K36" s="411">
        <f>F36+H36+J36</f>
        <v>0</v>
      </c>
      <c r="L36" s="410"/>
      <c r="M36" s="340"/>
      <c r="N36" s="390"/>
      <c r="O36" s="340"/>
      <c r="P36" s="3848" t="str">
        <f>A36</f>
        <v>比较价格（元/平方米）</v>
      </c>
      <c r="Q36" s="3848"/>
      <c r="R36" s="3938">
        <f>IF(F1="售价",ROUND(PRODUCT(R35,AA7:AA34),0),ROUND(PRODUCT(R35,AA7:AA34),1))</f>
        <v>8414</v>
      </c>
      <c r="S36" s="3938"/>
      <c r="T36" s="3938">
        <f>IF(F1="售价",ROUND(PRODUCT(T35,AB7:AB34),0),ROUND(PRODUCT(T35,AB7:AB34),1))</f>
        <v>10922</v>
      </c>
      <c r="U36" s="3938"/>
      <c r="V36" s="3938">
        <f>IF(F1="售价",ROUND(PRODUCT(V35,AC7:AC34),0),ROUND(PRODUCT(V35,AC7:AC34),1))</f>
        <v>8809</v>
      </c>
      <c r="W36" s="3938"/>
      <c r="X36" s="342"/>
      <c r="Y36" s="342"/>
      <c r="Z36" s="342"/>
      <c r="AA36" s="342"/>
      <c r="AB36" s="342"/>
      <c r="AC36" s="342"/>
    </row>
    <row r="37" spans="1:29" ht="15">
      <c r="A37" s="326" t="s">
        <v>1064</v>
      </c>
      <c r="B37" s="327"/>
      <c r="C37" s="328">
        <f>R37</f>
        <v>9382</v>
      </c>
      <c r="D37" s="328"/>
      <c r="E37" s="328"/>
      <c r="F37" s="328"/>
      <c r="G37" s="328"/>
      <c r="H37" s="328"/>
      <c r="I37" s="328"/>
      <c r="J37" s="328"/>
      <c r="K37" s="412"/>
      <c r="L37" s="410"/>
      <c r="M37" s="340"/>
      <c r="N37" s="340"/>
      <c r="O37" s="340"/>
      <c r="P37" s="3850" t="str">
        <f>A37</f>
        <v>估价对象XX用房的比较价格（楼面单价，元/平方米）</v>
      </c>
      <c r="Q37" s="3851"/>
      <c r="R37" s="3939">
        <f>IF(F1="售价",ROUND(IF(D36="简单平均",AVERAGE(R36:W36),R36*F36+T36*H36+V36*J36),0),ROUND(IF(D36="简单平均",AVERAGE(R36:V36),R36*F36+T36*H36+V36*J36),1))</f>
        <v>9382</v>
      </c>
      <c r="S37" s="3939"/>
      <c r="T37" s="3939"/>
      <c r="U37" s="3939"/>
      <c r="V37" s="3939"/>
      <c r="W37" s="3939"/>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0.3101080388207289</v>
      </c>
      <c r="H40" s="334" t="str">
        <f>IF(OR(G40&gt;=0.3,G40&lt;=-0.3),"超过30%","")</f>
        <v>超过30%</v>
      </c>
      <c r="I40" s="333">
        <f>IF(I35&lt;I36,I36/I35-1,I35/I36-1)</f>
        <v>0.31013735951867405</v>
      </c>
      <c r="J40" s="334" t="str">
        <f>IF(OR(I40&gt;=0.3,I40&lt;=-0.3),"超过30%","")</f>
        <v>超过30%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0.29807463750891361</v>
      </c>
      <c r="F41" s="334" t="str">
        <f>IF(OR(E41&gt;=0.2,E41&lt;=-0.2),"超过20%","")</f>
        <v>超过20%</v>
      </c>
      <c r="G41" s="333">
        <f>IF(G36&lt;I36,I36/G36-1,G36/I36-1)</f>
        <v>0.23986831649449436</v>
      </c>
      <c r="H41" s="334" t="str">
        <f>IF(OR(G41&gt;=0.2,G41&lt;=-0.2),"超过20%","")</f>
        <v>超过20%</v>
      </c>
      <c r="I41" s="333">
        <f>IF(I36&lt;E36,E36/I36-1,I36/E36-1)</f>
        <v>4.6945566912289127E-2</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1094</v>
      </c>
      <c r="C53" s="368" t="s">
        <v>2701</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97</v>
      </c>
      <c r="E62" s="378">
        <f>D62-$K14</f>
        <v>94</v>
      </c>
      <c r="F62" s="378">
        <f>E62-$K14</f>
        <v>91</v>
      </c>
      <c r="G62" s="378">
        <f>F62-$K14</f>
        <v>88</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97</v>
      </c>
      <c r="E64" s="378">
        <f>D64-$K16</f>
        <v>94</v>
      </c>
      <c r="F64" s="378">
        <f>E64-$K16</f>
        <v>91</v>
      </c>
      <c r="G64" s="378">
        <f>F64-$K16</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1101</v>
      </c>
      <c r="B77" s="361" t="s">
        <v>2406</v>
      </c>
      <c r="C77" s="2221" t="s">
        <v>2691</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2459</v>
      </c>
      <c r="C84" s="2221" t="s">
        <v>2711</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t="str">
        <f>B33</f>
        <v>商品房项目</v>
      </c>
      <c r="C93" s="3648" t="s">
        <v>2703</v>
      </c>
      <c r="D93" s="3648" t="s">
        <v>2709</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13" zoomScale="80" zoomScaleNormal="60" zoomScaleSheetLayoutView="80" workbookViewId="0">
      <selection activeCell="D101" sqref="D10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20473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5362</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64" t="s">
        <v>1023</v>
      </c>
      <c r="D4" s="3865"/>
      <c r="E4" s="3864" t="s">
        <v>1024</v>
      </c>
      <c r="F4" s="3865"/>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9" t="s">
        <v>1025</v>
      </c>
      <c r="AC4" s="3828" t="s">
        <v>1026</v>
      </c>
    </row>
    <row r="5" spans="1:29" ht="15">
      <c r="A5" s="225"/>
      <c r="B5" s="226"/>
      <c r="C5" s="3866" t="s">
        <v>1029</v>
      </c>
      <c r="D5" s="3867"/>
      <c r="E5" s="3942" t="s">
        <v>2706</v>
      </c>
      <c r="F5" s="3867"/>
      <c r="G5" s="3942" t="s">
        <v>2707</v>
      </c>
      <c r="H5" s="3867"/>
      <c r="I5" s="3942" t="s">
        <v>2721</v>
      </c>
      <c r="J5" s="3867"/>
      <c r="K5" s="388"/>
      <c r="L5" s="389"/>
      <c r="M5" s="390"/>
      <c r="N5" s="390"/>
      <c r="O5" s="390"/>
      <c r="P5" s="3837"/>
      <c r="Q5" s="3838"/>
      <c r="R5" s="3843"/>
      <c r="S5" s="3844"/>
      <c r="T5" s="3843"/>
      <c r="U5" s="3844"/>
      <c r="V5" s="3847"/>
      <c r="W5" s="3847"/>
      <c r="X5" s="460"/>
      <c r="Y5" s="3843"/>
      <c r="Z5" s="3844"/>
      <c r="AA5" s="3829"/>
      <c r="AB5" s="3829"/>
      <c r="AC5" s="3829"/>
    </row>
    <row r="6" spans="1:29" ht="15">
      <c r="A6" s="227"/>
      <c r="B6" s="228"/>
      <c r="C6" s="3877" t="s">
        <v>1033</v>
      </c>
      <c r="D6" s="3862"/>
      <c r="E6" s="3859" t="s">
        <v>1033</v>
      </c>
      <c r="F6" s="3860"/>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30"/>
      <c r="AC6" s="3830"/>
    </row>
    <row r="7" spans="1:29" s="199" customFormat="1" ht="15">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53" t="s">
        <v>1036</v>
      </c>
      <c r="Q7" s="3863"/>
      <c r="R7" s="461" t="s">
        <v>1037</v>
      </c>
      <c r="S7" s="462">
        <f t="shared" ref="S7:S14" si="0">F7</f>
        <v>100</v>
      </c>
      <c r="T7" s="461" t="s">
        <v>1037</v>
      </c>
      <c r="U7" s="462">
        <f t="shared" ref="U7:U14" si="1">H7</f>
        <v>100</v>
      </c>
      <c r="V7" s="461" t="s">
        <v>1037</v>
      </c>
      <c r="W7" s="462">
        <f t="shared" ref="W7:W14" si="2">J7</f>
        <v>100</v>
      </c>
      <c r="X7" s="463"/>
      <c r="Y7" s="3853" t="s">
        <v>1036</v>
      </c>
      <c r="Z7" s="3854"/>
      <c r="AA7" s="480">
        <f>D7/F7</f>
        <v>1</v>
      </c>
      <c r="AB7" s="480">
        <f>D7/H7</f>
        <v>1</v>
      </c>
      <c r="AC7" s="480">
        <f>D7/J7</f>
        <v>1</v>
      </c>
    </row>
    <row r="8" spans="1:29" s="199" customFormat="1" ht="15">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53" t="s">
        <v>1041</v>
      </c>
      <c r="Q8" s="3854"/>
      <c r="R8" s="461" t="s">
        <v>1037</v>
      </c>
      <c r="S8" s="462">
        <f t="shared" si="0"/>
        <v>100</v>
      </c>
      <c r="T8" s="461" t="s">
        <v>1037</v>
      </c>
      <c r="U8" s="462">
        <f t="shared" si="1"/>
        <v>100</v>
      </c>
      <c r="V8" s="461" t="s">
        <v>1037</v>
      </c>
      <c r="W8" s="462">
        <f t="shared" si="2"/>
        <v>100</v>
      </c>
      <c r="X8" s="463"/>
      <c r="Y8" s="3853" t="s">
        <v>1041</v>
      </c>
      <c r="Z8" s="3854"/>
      <c r="AA8" s="480">
        <f t="shared" ref="AA8:AA36" si="3">D8/F8</f>
        <v>1</v>
      </c>
      <c r="AB8" s="480">
        <f t="shared" ref="AB8:AB36" si="4">D8/H8</f>
        <v>1</v>
      </c>
      <c r="AC8" s="480">
        <f t="shared" ref="AC8:AC36" si="5">D8/J8</f>
        <v>1</v>
      </c>
    </row>
    <row r="9" spans="1:29" s="199" customFormat="1" ht="15">
      <c r="A9" s="239"/>
      <c r="B9" s="240" t="s">
        <v>1042</v>
      </c>
      <c r="C9" s="3641" t="s">
        <v>2700</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48" t="s">
        <v>1043</v>
      </c>
      <c r="Q9" s="464" t="str">
        <f t="shared" ref="Q9:Q14" si="6">B9</f>
        <v>用途</v>
      </c>
      <c r="R9" s="461" t="s">
        <v>1037</v>
      </c>
      <c r="S9" s="462">
        <f t="shared" si="0"/>
        <v>100</v>
      </c>
      <c r="T9" s="461" t="s">
        <v>1037</v>
      </c>
      <c r="U9" s="462">
        <f t="shared" si="1"/>
        <v>100</v>
      </c>
      <c r="V9" s="461" t="s">
        <v>1037</v>
      </c>
      <c r="W9" s="462">
        <f t="shared" si="2"/>
        <v>100</v>
      </c>
      <c r="X9" s="463"/>
      <c r="Y9" s="3814"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SUMIF(55:55,E10,56:56)-SUMIF(55:55,C10,56:56)+100</f>
        <v>100</v>
      </c>
      <c r="G10" s="247" t="s">
        <v>2702</v>
      </c>
      <c r="H10" s="246">
        <f>SUMIF(55:55,G10,56:56)-SUMIF(55:55,C10,56:56)+100</f>
        <v>100</v>
      </c>
      <c r="I10" s="245" t="s">
        <v>2702</v>
      </c>
      <c r="J10" s="246">
        <f>SUMIF(55:55,I10,56:56)-SUMIF(55:55,C10,56:56)+100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8"/>
      <c r="Q11" s="464">
        <f t="shared" si="6"/>
        <v>111</v>
      </c>
      <c r="R11" s="461" t="s">
        <v>1037</v>
      </c>
      <c r="S11" s="462">
        <f t="shared" si="0"/>
        <v>100</v>
      </c>
      <c r="T11" s="461" t="s">
        <v>1037</v>
      </c>
      <c r="U11" s="462">
        <f t="shared" si="1"/>
        <v>100</v>
      </c>
      <c r="V11" s="461" t="s">
        <v>1037</v>
      </c>
      <c r="W11" s="462">
        <f t="shared" si="2"/>
        <v>100</v>
      </c>
      <c r="X11" s="463"/>
      <c r="Y11" s="381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85.5">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106</v>
      </c>
      <c r="I14" s="261"/>
      <c r="J14" s="260">
        <f>SUMIF(63:63,I15,64:64)-SUMIF(63:63,C15,64:64)+100</f>
        <v>106</v>
      </c>
      <c r="K14" s="403">
        <v>3</v>
      </c>
      <c r="L14" s="402"/>
      <c r="M14" s="390"/>
      <c r="N14" s="390"/>
      <c r="O14" s="401"/>
      <c r="P14" s="3855" t="s">
        <v>1049</v>
      </c>
      <c r="Q14" s="395" t="str">
        <f t="shared" si="6"/>
        <v>交通便捷度</v>
      </c>
      <c r="R14" s="465" t="s">
        <v>1037</v>
      </c>
      <c r="S14" s="466">
        <f t="shared" si="0"/>
        <v>100</v>
      </c>
      <c r="T14" s="465" t="s">
        <v>1037</v>
      </c>
      <c r="U14" s="466">
        <f t="shared" si="1"/>
        <v>106</v>
      </c>
      <c r="V14" s="465" t="s">
        <v>1037</v>
      </c>
      <c r="W14" s="466">
        <f t="shared" si="2"/>
        <v>106</v>
      </c>
      <c r="X14" s="460"/>
      <c r="Y14" s="3855" t="s">
        <v>1049</v>
      </c>
      <c r="Z14" s="459" t="str">
        <f t="shared" si="7"/>
        <v>交通便捷度</v>
      </c>
      <c r="AA14" s="471">
        <f t="shared" si="3"/>
        <v>1</v>
      </c>
      <c r="AB14" s="471">
        <f t="shared" si="4"/>
        <v>0.94339622641509435</v>
      </c>
      <c r="AC14" s="471">
        <f t="shared" si="5"/>
        <v>0.94339622641509435</v>
      </c>
    </row>
    <row r="15" spans="1:29" ht="15">
      <c r="A15" s="225"/>
      <c r="B15" s="512"/>
      <c r="C15" s="277" t="s">
        <v>2720</v>
      </c>
      <c r="D15" s="267"/>
      <c r="E15" s="277" t="s">
        <v>2720</v>
      </c>
      <c r="F15" s="268"/>
      <c r="G15" s="277" t="s">
        <v>2656</v>
      </c>
      <c r="H15" s="269"/>
      <c r="I15" s="277" t="s">
        <v>2656</v>
      </c>
      <c r="J15" s="267"/>
      <c r="K15" s="404"/>
      <c r="L15" s="402"/>
      <c r="M15" s="390"/>
      <c r="N15" s="390"/>
      <c r="O15" s="401"/>
      <c r="P15" s="3856"/>
      <c r="Q15" s="395"/>
      <c r="R15" s="465"/>
      <c r="S15" s="466"/>
      <c r="T15" s="465"/>
      <c r="U15" s="466"/>
      <c r="V15" s="465"/>
      <c r="W15" s="466"/>
      <c r="X15" s="460"/>
      <c r="Y15" s="3856"/>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103</v>
      </c>
      <c r="I16" s="273"/>
      <c r="J16" s="272">
        <f>SUMIF(65:65,I17,66:66)-SUMIF(65:65,C17,66:66)+100</f>
        <v>106</v>
      </c>
      <c r="K16" s="403">
        <v>3</v>
      </c>
      <c r="L16" s="402"/>
      <c r="M16" s="390"/>
      <c r="N16" s="390"/>
      <c r="O16" s="401"/>
      <c r="P16" s="3856"/>
      <c r="Q16" s="395" t="str">
        <f>B16</f>
        <v>公共配套设施</v>
      </c>
      <c r="R16" s="465" t="s">
        <v>1037</v>
      </c>
      <c r="S16" s="466">
        <f>F16</f>
        <v>100</v>
      </c>
      <c r="T16" s="465" t="s">
        <v>1037</v>
      </c>
      <c r="U16" s="466">
        <f>H16</f>
        <v>103</v>
      </c>
      <c r="V16" s="465" t="s">
        <v>1037</v>
      </c>
      <c r="W16" s="466">
        <f>J16</f>
        <v>106</v>
      </c>
      <c r="X16" s="460"/>
      <c r="Y16" s="3856"/>
      <c r="Z16" s="459" t="str">
        <f>Q16</f>
        <v>公共配套设施</v>
      </c>
      <c r="AA16" s="471">
        <f t="shared" si="3"/>
        <v>1</v>
      </c>
      <c r="AB16" s="471">
        <f t="shared" si="4"/>
        <v>0.970873786407767</v>
      </c>
      <c r="AC16" s="471">
        <f t="shared" si="5"/>
        <v>0.94339622641509435</v>
      </c>
    </row>
    <row r="17" spans="1:29" ht="15">
      <c r="A17" s="225"/>
      <c r="B17" s="276"/>
      <c r="C17" s="277" t="s">
        <v>2720</v>
      </c>
      <c r="D17" s="267"/>
      <c r="E17" s="277" t="s">
        <v>2720</v>
      </c>
      <c r="F17" s="268"/>
      <c r="G17" s="277" t="s">
        <v>2683</v>
      </c>
      <c r="H17" s="267"/>
      <c r="I17" s="277" t="s">
        <v>2656</v>
      </c>
      <c r="J17" s="267"/>
      <c r="K17" s="404"/>
      <c r="L17" s="402"/>
      <c r="M17" s="390"/>
      <c r="N17" s="390"/>
      <c r="O17" s="401"/>
      <c r="P17" s="3856"/>
      <c r="Q17" s="395"/>
      <c r="R17" s="465"/>
      <c r="S17" s="466"/>
      <c r="T17" s="465"/>
      <c r="U17" s="466"/>
      <c r="V17" s="465"/>
      <c r="W17" s="466"/>
      <c r="X17" s="460"/>
      <c r="Y17" s="3856"/>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56"/>
      <c r="Q18" s="395" t="str">
        <f>B18</f>
        <v>基础设施水平</v>
      </c>
      <c r="R18" s="465" t="s">
        <v>1037</v>
      </c>
      <c r="S18" s="466">
        <f>F18</f>
        <v>100</v>
      </c>
      <c r="T18" s="465" t="s">
        <v>1037</v>
      </c>
      <c r="U18" s="466">
        <f>H18</f>
        <v>100</v>
      </c>
      <c r="V18" s="465" t="s">
        <v>1037</v>
      </c>
      <c r="W18" s="466">
        <f>J18</f>
        <v>100</v>
      </c>
      <c r="X18" s="460"/>
      <c r="Y18" s="3856"/>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56"/>
      <c r="Q19" s="395"/>
      <c r="R19" s="465"/>
      <c r="S19" s="466"/>
      <c r="T19" s="465"/>
      <c r="U19" s="466"/>
      <c r="V19" s="465"/>
      <c r="W19" s="466"/>
      <c r="X19" s="460"/>
      <c r="Y19" s="3856"/>
      <c r="Z19" s="459"/>
      <c r="AA19" s="471">
        <v>1</v>
      </c>
      <c r="AB19" s="471">
        <v>1</v>
      </c>
      <c r="AC19" s="471">
        <v>1</v>
      </c>
    </row>
    <row r="20" spans="1:29" ht="57">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3</v>
      </c>
      <c r="L20" s="402"/>
      <c r="M20" s="390"/>
      <c r="N20" s="390"/>
      <c r="O20" s="401"/>
      <c r="P20" s="3856"/>
      <c r="Q20" s="395" t="str">
        <f>B20</f>
        <v>自然及人文环境</v>
      </c>
      <c r="R20" s="465" t="s">
        <v>1037</v>
      </c>
      <c r="S20" s="466">
        <f>F20</f>
        <v>100</v>
      </c>
      <c r="T20" s="465" t="s">
        <v>1037</v>
      </c>
      <c r="U20" s="466">
        <f>H20</f>
        <v>100</v>
      </c>
      <c r="V20" s="465" t="s">
        <v>1037</v>
      </c>
      <c r="W20" s="466">
        <f>J20</f>
        <v>100</v>
      </c>
      <c r="X20" s="460"/>
      <c r="Y20" s="3856"/>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56"/>
      <c r="Q21" s="395"/>
      <c r="R21" s="465"/>
      <c r="S21" s="466"/>
      <c r="T21" s="465"/>
      <c r="U21" s="466"/>
      <c r="V21" s="465"/>
      <c r="W21" s="466"/>
      <c r="X21" s="460"/>
      <c r="Y21" s="3856"/>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6"/>
      <c r="Q22" s="395" t="str">
        <f>B22</f>
        <v>楼层</v>
      </c>
      <c r="R22" s="465" t="s">
        <v>1037</v>
      </c>
      <c r="S22" s="466">
        <f>F22</f>
        <v>100</v>
      </c>
      <c r="T22" s="465" t="s">
        <v>1037</v>
      </c>
      <c r="U22" s="466">
        <f>H22</f>
        <v>100</v>
      </c>
      <c r="V22" s="465" t="s">
        <v>1037</v>
      </c>
      <c r="W22" s="466">
        <f>J22</f>
        <v>100</v>
      </c>
      <c r="X22" s="460"/>
      <c r="Y22" s="3856"/>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6"/>
      <c r="Q23" s="395">
        <f>B23</f>
        <v>111</v>
      </c>
      <c r="R23" s="465" t="s">
        <v>1037</v>
      </c>
      <c r="S23" s="466">
        <f>F23</f>
        <v>100</v>
      </c>
      <c r="T23" s="465" t="s">
        <v>1037</v>
      </c>
      <c r="U23" s="466">
        <f>H23</f>
        <v>100</v>
      </c>
      <c r="V23" s="465" t="s">
        <v>1037</v>
      </c>
      <c r="W23" s="466">
        <f>J23</f>
        <v>100</v>
      </c>
      <c r="X23" s="460"/>
      <c r="Y23" s="3856"/>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6"/>
      <c r="Q24" s="395">
        <f t="shared" ref="Q24:Q36" si="8">B24</f>
        <v>111</v>
      </c>
      <c r="R24" s="465" t="s">
        <v>1037</v>
      </c>
      <c r="S24" s="466">
        <f>F24</f>
        <v>100</v>
      </c>
      <c r="T24" s="465" t="s">
        <v>1037</v>
      </c>
      <c r="U24" s="466">
        <f>H24</f>
        <v>100</v>
      </c>
      <c r="V24" s="465" t="s">
        <v>1037</v>
      </c>
      <c r="W24" s="466">
        <f>J24</f>
        <v>100</v>
      </c>
      <c r="X24" s="460"/>
      <c r="Y24" s="3856"/>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6"/>
      <c r="Q25" s="464">
        <f t="shared" si="8"/>
        <v>111</v>
      </c>
      <c r="R25" s="461" t="s">
        <v>1037</v>
      </c>
      <c r="S25" s="462">
        <f>F25</f>
        <v>100</v>
      </c>
      <c r="T25" s="461" t="s">
        <v>1037</v>
      </c>
      <c r="U25" s="462">
        <f>H25</f>
        <v>100</v>
      </c>
      <c r="V25" s="461" t="s">
        <v>1037</v>
      </c>
      <c r="W25" s="462">
        <f>J25</f>
        <v>100</v>
      </c>
      <c r="X25" s="463"/>
      <c r="Y25" s="3856"/>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57"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58"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8"/>
      <c r="Q27" s="467" t="str">
        <f t="shared" si="8"/>
        <v>项目停车位配比</v>
      </c>
      <c r="R27" s="468" t="s">
        <v>1037</v>
      </c>
      <c r="S27" s="469">
        <f t="shared" si="9"/>
        <v>100</v>
      </c>
      <c r="T27" s="468" t="s">
        <v>1037</v>
      </c>
      <c r="U27" s="469">
        <f t="shared" si="10"/>
        <v>100</v>
      </c>
      <c r="V27" s="468" t="s">
        <v>1037</v>
      </c>
      <c r="W27" s="469">
        <f t="shared" si="11"/>
        <v>100</v>
      </c>
      <c r="X27" s="470"/>
      <c r="Y27" s="3858"/>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8"/>
      <c r="Q28" s="395" t="str">
        <f t="shared" si="8"/>
        <v>公共部分装修</v>
      </c>
      <c r="R28" s="465" t="s">
        <v>1037</v>
      </c>
      <c r="S28" s="466">
        <f t="shared" si="9"/>
        <v>100</v>
      </c>
      <c r="T28" s="465" t="s">
        <v>1037</v>
      </c>
      <c r="U28" s="466">
        <f t="shared" si="10"/>
        <v>100</v>
      </c>
      <c r="V28" s="465" t="s">
        <v>1037</v>
      </c>
      <c r="W28" s="466">
        <f t="shared" si="11"/>
        <v>100</v>
      </c>
      <c r="X28" s="460"/>
      <c r="Y28" s="3858"/>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58"/>
      <c r="Q29" s="395" t="str">
        <f t="shared" si="8"/>
        <v>成新率</v>
      </c>
      <c r="R29" s="465" t="s">
        <v>1037</v>
      </c>
      <c r="S29" s="466">
        <f t="shared" si="9"/>
        <v>100</v>
      </c>
      <c r="T29" s="465" t="s">
        <v>1037</v>
      </c>
      <c r="U29" s="466">
        <f t="shared" si="10"/>
        <v>100</v>
      </c>
      <c r="V29" s="465" t="s">
        <v>1037</v>
      </c>
      <c r="W29" s="466">
        <f t="shared" si="11"/>
        <v>100</v>
      </c>
      <c r="X29" s="460"/>
      <c r="Y29" s="3858"/>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8"/>
      <c r="Q30" s="395" t="str">
        <f t="shared" si="8"/>
        <v>物业等级</v>
      </c>
      <c r="R30" s="465" t="s">
        <v>1037</v>
      </c>
      <c r="S30" s="466">
        <f t="shared" si="9"/>
        <v>100</v>
      </c>
      <c r="T30" s="465" t="s">
        <v>1037</v>
      </c>
      <c r="U30" s="466">
        <f t="shared" si="10"/>
        <v>100</v>
      </c>
      <c r="V30" s="465" t="s">
        <v>1037</v>
      </c>
      <c r="W30" s="466">
        <f t="shared" si="11"/>
        <v>100</v>
      </c>
      <c r="X30" s="460"/>
      <c r="Y30" s="3858"/>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58"/>
      <c r="Q31" s="464" t="str">
        <f t="shared" si="8"/>
        <v>停车位面积</v>
      </c>
      <c r="R31" s="461" t="s">
        <v>1037</v>
      </c>
      <c r="S31" s="462">
        <f t="shared" si="9"/>
        <v>100</v>
      </c>
      <c r="T31" s="461" t="s">
        <v>1037</v>
      </c>
      <c r="U31" s="462">
        <f t="shared" si="10"/>
        <v>100</v>
      </c>
      <c r="V31" s="461" t="s">
        <v>1037</v>
      </c>
      <c r="W31" s="462">
        <f t="shared" si="11"/>
        <v>100</v>
      </c>
      <c r="X31" s="463"/>
      <c r="Y31" s="3858"/>
      <c r="Z31" s="481" t="str">
        <f t="shared" si="12"/>
        <v>停车位面积</v>
      </c>
      <c r="AA31" s="480">
        <f t="shared" si="3"/>
        <v>1</v>
      </c>
      <c r="AB31" s="480">
        <f t="shared" si="4"/>
        <v>1</v>
      </c>
      <c r="AC31" s="480">
        <f t="shared" si="5"/>
        <v>1</v>
      </c>
    </row>
    <row r="32" spans="1:29" ht="15">
      <c r="A32" s="525"/>
      <c r="B32" s="523" t="s">
        <v>2455</v>
      </c>
      <c r="C32" s="303" t="s">
        <v>2704</v>
      </c>
      <c r="D32" s="256">
        <v>100</v>
      </c>
      <c r="E32" s="303" t="s">
        <v>2704</v>
      </c>
      <c r="F32" s="286">
        <f>SUMIF(93:93,E32,94:94)-SUMIF(93:93,C32,94:94)+100</f>
        <v>100</v>
      </c>
      <c r="G32" s="303" t="s">
        <v>2704</v>
      </c>
      <c r="H32" s="256">
        <f>SUMIF(93:93,G32,94:94)-SUMIF(93:93,C32,94:94)+100</f>
        <v>100</v>
      </c>
      <c r="I32" s="303" t="s">
        <v>2704</v>
      </c>
      <c r="J32" s="256">
        <f>SUMIF(93:93,I32,94:94)-SUMIF(93:93,C32,94:94)+100</f>
        <v>100</v>
      </c>
      <c r="K32" s="406"/>
      <c r="L32" s="402"/>
      <c r="M32" s="390"/>
      <c r="N32" s="390"/>
      <c r="O32" s="401"/>
      <c r="P32" s="3858" t="s">
        <v>1053</v>
      </c>
      <c r="Q32" s="395" t="str">
        <f t="shared" si="8"/>
        <v>车位类型</v>
      </c>
      <c r="R32" s="465" t="s">
        <v>1037</v>
      </c>
      <c r="S32" s="466">
        <f t="shared" si="9"/>
        <v>100</v>
      </c>
      <c r="T32" s="465" t="s">
        <v>1037</v>
      </c>
      <c r="U32" s="466">
        <f t="shared" si="10"/>
        <v>100</v>
      </c>
      <c r="V32" s="465" t="s">
        <v>1037</v>
      </c>
      <c r="W32" s="466">
        <f t="shared" si="11"/>
        <v>100</v>
      </c>
      <c r="X32" s="460"/>
      <c r="Y32" s="3858" t="s">
        <v>1053</v>
      </c>
      <c r="Z32" s="459" t="str">
        <f t="shared" si="12"/>
        <v>车位类型</v>
      </c>
      <c r="AA32" s="471">
        <f t="shared" si="3"/>
        <v>1</v>
      </c>
      <c r="AB32" s="471">
        <f t="shared" si="4"/>
        <v>1</v>
      </c>
      <c r="AC32" s="471">
        <f t="shared" si="5"/>
        <v>1</v>
      </c>
    </row>
    <row r="33" spans="1:29" ht="15">
      <c r="A33" s="525"/>
      <c r="B33" s="523" t="s">
        <v>2456</v>
      </c>
      <c r="C33" s="303"/>
      <c r="D33" s="256">
        <v>100</v>
      </c>
      <c r="E33" s="303"/>
      <c r="F33" s="286">
        <f>SUMIF(95:95,E33,96:96)-SUMIF(95:95,C33,96:96)+100</f>
        <v>100</v>
      </c>
      <c r="G33" s="303"/>
      <c r="H33" s="256">
        <f>SUMIF(95:95,G33,96:96)-SUMIF(95:95,C33,96:96)+100</f>
        <v>100</v>
      </c>
      <c r="I33" s="303"/>
      <c r="J33" s="256">
        <f>SUMIF(95:95,I33,96:96)-SUMIF(95:95,C33,96:96)+100</f>
        <v>100</v>
      </c>
      <c r="K33" s="406">
        <v>5</v>
      </c>
      <c r="L33" s="402"/>
      <c r="M33" s="390"/>
      <c r="N33" s="390"/>
      <c r="O33" s="401"/>
      <c r="P33" s="3858"/>
      <c r="Q33" s="395" t="str">
        <f t="shared" si="8"/>
        <v>是否直接入户</v>
      </c>
      <c r="R33" s="465" t="s">
        <v>1037</v>
      </c>
      <c r="S33" s="466">
        <f t="shared" si="9"/>
        <v>100</v>
      </c>
      <c r="T33" s="465" t="s">
        <v>1037</v>
      </c>
      <c r="U33" s="466">
        <f t="shared" si="10"/>
        <v>100</v>
      </c>
      <c r="V33" s="465" t="s">
        <v>1037</v>
      </c>
      <c r="W33" s="466">
        <f t="shared" si="11"/>
        <v>100</v>
      </c>
      <c r="X33" s="460"/>
      <c r="Y33" s="3858"/>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58"/>
      <c r="Q34" s="395">
        <f t="shared" si="8"/>
        <v>0</v>
      </c>
      <c r="R34" s="465" t="s">
        <v>1037</v>
      </c>
      <c r="S34" s="466">
        <f t="shared" si="9"/>
        <v>100</v>
      </c>
      <c r="T34" s="465" t="s">
        <v>1037</v>
      </c>
      <c r="U34" s="466">
        <f t="shared" si="10"/>
        <v>100</v>
      </c>
      <c r="V34" s="465" t="s">
        <v>1037</v>
      </c>
      <c r="W34" s="466">
        <f t="shared" si="11"/>
        <v>100</v>
      </c>
      <c r="X34" s="460"/>
      <c r="Y34" s="3858"/>
      <c r="Z34" s="459">
        <f t="shared" si="12"/>
        <v>0</v>
      </c>
      <c r="AA34" s="471">
        <f t="shared" si="3"/>
        <v>1</v>
      </c>
      <c r="AB34" s="471">
        <f t="shared" si="4"/>
        <v>1</v>
      </c>
      <c r="AC34" s="471">
        <f t="shared" si="5"/>
        <v>1</v>
      </c>
    </row>
    <row r="35" spans="1:29" s="201" customFormat="1" ht="15">
      <c r="A35" s="522"/>
      <c r="B35" s="3645" t="s">
        <v>2713</v>
      </c>
      <c r="C35" s="3646" t="s">
        <v>2709</v>
      </c>
      <c r="D35" s="256">
        <v>100</v>
      </c>
      <c r="E35" s="3646" t="s">
        <v>2709</v>
      </c>
      <c r="F35" s="286">
        <f>SUMIF(99:99,E35,100:100)-SUMIF(99:99,C35,100:100)+100</f>
        <v>100</v>
      </c>
      <c r="G35" s="3646" t="s">
        <v>2703</v>
      </c>
      <c r="H35" s="256">
        <f>SUMIF(99:99,G35,100:100)-SUMIF(99:99,C35,100:100)+100</f>
        <v>120</v>
      </c>
      <c r="I35" s="3646" t="s">
        <v>2722</v>
      </c>
      <c r="J35" s="256">
        <f>SUMIF(99:99,I35,100:100)-SUMIF(99:99,C35,100:100)+100</f>
        <v>120</v>
      </c>
      <c r="K35" s="399"/>
      <c r="L35" s="400"/>
      <c r="M35" s="407"/>
      <c r="N35" s="407"/>
      <c r="O35" s="408"/>
      <c r="P35" s="3858"/>
      <c r="Q35" s="467" t="str">
        <f t="shared" si="8"/>
        <v>商品房项目</v>
      </c>
      <c r="R35" s="468" t="s">
        <v>1037</v>
      </c>
      <c r="S35" s="469">
        <f t="shared" si="9"/>
        <v>100</v>
      </c>
      <c r="T35" s="468" t="s">
        <v>1037</v>
      </c>
      <c r="U35" s="469">
        <f t="shared" si="10"/>
        <v>120</v>
      </c>
      <c r="V35" s="468" t="s">
        <v>1037</v>
      </c>
      <c r="W35" s="469">
        <f t="shared" si="11"/>
        <v>120</v>
      </c>
      <c r="X35" s="470"/>
      <c r="Y35" s="3858"/>
      <c r="Z35" s="482" t="str">
        <f t="shared" si="12"/>
        <v>商品房项目</v>
      </c>
      <c r="AA35" s="471">
        <f t="shared" si="3"/>
        <v>1</v>
      </c>
      <c r="AB35" s="471">
        <f t="shared" si="4"/>
        <v>0.83333333333333337</v>
      </c>
      <c r="AC35" s="471">
        <f t="shared" si="5"/>
        <v>0.83333333333333337</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8"/>
      <c r="Q36" s="395">
        <f t="shared" si="8"/>
        <v>111</v>
      </c>
      <c r="R36" s="465" t="s">
        <v>1037</v>
      </c>
      <c r="S36" s="466">
        <f t="shared" si="9"/>
        <v>100</v>
      </c>
      <c r="T36" s="465" t="s">
        <v>1037</v>
      </c>
      <c r="U36" s="466">
        <f t="shared" si="10"/>
        <v>100</v>
      </c>
      <c r="V36" s="465" t="s">
        <v>1037</v>
      </c>
      <c r="W36" s="466">
        <f t="shared" si="11"/>
        <v>100</v>
      </c>
      <c r="X36" s="460"/>
      <c r="Y36" s="3858"/>
      <c r="Z36" s="459">
        <f t="shared" si="12"/>
        <v>111</v>
      </c>
      <c r="AA36" s="471">
        <f t="shared" si="3"/>
        <v>1</v>
      </c>
      <c r="AB36" s="471">
        <f t="shared" si="4"/>
        <v>1</v>
      </c>
      <c r="AC36" s="471">
        <f t="shared" si="5"/>
        <v>1</v>
      </c>
    </row>
    <row r="37" spans="1:29" ht="15">
      <c r="A37" s="528" t="s">
        <v>2457</v>
      </c>
      <c r="B37" s="529" t="s">
        <v>1114</v>
      </c>
      <c r="C37" s="314" t="s">
        <v>138</v>
      </c>
      <c r="D37" s="315"/>
      <c r="E37" s="316">
        <v>5229</v>
      </c>
      <c r="F37" s="317"/>
      <c r="G37" s="318">
        <v>6529</v>
      </c>
      <c r="H37" s="319"/>
      <c r="I37" s="316">
        <v>7922</v>
      </c>
      <c r="J37" s="319"/>
      <c r="K37" s="409"/>
      <c r="L37" s="410"/>
      <c r="M37" s="340"/>
      <c r="N37" s="390"/>
      <c r="O37" s="340"/>
      <c r="P37" s="3848" t="str">
        <f>A37</f>
        <v>成交单价</v>
      </c>
      <c r="Q37" s="3848"/>
      <c r="R37" s="3938">
        <f>E37</f>
        <v>5229</v>
      </c>
      <c r="S37" s="3938"/>
      <c r="T37" s="3938">
        <f>G37</f>
        <v>6529</v>
      </c>
      <c r="U37" s="3938"/>
      <c r="V37" s="3938">
        <f>I37</f>
        <v>7922</v>
      </c>
      <c r="W37" s="3938"/>
      <c r="X37" s="342"/>
      <c r="Y37" s="483"/>
      <c r="Z37" s="342"/>
      <c r="AA37" s="342"/>
      <c r="AB37" s="342"/>
      <c r="AC37" s="342"/>
    </row>
    <row r="38" spans="1:29" ht="15">
      <c r="A38" s="320" t="s">
        <v>1062</v>
      </c>
      <c r="B38" s="321"/>
      <c r="C38" s="322">
        <f>R39</f>
        <v>5362</v>
      </c>
      <c r="D38" s="323" t="s">
        <v>1063</v>
      </c>
      <c r="E38" s="324">
        <f>R38</f>
        <v>5229</v>
      </c>
      <c r="F38" s="325"/>
      <c r="G38" s="322">
        <f>T38</f>
        <v>4983</v>
      </c>
      <c r="H38" s="325"/>
      <c r="I38" s="324">
        <f>V38</f>
        <v>5875</v>
      </c>
      <c r="J38" s="325"/>
      <c r="K38" s="411">
        <f>F38+H38+J38</f>
        <v>0</v>
      </c>
      <c r="L38" s="410"/>
      <c r="M38" s="340"/>
      <c r="N38" s="340"/>
      <c r="O38" s="340"/>
      <c r="P38" s="3848" t="str">
        <f>A38</f>
        <v>比较价格（元/平方米）</v>
      </c>
      <c r="Q38" s="3848"/>
      <c r="R38" s="3938">
        <f>IF(F1="售价",ROUND(PRODUCT(R37,AA7:AA36),0),ROUND(PRODUCT(R37,AA7:AA36),1))</f>
        <v>5229</v>
      </c>
      <c r="S38" s="3938"/>
      <c r="T38" s="3938">
        <f>IF(F1="售价",ROUND(PRODUCT(T37,AB7:AB36),0),ROUND(PRODUCT(T37,AB7:AB36),1))</f>
        <v>4983</v>
      </c>
      <c r="U38" s="3938"/>
      <c r="V38" s="3938">
        <f>IF(F1="售价",ROUND(PRODUCT(V37,AC7:AC36),0),ROUND(PRODUCT(V37,AC7:AC36),1))</f>
        <v>5875</v>
      </c>
      <c r="W38" s="3938"/>
      <c r="X38" s="342"/>
      <c r="Y38" s="342"/>
      <c r="Z38" s="342"/>
      <c r="AA38" s="342"/>
      <c r="AB38" s="342"/>
      <c r="AC38" s="342"/>
    </row>
    <row r="39" spans="1:29" ht="15">
      <c r="A39" s="326" t="s">
        <v>1064</v>
      </c>
      <c r="B39" s="327"/>
      <c r="C39" s="328">
        <f>R39</f>
        <v>5362</v>
      </c>
      <c r="D39" s="328"/>
      <c r="E39" s="328"/>
      <c r="F39" s="328"/>
      <c r="G39" s="328"/>
      <c r="H39" s="328"/>
      <c r="I39" s="328"/>
      <c r="J39" s="328"/>
      <c r="K39" s="412"/>
      <c r="L39" s="410"/>
      <c r="M39" s="340"/>
      <c r="N39" s="340"/>
      <c r="O39" s="340"/>
      <c r="P39" s="3850" t="str">
        <f>A39</f>
        <v>估价对象XX用房的比较价格（楼面单价，元/平方米）</v>
      </c>
      <c r="Q39" s="3851"/>
      <c r="R39" s="3939">
        <f>IF(F1="售价",ROUND(IF(D38="简单平均",AVERAGE(R38:W38),R38*F38+T38*H38+V38*J38),0),ROUND(IF(D38="简单平均",AVERAGE(R38:V38),R38*F38+T38*H38+V38*J38),1))</f>
        <v>5362</v>
      </c>
      <c r="S39" s="3939"/>
      <c r="T39" s="3939"/>
      <c r="U39" s="3939"/>
      <c r="V39" s="3939"/>
      <c r="W39" s="3939"/>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0.31025486654625722</v>
      </c>
      <c r="H42" s="334" t="str">
        <f>IF(OR(G42&gt;=0.3,G42&lt;=-0.3),"超过30%","")</f>
        <v>超过30%</v>
      </c>
      <c r="I42" s="333">
        <f>IF(I37&lt;I38,I38/I37-1,I37/I38-1)</f>
        <v>0.34842553191489367</v>
      </c>
      <c r="J42" s="334" t="str">
        <f>IF(OR(I42&gt;=0.3,I42&lt;=-0.3),"超过30%","")</f>
        <v>超过30%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4.9367850692354054E-2</v>
      </c>
      <c r="F43" s="334" t="str">
        <f>IF(OR(E43&gt;=0.2,E43&lt;=-0.2),"超过20%","")</f>
        <v/>
      </c>
      <c r="G43" s="333">
        <f>IF(G38&lt;I38,I38/G38-1,G38/I38-1)</f>
        <v>0.17900862933975525</v>
      </c>
      <c r="H43" s="334" t="str">
        <f>IF(OR(G43&gt;=0.2,G43&lt;=-0.2),"超过20%","")</f>
        <v/>
      </c>
      <c r="I43" s="333">
        <f>IF(I38&lt;E38,E38/I38-1,I38/E38-1)</f>
        <v>0.12354178619238865</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0.21335579721243692</v>
      </c>
      <c r="H44" s="334" t="str">
        <f>IF(OR(G44&gt;=0.3,G44&lt;=-0.3),"超过30%","")</f>
        <v/>
      </c>
      <c r="I44" s="333">
        <f>IF(I37&lt;E37,E37/I37-1,I37/E37-1)</f>
        <v>0.51501243067508118</v>
      </c>
      <c r="J44" s="334" t="str">
        <f>IF(OR(I44&gt;=0.3,I44&lt;=-0.3),"超过30%","")</f>
        <v>超过30%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1094</v>
      </c>
      <c r="C55" s="368" t="s">
        <v>2701</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97</v>
      </c>
      <c r="E70" s="378">
        <f>D70-$K20</f>
        <v>94</v>
      </c>
      <c r="F70" s="378">
        <f>E70-$K20</f>
        <v>91</v>
      </c>
      <c r="G70" s="378">
        <f>F70-$K20</f>
        <v>88</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2455</v>
      </c>
      <c r="C93" s="2221" t="s">
        <v>2705</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2456</v>
      </c>
      <c r="C95" s="3633" t="s">
        <v>2703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t="str">
        <f>B35</f>
        <v>商品房项目</v>
      </c>
      <c r="C99" s="3648" t="s">
        <v>2703</v>
      </c>
      <c r="D99" s="3648" t="s">
        <v>2709</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v>100</v>
      </c>
      <c r="D100" s="366">
        <v>80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8" t="s">
        <v>2462</v>
      </c>
      <c r="D1" s="3969"/>
      <c r="E1" s="3969"/>
      <c r="F1" s="3969"/>
      <c r="G1" s="3969"/>
      <c r="H1" s="3969"/>
      <c r="I1" s="3969"/>
      <c r="J1" s="3969"/>
      <c r="K1" s="3969"/>
      <c r="L1" s="3969"/>
      <c r="M1" s="3969"/>
      <c r="N1" s="3969"/>
      <c r="O1" s="3969"/>
      <c r="P1" s="3969"/>
      <c r="Q1" s="3969"/>
      <c r="R1" s="3969"/>
      <c r="S1" s="3970"/>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71" t="s">
        <v>138</v>
      </c>
      <c r="D22" s="3972"/>
      <c r="E22" s="3972"/>
      <c r="F22" s="3972"/>
      <c r="G22" s="3972"/>
      <c r="H22" s="3972"/>
      <c r="I22" s="3972"/>
      <c r="J22" s="3972"/>
      <c r="K22" s="3972"/>
      <c r="L22" s="3972"/>
      <c r="M22" s="3972"/>
      <c r="N22" s="3972"/>
      <c r="O22" s="3972"/>
      <c r="P22" s="3972"/>
      <c r="Q22" s="3973"/>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45077</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3</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Y73" zoomScale="90" zoomScaleNormal="90" workbookViewId="0">
      <selection activeCell="AG88" sqref="AG88"/>
    </sheetView>
  </sheetViews>
  <sheetFormatPr defaultRowHeight="13.5"/>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0" t="s">
        <v>98</v>
      </c>
      <c r="B1" s="3660"/>
      <c r="C1" s="3660"/>
      <c r="D1" s="3660"/>
      <c r="E1" s="3660"/>
      <c r="F1" s="3660"/>
      <c r="G1" s="3660"/>
      <c r="H1" s="3660"/>
      <c r="I1" s="3660"/>
      <c r="J1" s="3660"/>
      <c r="K1" s="3660"/>
      <c r="L1" s="3660"/>
      <c r="M1" s="3660"/>
      <c r="N1" s="3660"/>
      <c r="O1" s="3660"/>
      <c r="P1" s="3660"/>
      <c r="Q1" s="3660"/>
      <c r="R1" s="3660"/>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57" t="s">
        <v>100</v>
      </c>
      <c r="B3" s="3657" t="s">
        <v>101</v>
      </c>
      <c r="C3" s="3658" t="s">
        <v>102</v>
      </c>
      <c r="D3" s="3657" t="s">
        <v>103</v>
      </c>
      <c r="E3" s="3661" t="s">
        <v>104</v>
      </c>
      <c r="F3" s="3661"/>
      <c r="G3" s="3661"/>
      <c r="H3" s="3661" t="s">
        <v>105</v>
      </c>
      <c r="I3" s="3661"/>
      <c r="J3" s="3661"/>
      <c r="K3" s="3658" t="s">
        <v>106</v>
      </c>
      <c r="L3" s="3658" t="s">
        <v>107</v>
      </c>
      <c r="M3" s="3657" t="s">
        <v>108</v>
      </c>
      <c r="N3" s="3659" t="str">
        <f>"（分摊）"&amp;项目基本情况!A17&amp;"国有建设用地使用权面积/㎡"</f>
        <v>（分摊）出让国有建设用地使用权面积/㎡</v>
      </c>
      <c r="O3" s="3657" t="s">
        <v>109</v>
      </c>
      <c r="P3" s="3658" t="s">
        <v>110</v>
      </c>
      <c r="Q3" s="3658" t="s">
        <v>111</v>
      </c>
      <c r="R3" s="3658" t="s">
        <v>112</v>
      </c>
    </row>
    <row r="4" spans="1:18" ht="36.75" customHeight="1">
      <c r="A4" s="3657"/>
      <c r="B4" s="3657"/>
      <c r="C4" s="3658"/>
      <c r="D4" s="3657"/>
      <c r="E4" s="3561" t="s">
        <v>113</v>
      </c>
      <c r="F4" s="3561" t="s">
        <v>114</v>
      </c>
      <c r="G4" s="3561" t="s">
        <v>115</v>
      </c>
      <c r="H4" s="3561" t="s">
        <v>116</v>
      </c>
      <c r="I4" s="3561" t="s">
        <v>117</v>
      </c>
      <c r="J4" s="3561" t="s">
        <v>115</v>
      </c>
      <c r="K4" s="3658"/>
      <c r="L4" s="3658"/>
      <c r="M4" s="3657"/>
      <c r="N4" s="3659"/>
      <c r="O4" s="3657"/>
      <c r="P4" s="3658"/>
      <c r="Q4" s="3658"/>
      <c r="R4" s="3658"/>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55236.63</v>
      </c>
      <c r="O5" s="3565">
        <f>项目基本情况!C21</f>
        <v>189958</v>
      </c>
      <c r="P5" s="3565">
        <f ca="1">结果表!E42</f>
        <v>34026</v>
      </c>
      <c r="Q5" s="3565">
        <f ca="1">结果表!D42</f>
        <v>9894</v>
      </c>
      <c r="R5" s="3574">
        <f ca="1">结果表!C42</f>
        <v>187948</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75">
        <f ca="1">结果表!O39</f>
        <v>187948</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75" t="str">
        <f>结果表!O40</f>
        <v>——</v>
      </c>
    </row>
    <row r="8" spans="1:18">
      <c r="A8" s="3654" t="str">
        <f>IF(项目基本情况!B9="市场价格","——",项目基本情况!E9)</f>
        <v>抵押净值</v>
      </c>
      <c r="B8" s="3655"/>
      <c r="C8" s="3655"/>
      <c r="D8" s="3655"/>
      <c r="E8" s="3655"/>
      <c r="F8" s="3655"/>
      <c r="G8" s="3655"/>
      <c r="H8" s="3655"/>
      <c r="I8" s="3655"/>
      <c r="J8" s="3655"/>
      <c r="K8" s="3655"/>
      <c r="L8" s="3655"/>
      <c r="M8" s="3655"/>
      <c r="N8" s="3655"/>
      <c r="O8" s="3655"/>
      <c r="P8" s="3655"/>
      <c r="Q8" s="3656"/>
      <c r="R8" s="3575">
        <f ca="1">结果表!O41</f>
        <v>178009</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2" customWidth="1"/>
    <col min="2" max="3" width="21.375" style="3552" customWidth="1"/>
    <col min="4" max="4" width="19.875" style="3552" customWidth="1"/>
    <col min="5" max="16384" width="9" style="3552"/>
  </cols>
  <sheetData>
    <row r="1" spans="1:4">
      <c r="A1" s="3662" t="s">
        <v>122</v>
      </c>
      <c r="B1" s="3662"/>
      <c r="C1" s="3662"/>
      <c r="D1" s="3662"/>
    </row>
    <row r="2" spans="1:4" ht="47.25" customHeight="1">
      <c r="A2" s="3666" t="str">
        <f>"1.权利限制："&amp;项目基本情况!L24&amp;"未设定租赁等其他他项权利。"</f>
        <v>1.权利限制：根据估价对象《不动产权证书》原件、《国有土地使用权》复印件，截至估价期日，估价对象抵押权未见登记。未设定租赁等其他他项权利。</v>
      </c>
      <c r="B2" s="3666"/>
      <c r="C2" s="3666"/>
      <c r="D2" s="3666"/>
    </row>
    <row r="3" spans="1:4" ht="48" customHeight="1">
      <c r="A3" s="36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2"/>
      <c r="C3" s="3662"/>
      <c r="D3" s="3662"/>
    </row>
    <row r="4" spans="1:4" ht="36.75" customHeight="1">
      <c r="A4" s="3662" t="str">
        <f>"3.估价规划限制条件：详见"&amp;项目基本情况!E21&amp;"。"</f>
        <v>3.估价规划限制条件：详见《建设工程规划许可证》[]、《出让合同》[]。</v>
      </c>
      <c r="B4" s="3662"/>
      <c r="C4" s="3662"/>
      <c r="D4" s="3662"/>
    </row>
    <row r="5" spans="1:4">
      <c r="A5" s="3664" t="s">
        <v>123</v>
      </c>
      <c r="B5" s="3664"/>
      <c r="C5" s="3664"/>
      <c r="D5" s="3664"/>
    </row>
    <row r="6" spans="1:4">
      <c r="A6" s="3662" t="s">
        <v>124</v>
      </c>
      <c r="B6" s="3662"/>
      <c r="C6" s="3662"/>
      <c r="D6" s="3662"/>
    </row>
    <row r="7" spans="1:4" ht="33" customHeight="1">
      <c r="A7" s="3662" t="s">
        <v>125</v>
      </c>
      <c r="B7" s="3662"/>
      <c r="C7" s="3662"/>
      <c r="D7" s="3662"/>
    </row>
    <row r="8" spans="1:4" ht="32.25" customHeight="1">
      <c r="A8" s="36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2"/>
      <c r="C8" s="3662"/>
      <c r="D8" s="3662"/>
    </row>
    <row r="9" spans="1:4" ht="33.75" customHeight="1">
      <c r="A9" s="36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2"/>
      <c r="C9" s="3662"/>
      <c r="D9" s="3662"/>
    </row>
    <row r="10" spans="1:4">
      <c r="A10" s="3662" t="str">
        <f>IF(项目基本情况!B8="抵押","4.估价师所知悉的法定优先受偿款情况为：","——")</f>
        <v>4.估价师所知悉的法定优先受偿款情况为：</v>
      </c>
      <c r="B10" s="3662"/>
      <c r="C10" s="3662"/>
      <c r="D10" s="3662"/>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4" t="s">
        <v>126</v>
      </c>
      <c r="B12" s="3664"/>
      <c r="C12" s="3664"/>
      <c r="D12" s="3664"/>
    </row>
    <row r="13" spans="1:4">
      <c r="A13" s="3665" t="s">
        <v>127</v>
      </c>
      <c r="B13" s="3665"/>
      <c r="C13" s="3665"/>
      <c r="D13" s="3665"/>
    </row>
    <row r="14" spans="1:4">
      <c r="A14" s="3663" t="str">
        <f>IF(项目基本情况!B8="抵押","综上，"&amp;结果表!K47,"——")</f>
        <v>综上，本次评估不存在估价师知悉的法定优先受偿款</v>
      </c>
      <c r="B14" s="3663"/>
      <c r="C14" s="3663"/>
      <c r="D14" s="3663"/>
    </row>
    <row r="15" spans="1:4" ht="58.5" customHeight="1">
      <c r="A15" s="36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2"/>
      <c r="C15" s="3662"/>
      <c r="D15" s="3662"/>
    </row>
    <row r="16" spans="1:4" ht="70.5" customHeight="1">
      <c r="A16" s="36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2"/>
      <c r="C16" s="3662"/>
      <c r="D16" s="3662"/>
    </row>
    <row r="17" spans="1:4">
      <c r="A17" s="3662" t="s">
        <v>128</v>
      </c>
      <c r="B17" s="3662"/>
      <c r="C17" s="3662"/>
      <c r="D17" s="3662"/>
    </row>
    <row r="18" spans="1:4">
      <c r="A18" s="3662" t="s">
        <v>129</v>
      </c>
      <c r="B18" s="3662"/>
      <c r="C18" s="3662"/>
      <c r="D18" s="3662"/>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62" t="s">
        <v>135</v>
      </c>
      <c r="B23" s="3662"/>
      <c r="C23" s="3662"/>
      <c r="D23" s="3662"/>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1" customWidth="1"/>
    <col min="2" max="16384" width="14.5" style="3476"/>
  </cols>
  <sheetData>
    <row r="1" spans="1:7" s="3530" customFormat="1" ht="18.75">
      <c r="A1" s="3532" t="s">
        <v>139</v>
      </c>
    </row>
    <row r="3" spans="1:7" ht="14.25">
      <c r="A3" s="3533" t="s">
        <v>140</v>
      </c>
      <c r="B3" s="3476" t="s">
        <v>141</v>
      </c>
      <c r="G3" s="3534"/>
    </row>
    <row r="4" spans="1:7">
      <c r="G4" s="3534"/>
    </row>
    <row r="5" spans="1:7" ht="14.25">
      <c r="A5" s="3535" t="s">
        <v>142</v>
      </c>
      <c r="B5" s="3476" t="s">
        <v>143</v>
      </c>
      <c r="G5" s="3534"/>
    </row>
    <row r="6" spans="1:7">
      <c r="G6" s="3534"/>
    </row>
    <row r="7" spans="1:7" ht="14.25">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25">
      <c r="A15" s="3667" t="s">
        <v>151</v>
      </c>
      <c r="B15" s="3675" t="s">
        <v>152</v>
      </c>
      <c r="C15" s="3676"/>
    </row>
    <row r="16" spans="1:7" ht="14.25">
      <c r="A16" s="3667"/>
      <c r="B16" s="3669" t="s">
        <v>153</v>
      </c>
      <c r="C16" s="3541" t="s">
        <v>151</v>
      </c>
    </row>
    <row r="17" spans="1:3" ht="14.25">
      <c r="A17" s="3667"/>
      <c r="B17" s="3669"/>
      <c r="C17" s="3541" t="s">
        <v>154</v>
      </c>
    </row>
    <row r="18" spans="1:3" ht="14.25">
      <c r="A18" s="3667"/>
      <c r="B18" s="3669"/>
      <c r="C18" s="3541" t="s">
        <v>155</v>
      </c>
    </row>
    <row r="19" spans="1:3" ht="14.25">
      <c r="A19" s="3667"/>
      <c r="B19" s="3677" t="s">
        <v>156</v>
      </c>
      <c r="C19" s="3676"/>
    </row>
    <row r="20" spans="1:3" ht="14.25">
      <c r="A20" s="3542" t="s">
        <v>157</v>
      </c>
      <c r="B20" s="3543"/>
      <c r="C20" s="3544"/>
    </row>
    <row r="21" spans="1:3" ht="14.25">
      <c r="A21" s="3668" t="s">
        <v>158</v>
      </c>
      <c r="B21" s="3677" t="s">
        <v>159</v>
      </c>
      <c r="C21" s="3676"/>
    </row>
    <row r="22" spans="1:3" ht="14.25">
      <c r="A22" s="3668"/>
      <c r="B22" s="3677" t="s">
        <v>160</v>
      </c>
      <c r="C22" s="3676"/>
    </row>
    <row r="23" spans="1:3" ht="14.25">
      <c r="A23" s="3668"/>
      <c r="B23" s="3677" t="s">
        <v>161</v>
      </c>
      <c r="C23" s="3676"/>
    </row>
    <row r="24" spans="1:3" ht="14.25">
      <c r="A24" s="3668"/>
      <c r="B24" s="3670" t="s">
        <v>162</v>
      </c>
      <c r="C24" s="3545" t="s">
        <v>163</v>
      </c>
    </row>
    <row r="25" spans="1:3" ht="14.25">
      <c r="A25" s="3668"/>
      <c r="B25" s="3671"/>
      <c r="C25" s="3545" t="s">
        <v>164</v>
      </c>
    </row>
    <row r="26" spans="1:3" ht="14.25">
      <c r="A26" s="3668"/>
      <c r="B26" s="3671"/>
      <c r="C26" s="3545" t="s">
        <v>165</v>
      </c>
    </row>
    <row r="27" spans="1:3" ht="14.25">
      <c r="A27" s="3668"/>
      <c r="B27" s="3671"/>
      <c r="C27" s="3545" t="s">
        <v>166</v>
      </c>
    </row>
    <row r="28" spans="1:3" ht="14.25">
      <c r="A28" s="3668"/>
      <c r="B28" s="3671"/>
      <c r="C28" s="3545" t="s">
        <v>167</v>
      </c>
    </row>
    <row r="29" spans="1:3" ht="14.25">
      <c r="A29" s="3668"/>
      <c r="B29" s="3671"/>
      <c r="C29" s="3545" t="s">
        <v>168</v>
      </c>
    </row>
    <row r="30" spans="1:3" ht="14.25">
      <c r="A30" s="3668"/>
      <c r="B30" s="3671"/>
      <c r="C30" s="3545" t="s">
        <v>169</v>
      </c>
    </row>
    <row r="31" spans="1:3" ht="14.25">
      <c r="A31" s="3668"/>
      <c r="B31" s="3671"/>
      <c r="C31" s="3545" t="s">
        <v>170</v>
      </c>
    </row>
    <row r="32" spans="1:3" ht="14.25">
      <c r="A32" s="3668"/>
      <c r="B32" s="3671"/>
      <c r="C32" s="3545" t="s">
        <v>171</v>
      </c>
    </row>
    <row r="33" spans="1:3" ht="14.25">
      <c r="A33" s="3668"/>
      <c r="B33" s="3672" t="s">
        <v>172</v>
      </c>
      <c r="C33" s="3545" t="s">
        <v>173</v>
      </c>
    </row>
    <row r="34" spans="1:3" ht="14.25">
      <c r="A34" s="3668"/>
      <c r="B34" s="3673"/>
      <c r="C34" s="3546" t="s">
        <v>174</v>
      </c>
    </row>
    <row r="35" spans="1:3" ht="14.25">
      <c r="A35" s="3668"/>
      <c r="B35" s="3673"/>
      <c r="C35" s="3547" t="s">
        <v>175</v>
      </c>
    </row>
    <row r="36" spans="1:3" ht="14.25">
      <c r="A36" s="3668"/>
      <c r="B36" s="3673"/>
      <c r="C36" s="3547" t="s">
        <v>176</v>
      </c>
    </row>
    <row r="37" spans="1:3" ht="14.25">
      <c r="A37" s="3668"/>
      <c r="B37" s="3674"/>
      <c r="C37" s="3548" t="s">
        <v>177</v>
      </c>
    </row>
    <row r="38" spans="1:3">
      <c r="A38" s="3549" t="s">
        <v>178</v>
      </c>
    </row>
    <row r="41" spans="1:3">
      <c r="A41" s="3549" t="s">
        <v>179</v>
      </c>
    </row>
    <row r="42" spans="1:3" ht="14.25">
      <c r="A42" s="3550" t="s">
        <v>180</v>
      </c>
    </row>
    <row r="43" spans="1:3" ht="14.25">
      <c r="A43" s="3550" t="s">
        <v>181</v>
      </c>
    </row>
    <row r="44" spans="1:3" ht="14.25">
      <c r="A44" s="3550" t="s">
        <v>182</v>
      </c>
    </row>
    <row r="45" spans="1:3" ht="14.25">
      <c r="A45" s="3551" t="s">
        <v>183</v>
      </c>
    </row>
    <row r="46" spans="1:3" ht="14.25">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3" customWidth="1"/>
    <col min="2" max="2" width="22.75" style="3503" customWidth="1"/>
    <col min="3" max="3" width="25.75" style="3503" customWidth="1"/>
    <col min="4" max="4" width="22.625" style="3503"/>
    <col min="5" max="5" width="22.75" style="3503" customWidth="1"/>
    <col min="6" max="6" width="25.625" style="3503" customWidth="1"/>
    <col min="7" max="16384" width="22.625" style="3503"/>
  </cols>
  <sheetData>
    <row r="1" spans="1:7" ht="20.25" customHeight="1">
      <c r="A1" s="3504"/>
      <c r="B1" s="3504"/>
      <c r="C1" s="3504"/>
      <c r="D1" s="3504"/>
      <c r="E1" s="3504"/>
      <c r="F1" s="3504"/>
      <c r="G1" s="3504"/>
    </row>
    <row r="2" spans="1:7" ht="20.25" customHeight="1">
      <c r="A2" s="3505" t="s">
        <v>185</v>
      </c>
      <c r="B2" s="3506">
        <f ca="1">TODAY()</f>
        <v>45079</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8" t="s">
        <v>204</v>
      </c>
      <c r="B18" s="3679"/>
      <c r="C18" s="3679"/>
      <c r="D18" s="3679"/>
      <c r="E18" s="3679"/>
      <c r="F18" s="3679"/>
      <c r="G18" s="3517"/>
    </row>
    <row r="19" spans="1:7" ht="20.25" customHeight="1">
      <c r="A19" s="3680" t="s">
        <v>205</v>
      </c>
      <c r="B19" s="3680"/>
      <c r="C19" s="3681"/>
      <c r="D19" s="3682" t="s">
        <v>206</v>
      </c>
      <c r="E19" s="3680"/>
      <c r="F19" s="3680"/>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5" customWidth="1"/>
    <col min="2" max="2" width="18.875" style="3476" customWidth="1"/>
    <col min="3" max="3" width="18.875" style="2600" customWidth="1"/>
    <col min="4" max="4" width="5.5" style="3477" customWidth="1"/>
    <col min="5" max="5" width="7.125" style="3477" customWidth="1"/>
    <col min="6" max="6" width="10.625" style="3477" customWidth="1"/>
    <col min="7" max="7" width="7.5" style="3477" customWidth="1"/>
    <col min="8" max="8" width="9" style="2600" customWidth="1"/>
    <col min="9" max="9" width="11.625" style="2600" customWidth="1"/>
    <col min="10" max="10" width="9" style="2600" customWidth="1"/>
    <col min="11" max="19" width="9" style="3477" customWidth="1"/>
    <col min="20" max="23" width="9" style="2600" customWidth="1"/>
    <col min="24" max="24" width="14.625" style="3476" customWidth="1"/>
    <col min="25" max="25" width="7.25" style="3476" customWidth="1"/>
    <col min="26" max="16384" width="9" style="3476"/>
  </cols>
  <sheetData>
    <row r="1" spans="1:23" s="3474" customFormat="1" ht="40.5">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c r="A7" s="3483" t="s">
        <v>288</v>
      </c>
      <c r="B7" s="3483" t="s">
        <v>289</v>
      </c>
      <c r="C7" s="3484" t="s">
        <v>290</v>
      </c>
      <c r="F7" s="3477" t="s">
        <v>291</v>
      </c>
      <c r="H7" s="3477" t="s">
        <v>274</v>
      </c>
      <c r="I7" s="3477" t="s">
        <v>292</v>
      </c>
    </row>
    <row r="8" spans="1:23">
      <c r="A8" s="3483" t="s">
        <v>293</v>
      </c>
      <c r="B8" s="3483" t="s">
        <v>294</v>
      </c>
      <c r="C8" s="3484" t="s">
        <v>295</v>
      </c>
      <c r="F8" s="3477" t="s">
        <v>296</v>
      </c>
      <c r="H8" s="3489" t="s">
        <v>297</v>
      </c>
      <c r="I8" s="3477" t="s">
        <v>298</v>
      </c>
    </row>
    <row r="9" spans="1:23">
      <c r="A9" s="3483" t="s">
        <v>299</v>
      </c>
      <c r="B9" s="3483" t="s">
        <v>300</v>
      </c>
      <c r="C9" s="3484" t="s">
        <v>301</v>
      </c>
      <c r="F9" s="3477" t="s">
        <v>283</v>
      </c>
      <c r="H9" s="3477"/>
      <c r="I9" s="3477" t="s">
        <v>302</v>
      </c>
    </row>
    <row r="10" spans="1:23">
      <c r="A10" s="3483" t="s">
        <v>303</v>
      </c>
      <c r="B10" s="3483" t="s">
        <v>304</v>
      </c>
      <c r="C10" s="3484" t="s">
        <v>305</v>
      </c>
      <c r="F10" s="3489" t="s">
        <v>297</v>
      </c>
      <c r="I10" s="3477" t="s">
        <v>306</v>
      </c>
    </row>
    <row r="11" spans="1:23">
      <c r="A11" s="3483" t="s">
        <v>307</v>
      </c>
      <c r="B11" s="3483" t="s">
        <v>308</v>
      </c>
      <c r="C11" s="3484" t="s">
        <v>309</v>
      </c>
      <c r="I11" s="3477" t="s">
        <v>310</v>
      </c>
    </row>
    <row r="12" spans="1:23">
      <c r="A12" s="3483" t="s">
        <v>311</v>
      </c>
      <c r="B12" s="3483" t="s">
        <v>312</v>
      </c>
      <c r="C12" s="3484" t="s">
        <v>313</v>
      </c>
      <c r="I12" s="3477" t="s">
        <v>314</v>
      </c>
    </row>
    <row r="13" spans="1:23">
      <c r="A13" s="3483" t="s">
        <v>315</v>
      </c>
      <c r="B13" s="3483" t="s">
        <v>316</v>
      </c>
      <c r="C13" s="3484" t="s">
        <v>317</v>
      </c>
      <c r="I13" s="3477" t="s">
        <v>318</v>
      </c>
    </row>
    <row r="14" spans="1:23">
      <c r="A14" s="3483" t="s">
        <v>319</v>
      </c>
      <c r="B14" s="3483" t="s">
        <v>320</v>
      </c>
      <c r="C14" s="3490" t="s">
        <v>138</v>
      </c>
      <c r="I14" s="3477" t="s">
        <v>321</v>
      </c>
    </row>
    <row r="15" spans="1:23">
      <c r="A15" s="3483" t="s">
        <v>322</v>
      </c>
      <c r="B15" s="3483" t="s">
        <v>323</v>
      </c>
      <c r="C15" s="3490"/>
      <c r="I15" s="3477" t="s">
        <v>324</v>
      </c>
    </row>
    <row r="16" spans="1:23">
      <c r="A16" s="3483" t="s">
        <v>325</v>
      </c>
      <c r="B16" s="3483" t="s">
        <v>326</v>
      </c>
      <c r="C16" s="3490"/>
    </row>
    <row r="17" spans="1:3">
      <c r="A17" s="3483" t="s">
        <v>327</v>
      </c>
      <c r="B17" s="3483" t="s">
        <v>328</v>
      </c>
      <c r="C17" s="3490"/>
    </row>
    <row r="18" spans="1:3">
      <c r="A18" s="3483" t="s">
        <v>329</v>
      </c>
      <c r="B18" s="3491" t="s">
        <v>330</v>
      </c>
      <c r="C18" s="3490"/>
    </row>
    <row r="19" spans="1:3">
      <c r="A19" s="3483" t="s">
        <v>331</v>
      </c>
      <c r="B19" s="3491" t="s">
        <v>332</v>
      </c>
      <c r="C19" s="3490"/>
    </row>
    <row r="20" spans="1:3">
      <c r="A20" s="3483" t="s">
        <v>275</v>
      </c>
      <c r="B20" s="3491" t="s">
        <v>171</v>
      </c>
      <c r="C20" s="3490"/>
    </row>
    <row r="21" spans="1:3">
      <c r="A21" s="3483" t="s">
        <v>333</v>
      </c>
      <c r="B21" s="3483" t="s">
        <v>334</v>
      </c>
      <c r="C21" s="3490"/>
    </row>
    <row r="22" spans="1:3">
      <c r="A22" s="3483" t="s">
        <v>335</v>
      </c>
      <c r="B22" s="3483" t="s">
        <v>336</v>
      </c>
      <c r="C22" s="3490"/>
    </row>
    <row r="23" spans="1:3">
      <c r="A23" s="3483" t="s">
        <v>337</v>
      </c>
      <c r="B23" s="3483" t="s">
        <v>336</v>
      </c>
      <c r="C23" s="3490"/>
    </row>
    <row r="24" spans="1:3">
      <c r="A24" s="3483" t="s">
        <v>138</v>
      </c>
      <c r="B24" s="3483" t="s">
        <v>336</v>
      </c>
      <c r="C24" s="3490"/>
    </row>
    <row r="25" spans="1:3">
      <c r="A25" s="3483" t="s">
        <v>338</v>
      </c>
      <c r="B25" s="3483" t="s">
        <v>336</v>
      </c>
      <c r="C25" s="3490"/>
    </row>
    <row r="26" spans="1:3">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3"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3"/>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3"/>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3"/>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3"/>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2023-06-02T02:43:44Z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