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E:\2024\进行中\2024-1-0906-F01燕郊-武哥-工行续贷\"/>
    </mc:Choice>
  </mc:AlternateContent>
  <xr:revisionPtr revIDLastSave="0" documentId="13_ncr:1_{BDD11491-D191-4519-8D84-90759C6950A2}" xr6:coauthVersionLast="47" xr6:coauthVersionMax="47" xr10:uidLastSave="{00000000-0000-0000-0000-000000000000}"/>
  <bookViews>
    <workbookView xWindow="-108" yWindow="-108" windowWidth="20376" windowHeight="12216" tabRatio="899" firstSheet="11"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估价对象信息" sheetId="80" r:id="rId40"/>
    <sheet name="中指" sheetId="82" r:id="rId41"/>
    <sheet name="案例信息" sheetId="81"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C88" i="9"/>
  <c r="C16" i="3" l="1"/>
  <c r="C15" i="3"/>
  <c r="C14" i="3"/>
  <c r="C13" i="3"/>
  <c r="C11" i="40"/>
  <c r="J49" i="15" l="1"/>
  <c r="U6" i="1"/>
  <c r="J24" i="1"/>
  <c r="L6" i="1" s="1"/>
  <c r="O46" i="1"/>
  <c r="O45" i="1"/>
  <c r="L45" i="1"/>
  <c r="O44" i="1"/>
  <c r="L44" i="1"/>
  <c r="Q39" i="1"/>
  <c r="S34" i="1"/>
  <c r="S46" i="1" s="1"/>
  <c r="Q34" i="1"/>
  <c r="Q47" i="1" s="1"/>
  <c r="P34" i="1"/>
  <c r="P46" i="1" s="1"/>
  <c r="O34" i="1"/>
  <c r="N34" i="1"/>
  <c r="N46" i="1" s="1"/>
  <c r="M34" i="1"/>
  <c r="M46" i="1" s="1"/>
  <c r="L34" i="1"/>
  <c r="L46" i="1" s="1"/>
  <c r="K34" i="1"/>
  <c r="K46" i="1" s="1"/>
  <c r="J34" i="1"/>
  <c r="J46" i="1" s="1"/>
  <c r="P44" i="1" l="1"/>
  <c r="P45" i="1"/>
  <c r="K44" i="1"/>
  <c r="K45" i="1"/>
  <c r="M44" i="1"/>
  <c r="S44" i="1"/>
  <c r="M45" i="1"/>
  <c r="S45" i="1"/>
  <c r="J44" i="1"/>
  <c r="N44" i="1"/>
  <c r="J45" i="1"/>
  <c r="N45" i="1"/>
  <c r="K23" i="1" l="1"/>
  <c r="K22" i="1"/>
  <c r="K21" i="1"/>
  <c r="K20" i="1"/>
  <c r="K24" i="1" l="1"/>
  <c r="N6" i="1" s="1"/>
  <c r="L23" i="82" l="1"/>
  <c r="L22" i="82"/>
  <c r="L21" i="82"/>
  <c r="I7" i="40" l="1"/>
  <c r="I6" i="40"/>
  <c r="I5" i="40"/>
  <c r="I34" i="40"/>
  <c r="I41" i="40"/>
  <c r="G41" i="40"/>
  <c r="G34" i="40"/>
  <c r="G7" i="40"/>
  <c r="G6" i="40"/>
  <c r="G5" i="40"/>
  <c r="E41" i="40"/>
  <c r="E34" i="40"/>
  <c r="C34" i="40"/>
  <c r="E7" i="40"/>
  <c r="E6" i="40"/>
  <c r="E5" i="40"/>
  <c r="X17" i="82"/>
  <c r="X16" i="82"/>
  <c r="X15" i="82"/>
  <c r="X14" i="82"/>
  <c r="X13" i="82"/>
  <c r="X12" i="82"/>
  <c r="X11" i="82"/>
  <c r="X10" i="82"/>
  <c r="X9" i="82"/>
  <c r="X8" i="82"/>
  <c r="X7" i="82"/>
  <c r="X6" i="82"/>
  <c r="X5" i="82"/>
  <c r="X4" i="82"/>
  <c r="X3" i="82"/>
  <c r="X2" i="82"/>
  <c r="C14" i="74"/>
  <c r="B14" i="74"/>
  <c r="Y6" i="1"/>
  <c r="F19" i="6"/>
  <c r="A3" i="3"/>
  <c r="K16" i="3"/>
  <c r="I15" i="3"/>
  <c r="I14" i="3"/>
  <c r="I13" i="3"/>
  <c r="F16" i="4"/>
  <c r="D3" i="4"/>
  <c r="H11"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C5" i="3" s="1"/>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I94"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BB575" i="3"/>
  <c r="BC575" i="3"/>
  <c r="BA575" i="3" s="1"/>
  <c r="AZ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J5" i="3" s="1"/>
  <c r="BK585" i="3"/>
  <c r="BM585" i="3"/>
  <c r="BN585" i="3"/>
  <c r="BO585" i="3"/>
  <c r="BP585" i="3"/>
  <c r="BQ585" i="3"/>
  <c r="BR585" i="3"/>
  <c r="BS585" i="3"/>
  <c r="BT585" i="3"/>
  <c r="BB586" i="3"/>
  <c r="BC586" i="3"/>
  <c r="BD586" i="3"/>
  <c r="BA586" i="3" s="1"/>
  <c r="AZ586" i="3" s="1"/>
  <c r="BE586" i="3"/>
  <c r="BF586" i="3"/>
  <c r="BG586" i="3"/>
  <c r="BH586" i="3"/>
  <c r="BI586" i="3"/>
  <c r="BJ586" i="3"/>
  <c r="BK586" i="3"/>
  <c r="BM586" i="3"/>
  <c r="BM5" i="3" s="1"/>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S41" i="21"/>
  <c r="AA41" i="21"/>
  <c r="F45" i="39"/>
  <c r="S45" i="39"/>
  <c r="J45" i="39"/>
  <c r="W45" i="39" s="1"/>
  <c r="J44" i="39"/>
  <c r="AC44" i="39" s="1"/>
  <c r="F36" i="39"/>
  <c r="S36" i="39" s="1"/>
  <c r="H36" i="39"/>
  <c r="AB36" i="39"/>
  <c r="J35" i="39"/>
  <c r="AC35" i="39" s="1"/>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S31" i="35"/>
  <c r="F36" i="34"/>
  <c r="J35" i="34"/>
  <c r="W9" i="34"/>
  <c r="H39" i="33"/>
  <c r="AB39" i="33"/>
  <c r="F26" i="33"/>
  <c r="AA26" i="33" s="1"/>
  <c r="U33" i="33"/>
  <c r="U35" i="33"/>
  <c r="S40" i="33"/>
  <c r="W33" i="33"/>
  <c r="W39" i="33"/>
  <c r="H39" i="37"/>
  <c r="AB39" i="37"/>
  <c r="F11" i="40"/>
  <c r="AA11" i="40" s="1"/>
  <c r="H11" i="40"/>
  <c r="AB11" i="40" s="1"/>
  <c r="U9" i="40"/>
  <c r="W31"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AA19" i="34" s="1"/>
  <c r="H17" i="34"/>
  <c r="U17" i="34"/>
  <c r="F15" i="34"/>
  <c r="AA15" i="34" s="1"/>
  <c r="J15" i="34"/>
  <c r="W15" i="34" s="1"/>
  <c r="H15" i="34"/>
  <c r="AB15" i="34" s="1"/>
  <c r="W8" i="34"/>
  <c r="J28" i="34"/>
  <c r="W28" i="34"/>
  <c r="F41" i="33"/>
  <c r="AA41" i="33"/>
  <c r="S38" i="33"/>
  <c r="E113" i="33"/>
  <c r="F32" i="33"/>
  <c r="AA32" i="33"/>
  <c r="J19" i="33"/>
  <c r="AC19" i="33"/>
  <c r="J15" i="33"/>
  <c r="AC15" i="33"/>
  <c r="F11" i="33"/>
  <c r="AA11" i="33" s="1"/>
  <c r="S26" i="33"/>
  <c r="U40" i="33"/>
  <c r="F37" i="40"/>
  <c r="AA37" i="40" s="1"/>
  <c r="H28" i="40"/>
  <c r="U28" i="40"/>
  <c r="F23" i="40"/>
  <c r="AA23" i="40" s="1"/>
  <c r="F17" i="40"/>
  <c r="AA17" i="40" s="1"/>
  <c r="J17" i="40"/>
  <c r="W17" i="40" s="1"/>
  <c r="F15" i="40"/>
  <c r="S15" i="40" s="1"/>
  <c r="H15" i="40"/>
  <c r="AB15" i="40" s="1"/>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9" i="35"/>
  <c r="AA42" i="34"/>
  <c r="S42" i="34"/>
  <c r="AA38" i="34"/>
  <c r="J37" i="34"/>
  <c r="AC37" i="34" s="1"/>
  <c r="J11" i="33"/>
  <c r="I123" i="21"/>
  <c r="J123" i="21" s="1"/>
  <c r="K123" i="21" s="1"/>
  <c r="L123" i="21" s="1"/>
  <c r="M123" i="21"/>
  <c r="J42" i="21"/>
  <c r="H42" i="21"/>
  <c r="U42" i="21"/>
  <c r="J44" i="34"/>
  <c r="W44" i="34" s="1"/>
  <c r="F44" i="34"/>
  <c r="AA44" i="34"/>
  <c r="J10" i="35"/>
  <c r="AC10" i="35" s="1"/>
  <c r="J14" i="21"/>
  <c r="W14" i="21" s="1"/>
  <c r="F14" i="21"/>
  <c r="S14" i="21" s="1"/>
  <c r="H14" i="21"/>
  <c r="U14" i="21"/>
  <c r="H28" i="21"/>
  <c r="AB28" i="21" s="1"/>
  <c r="F28" i="21"/>
  <c r="AA28" i="21"/>
  <c r="J28" i="2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H28" i="33"/>
  <c r="U28" i="33"/>
  <c r="F28" i="33"/>
  <c r="J28" i="33"/>
  <c r="W28" i="33"/>
  <c r="F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27" i="33"/>
  <c r="AA27" i="33"/>
  <c r="J13" i="33"/>
  <c r="H13" i="33"/>
  <c r="U13" i="33" s="1"/>
  <c r="F13" i="33"/>
  <c r="S13" i="33"/>
  <c r="J29" i="33"/>
  <c r="H29" i="33"/>
  <c r="U29" i="33"/>
  <c r="F29" i="33"/>
  <c r="J31" i="33"/>
  <c r="W31" i="33"/>
  <c r="H31" i="33"/>
  <c r="F31" i="33"/>
  <c r="S31" i="33" s="1"/>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J11" i="36"/>
  <c r="AC11" i="36" s="1"/>
  <c r="H11" i="36"/>
  <c r="U11" i="36" s="1"/>
  <c r="F11" i="36"/>
  <c r="H13" i="36"/>
  <c r="AB13" i="36"/>
  <c r="J13" i="36"/>
  <c r="F13" i="36"/>
  <c r="E89" i="37"/>
  <c r="F89" i="37"/>
  <c r="G89" i="37" s="1"/>
  <c r="H89" i="37" s="1"/>
  <c r="I89" i="37" s="1"/>
  <c r="J89" i="37"/>
  <c r="K89" i="37" s="1"/>
  <c r="L89" i="37" s="1"/>
  <c r="M89" i="37" s="1"/>
  <c r="J29" i="37"/>
  <c r="W29" i="37" s="1"/>
  <c r="F29" i="37"/>
  <c r="S29" i="37"/>
  <c r="F105" i="37"/>
  <c r="G105" i="37" s="1"/>
  <c r="H36" i="37"/>
  <c r="AB36" i="37"/>
  <c r="F107" i="37"/>
  <c r="J37" i="37"/>
  <c r="H37" i="37"/>
  <c r="U37" i="37" s="1"/>
  <c r="H40" i="37"/>
  <c r="U40" i="37" s="1"/>
  <c r="J40" i="37"/>
  <c r="F40" i="37"/>
  <c r="AA40" i="37" s="1"/>
  <c r="AC12" i="40"/>
  <c r="W12" i="40"/>
  <c r="H14" i="33"/>
  <c r="U14" i="33" s="1"/>
  <c r="F14" i="33"/>
  <c r="S14" i="33"/>
  <c r="J14" i="33"/>
  <c r="AC14" i="33" s="1"/>
  <c r="H30" i="33"/>
  <c r="AB30" i="33" s="1"/>
  <c r="F30" i="33"/>
  <c r="J30" i="33"/>
  <c r="W30" i="33" s="1"/>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F28" i="37"/>
  <c r="AA28" i="37" s="1"/>
  <c r="J28" i="37"/>
  <c r="AC28" i="37"/>
  <c r="H28" i="37"/>
  <c r="H38" i="37"/>
  <c r="AB38" i="37"/>
  <c r="J38" i="37"/>
  <c r="F38" i="37"/>
  <c r="S38" i="37" s="1"/>
  <c r="F43" i="39"/>
  <c r="AA43" i="39" s="1"/>
  <c r="H43" i="39"/>
  <c r="AB43" i="39" s="1"/>
  <c r="F12" i="40"/>
  <c r="S12" i="40" s="1"/>
  <c r="H12" i="40"/>
  <c r="AB12" i="40"/>
  <c r="H30" i="40"/>
  <c r="AB30" i="40" s="1"/>
  <c r="F33" i="40"/>
  <c r="AA33" i="40"/>
  <c r="H33" i="40"/>
  <c r="U33" i="40" s="1"/>
  <c r="J35" i="40"/>
  <c r="AC35" i="40" s="1"/>
  <c r="J37" i="40"/>
  <c r="AC37" i="40" s="1"/>
  <c r="H13" i="40"/>
  <c r="U13" i="40"/>
  <c r="F13" i="40"/>
  <c r="AA13" i="40"/>
  <c r="F14" i="37"/>
  <c r="S14" i="37" s="1"/>
  <c r="F27" i="37"/>
  <c r="AA27" i="37"/>
  <c r="F13" i="39"/>
  <c r="J13" i="39"/>
  <c r="W13" i="39" s="1"/>
  <c r="H13" i="39"/>
  <c r="H14" i="40"/>
  <c r="J14" i="40"/>
  <c r="W14" i="40" s="1"/>
  <c r="F14" i="40"/>
  <c r="AA14" i="40"/>
  <c r="J14" i="37"/>
  <c r="J27" i="37"/>
  <c r="AC27" i="37"/>
  <c r="AA14" i="33"/>
  <c r="J36" i="37"/>
  <c r="AC36" i="37"/>
  <c r="J10" i="36"/>
  <c r="AC10" i="36" s="1"/>
  <c r="AB30" i="21"/>
  <c r="AA14" i="37"/>
  <c r="W31" i="34"/>
  <c r="AB46" i="34"/>
  <c r="AA14" i="34"/>
  <c r="AB45" i="33"/>
  <c r="S44" i="34"/>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4" i="3"/>
  <c r="G560" i="3"/>
  <c r="G554" i="3"/>
  <c r="G550" i="3"/>
  <c r="BL584" i="3"/>
  <c r="BL580" i="3"/>
  <c r="BL568" i="3"/>
  <c r="BL564" i="3"/>
  <c r="BL554" i="3"/>
  <c r="BL546" i="3"/>
  <c r="BL542" i="3"/>
  <c r="BL538" i="3"/>
  <c r="BL534" i="3"/>
  <c r="BL530" i="3"/>
  <c r="BL526" i="3"/>
  <c r="BL522" i="3"/>
  <c r="BL516" i="3"/>
  <c r="BL512" i="3"/>
  <c r="BL506" i="3"/>
  <c r="AZ506" i="3" s="1"/>
  <c r="BL502" i="3"/>
  <c r="BL498" i="3"/>
  <c r="BL494" i="3"/>
  <c r="BL582" i="3"/>
  <c r="BL570" i="3"/>
  <c r="BL566" i="3"/>
  <c r="BL552" i="3"/>
  <c r="BL544" i="3"/>
  <c r="AZ544" i="3" s="1"/>
  <c r="BL540" i="3"/>
  <c r="BL536" i="3"/>
  <c r="G533" i="3"/>
  <c r="BL532" i="3"/>
  <c r="AZ532" i="3" s="1"/>
  <c r="G529" i="3"/>
  <c r="BL528" i="3"/>
  <c r="G525" i="3"/>
  <c r="BL524" i="3"/>
  <c r="BL518" i="3"/>
  <c r="BL514" i="3"/>
  <c r="BL510" i="3"/>
  <c r="BL504" i="3"/>
  <c r="AZ504" i="3" s="1"/>
  <c r="BL500" i="3"/>
  <c r="BL496" i="3"/>
  <c r="G493" i="3"/>
  <c r="BA584" i="3"/>
  <c r="AZ584" i="3" s="1"/>
  <c r="BA578" i="3"/>
  <c r="BA576" i="3"/>
  <c r="AZ576" i="3" s="1"/>
  <c r="BA570" i="3"/>
  <c r="AZ570" i="3" s="1"/>
  <c r="BA568" i="3"/>
  <c r="AZ568" i="3" s="1"/>
  <c r="BA562" i="3"/>
  <c r="BA560" i="3"/>
  <c r="AZ560" i="3" s="1"/>
  <c r="BA556" i="3"/>
  <c r="AZ556" i="3"/>
  <c r="BA554" i="3"/>
  <c r="AZ554" i="3" s="1"/>
  <c r="BA552" i="3"/>
  <c r="AZ552" i="3"/>
  <c r="BA548" i="3"/>
  <c r="BA546" i="3"/>
  <c r="BA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BA502" i="3"/>
  <c r="BA500" i="3"/>
  <c r="BA498" i="3"/>
  <c r="AZ498" i="3"/>
  <c r="BA496" i="3"/>
  <c r="BA494" i="3"/>
  <c r="BA579" i="3"/>
  <c r="BA577" i="3"/>
  <c r="BA571" i="3"/>
  <c r="BA569" i="3"/>
  <c r="BA563" i="3"/>
  <c r="BA56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7" i="3"/>
  <c r="G575" i="3"/>
  <c r="G573" i="3"/>
  <c r="G569" i="3"/>
  <c r="G567" i="3"/>
  <c r="G563" i="3"/>
  <c r="G561" i="3"/>
  <c r="BL558" i="3"/>
  <c r="BA557" i="3"/>
  <c r="AC557" i="3"/>
  <c r="G557" i="3" s="1"/>
  <c r="BQ557" i="3"/>
  <c r="BL557" i="3" s="1"/>
  <c r="BQ583" i="3"/>
  <c r="BL583" i="3" s="1"/>
  <c r="AZ583" i="3" s="1"/>
  <c r="BQ581" i="3"/>
  <c r="BQ579" i="3"/>
  <c r="BL579" i="3"/>
  <c r="BQ577" i="3"/>
  <c r="BQ575" i="3"/>
  <c r="BL575" i="3"/>
  <c r="BQ573" i="3"/>
  <c r="BL573" i="3" s="1"/>
  <c r="AZ573" i="3" s="1"/>
  <c r="BQ571" i="3"/>
  <c r="BQ569" i="3"/>
  <c r="BL569" i="3" s="1"/>
  <c r="BQ567" i="3"/>
  <c r="BQ565" i="3"/>
  <c r="BQ563" i="3"/>
  <c r="BQ561" i="3"/>
  <c r="BL561" i="3"/>
  <c r="BQ559" i="3"/>
  <c r="BL559" i="3" s="1"/>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AA36" i="39"/>
  <c r="F39" i="33"/>
  <c r="AA39" i="33"/>
  <c r="E123" i="33"/>
  <c r="F42" i="33"/>
  <c r="AA42" i="33" s="1"/>
  <c r="H28" i="34"/>
  <c r="AB28" i="34" s="1"/>
  <c r="F14" i="36"/>
  <c r="F22" i="36"/>
  <c r="S22" i="36" s="1"/>
  <c r="F26" i="36"/>
  <c r="S26" i="36" s="1"/>
  <c r="H35" i="34"/>
  <c r="F41" i="34"/>
  <c r="H41" i="34"/>
  <c r="U41" i="34" s="1"/>
  <c r="J41" i="34"/>
  <c r="AC41" i="34" s="1"/>
  <c r="F10" i="35"/>
  <c r="S10" i="35" s="1"/>
  <c r="F24" i="35"/>
  <c r="AA24" i="35"/>
  <c r="H24" i="35"/>
  <c r="AB24" i="35"/>
  <c r="H23" i="37"/>
  <c r="AB23" i="37" s="1"/>
  <c r="J32" i="37"/>
  <c r="AC32" i="37"/>
  <c r="F36" i="37"/>
  <c r="AA36" i="37" s="1"/>
  <c r="F37" i="37"/>
  <c r="AA37" i="37"/>
  <c r="F31" i="40"/>
  <c r="AA31" i="40" s="1"/>
  <c r="H31" i="40"/>
  <c r="U31" i="40"/>
  <c r="F32" i="40"/>
  <c r="S32" i="40" s="1"/>
  <c r="H32" i="40"/>
  <c r="AB32" i="40"/>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31" i="33"/>
  <c r="AC45" i="33"/>
  <c r="W44" i="33"/>
  <c r="U11" i="33"/>
  <c r="U19" i="21"/>
  <c r="W44" i="21"/>
  <c r="AB38" i="21"/>
  <c r="F43" i="33"/>
  <c r="AA43" i="33"/>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c r="J15" i="37"/>
  <c r="AT6" i="3"/>
  <c r="AA25" i="21"/>
  <c r="H19" i="40"/>
  <c r="U19" i="40" s="1"/>
  <c r="F88" i="40"/>
  <c r="G88" i="40" s="1"/>
  <c r="F19" i="40"/>
  <c r="S19" i="40" s="1"/>
  <c r="S14"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6"/>
  <c r="C46" i="36" s="1"/>
  <c r="D46" i="36" s="1"/>
  <c r="E46" i="36" s="1"/>
  <c r="F46" i="36" s="1"/>
  <c r="G46" i="36" s="1"/>
  <c r="H46" i="36" s="1"/>
  <c r="I46" i="36" s="1"/>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86" i="3"/>
  <c r="AZ500"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AZ269" i="3"/>
  <c r="BA379" i="3"/>
  <c r="AZ379" i="3" s="1"/>
  <c r="BL380" i="3"/>
  <c r="G381" i="3"/>
  <c r="BA383" i="3"/>
  <c r="AZ383" i="3" s="1"/>
  <c r="BL384" i="3"/>
  <c r="G385" i="3"/>
  <c r="BA387" i="3"/>
  <c r="BL388" i="3"/>
  <c r="G389" i="3"/>
  <c r="BA391" i="3"/>
  <c r="AZ391" i="3" s="1"/>
  <c r="BL392" i="3"/>
  <c r="G393" i="3"/>
  <c r="BO5" i="3"/>
  <c r="BH5" i="3"/>
  <c r="BF5" i="3"/>
  <c r="AZ341" i="3"/>
  <c r="AC5" i="3"/>
  <c r="AZ496" i="3"/>
  <c r="G548" i="3"/>
  <c r="G538" i="3"/>
  <c r="G520" i="3"/>
  <c r="G502" i="3"/>
  <c r="BS5" i="3"/>
  <c r="BP5" i="3"/>
  <c r="BN5" i="3"/>
  <c r="BK5" i="3"/>
  <c r="BI5" i="3"/>
  <c r="BG5" i="3"/>
  <c r="BE5" i="3"/>
  <c r="G17" i="3"/>
  <c r="BA17" i="3"/>
  <c r="BT5" i="3"/>
  <c r="AZ368" i="3"/>
  <c r="BR5" i="3"/>
  <c r="AZ380" i="3"/>
  <c r="AZ392" i="3"/>
  <c r="G509" i="3"/>
  <c r="BL493" i="3"/>
  <c r="AZ493" i="3"/>
  <c r="F83" i="43"/>
  <c r="H85" i="43" s="1"/>
  <c r="F50" i="43"/>
  <c r="H54" i="43" s="1"/>
  <c r="F72" i="43"/>
  <c r="H75" i="43" s="1"/>
  <c r="U17" i="39"/>
  <c r="S14" i="35"/>
  <c r="U43" i="21"/>
  <c r="U35" i="21"/>
  <c r="AC35" i="21"/>
  <c r="G8" i="1"/>
  <c r="G10" i="1"/>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F27" i="40"/>
  <c r="S27" i="40"/>
  <c r="J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56" i="3"/>
  <c r="AZ271" i="3"/>
  <c r="AZ133"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93" i="9"/>
  <c r="K6" i="1"/>
  <c r="AP6" i="1" s="1"/>
  <c r="AC26" i="33"/>
  <c r="W26" i="33"/>
  <c r="W27" i="34"/>
  <c r="AC27" i="34"/>
  <c r="AB34" i="36"/>
  <c r="U34" i="36"/>
  <c r="AB33" i="36"/>
  <c r="U33" i="36"/>
  <c r="AC12" i="39"/>
  <c r="W12" i="39"/>
  <c r="W12" i="33"/>
  <c r="AC12" i="33"/>
  <c r="AA32" i="36"/>
  <c r="S32" i="36"/>
  <c r="AZ473" i="3"/>
  <c r="BL14" i="3"/>
  <c r="U30" i="33"/>
  <c r="AC13" i="34"/>
  <c r="AA47" i="34"/>
  <c r="W28" i="37"/>
  <c r="S19" i="39"/>
  <c r="F12" i="33"/>
  <c r="H12" i="39"/>
  <c r="AB12" i="39"/>
  <c r="F39" i="40"/>
  <c r="BA14" i="3"/>
  <c r="AZ254" i="3"/>
  <c r="AZ286" i="3"/>
  <c r="AZ157" i="3"/>
  <c r="B12" i="1"/>
  <c r="E12" i="1" s="1"/>
  <c r="B10" i="1"/>
  <c r="E10" i="1" s="1"/>
  <c r="K12" i="1"/>
  <c r="M12" i="1" s="1"/>
  <c r="J51" i="67"/>
  <c r="C42" i="1"/>
  <c r="C24" i="12" s="1"/>
  <c r="AC34" i="33"/>
  <c r="AA34" i="33"/>
  <c r="B41" i="1"/>
  <c r="F48" i="9" s="1"/>
  <c r="O52" i="9" s="1"/>
  <c r="AB37" i="40"/>
  <c r="W38" i="40"/>
  <c r="AA32" i="40"/>
  <c r="AB27" i="40"/>
  <c r="S30" i="40"/>
  <c r="AA27" i="40"/>
  <c r="U37" i="39"/>
  <c r="S43" i="39"/>
  <c r="S37" i="39"/>
  <c r="U35" i="39"/>
  <c r="F32" i="39"/>
  <c r="F106" i="39"/>
  <c r="G106" i="39" s="1"/>
  <c r="H106" i="39" s="1"/>
  <c r="I106" i="39" s="1"/>
  <c r="J106" i="39" s="1"/>
  <c r="K106" i="39" s="1"/>
  <c r="L106" i="39" s="1"/>
  <c r="M106" i="39" s="1"/>
  <c r="U25" i="39"/>
  <c r="U31" i="39"/>
  <c r="J21" i="39"/>
  <c r="W21" i="39" s="1"/>
  <c r="F21" i="39"/>
  <c r="G94" i="39"/>
  <c r="H21" i="39"/>
  <c r="AB21" i="39" s="1"/>
  <c r="W19" i="39"/>
  <c r="U19" i="39"/>
  <c r="S15" i="39"/>
  <c r="AA12" i="39"/>
  <c r="S9" i="39"/>
  <c r="AC13" i="39"/>
  <c r="U12" i="39"/>
  <c r="U13" i="36"/>
  <c r="U26" i="36"/>
  <c r="S33" i="36"/>
  <c r="AA26" i="36"/>
  <c r="AA34" i="36"/>
  <c r="AC26" i="36"/>
  <c r="AA22" i="36"/>
  <c r="W14" i="36"/>
  <c r="AB14" i="36"/>
  <c r="U22" i="36"/>
  <c r="S16" i="36"/>
  <c r="AA25" i="36"/>
  <c r="AB20" i="36"/>
  <c r="U16" i="36"/>
  <c r="AA25" i="35"/>
  <c r="S23" i="35"/>
  <c r="W24" i="35"/>
  <c r="AB13" i="35"/>
  <c r="U29" i="35"/>
  <c r="U28" i="35"/>
  <c r="AB27" i="35"/>
  <c r="U36" i="35"/>
  <c r="U32"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AC35" i="37"/>
  <c r="W39" i="37"/>
  <c r="S30" i="37"/>
  <c r="S37" i="37"/>
  <c r="J17" i="37"/>
  <c r="G73" i="37"/>
  <c r="F17" i="37"/>
  <c r="AA17" i="37" s="1"/>
  <c r="AB17" i="37"/>
  <c r="F75" i="37"/>
  <c r="F19" i="37"/>
  <c r="S19" i="37" s="1"/>
  <c r="F79" i="37"/>
  <c r="F23" i="37"/>
  <c r="U23" i="37"/>
  <c r="U15" i="37"/>
  <c r="H10" i="37"/>
  <c r="AB10" i="37" s="1"/>
  <c r="F63" i="37"/>
  <c r="F11" i="37"/>
  <c r="S11" i="37" s="1"/>
  <c r="W25" i="34"/>
  <c r="AB8" i="34"/>
  <c r="AA33" i="34"/>
  <c r="U43" i="34"/>
  <c r="AC39" i="34"/>
  <c r="W41" i="34"/>
  <c r="AC42" i="34"/>
  <c r="U39" i="34"/>
  <c r="AB41" i="34"/>
  <c r="AA45" i="34"/>
  <c r="AA25" i="34"/>
  <c r="U28" i="34"/>
  <c r="S17" i="34"/>
  <c r="AA29" i="34"/>
  <c r="U15"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U23" i="33" s="1"/>
  <c r="F81" i="33"/>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C18" i="9"/>
  <c r="D18" i="9" s="1"/>
  <c r="F34" i="15"/>
  <c r="F62" i="15" s="1"/>
  <c r="G13" i="3"/>
  <c r="BL17" i="3"/>
  <c r="AZ17" i="3"/>
  <c r="BL13" i="3"/>
  <c r="J56" i="9"/>
  <c r="J57" i="9" s="1"/>
  <c r="J59" i="9" s="1"/>
  <c r="J61" i="9" s="1"/>
  <c r="A24" i="51"/>
  <c r="B18" i="72"/>
  <c r="U29" i="34"/>
  <c r="E5" i="6"/>
  <c r="E32" i="6"/>
  <c r="G1" i="68"/>
  <c r="K1" i="12"/>
  <c r="E19" i="69"/>
  <c r="E19" i="68"/>
  <c r="E19" i="11"/>
  <c r="C6" i="43"/>
  <c r="B19" i="53"/>
  <c r="B37" i="72" s="1"/>
  <c r="C7" i="33"/>
  <c r="C7" i="21"/>
  <c r="G23" i="43"/>
  <c r="C23" i="43" s="1"/>
  <c r="A4" i="51"/>
  <c r="B6" i="72" s="1"/>
  <c r="L20" i="6"/>
  <c r="B6" i="1"/>
  <c r="E6" i="1" s="1"/>
  <c r="K11" i="1"/>
  <c r="M11" i="1" s="1"/>
  <c r="O11" i="1" s="1"/>
  <c r="K7" i="1"/>
  <c r="M7" i="1" s="1"/>
  <c r="O7" i="1" s="1"/>
  <c r="P7" i="1" s="1"/>
  <c r="G1" i="15"/>
  <c r="G1" i="69"/>
  <c r="G1" i="67"/>
  <c r="U32" i="40"/>
  <c r="AB31" i="40"/>
  <c r="AB28" i="40"/>
  <c r="W28" i="40"/>
  <c r="AC14" i="40"/>
  <c r="S13" i="40"/>
  <c r="S33" i="40"/>
  <c r="U11" i="40"/>
  <c r="S31" i="40"/>
  <c r="AB13" i="40"/>
  <c r="U15" i="40"/>
  <c r="U8" i="40"/>
  <c r="S8" i="40"/>
  <c r="AA39" i="39"/>
  <c r="AC41" i="39"/>
  <c r="U42" i="39"/>
  <c r="U41" i="39"/>
  <c r="W25" i="39"/>
  <c r="AC25" i="39"/>
  <c r="U13" i="39"/>
  <c r="AB13" i="39"/>
  <c r="AA13" i="39"/>
  <c r="S13" i="39"/>
  <c r="U43" i="39"/>
  <c r="AB11" i="39"/>
  <c r="U11" i="39"/>
  <c r="AA27" i="39"/>
  <c r="S27" i="39"/>
  <c r="W17" i="39"/>
  <c r="AC17" i="39"/>
  <c r="W31" i="39"/>
  <c r="AC31" i="39"/>
  <c r="S23" i="39"/>
  <c r="AA45" i="39"/>
  <c r="AB39" i="39"/>
  <c r="U38" i="39"/>
  <c r="S8" i="39"/>
  <c r="S20" i="36"/>
  <c r="AC25" i="36"/>
  <c r="W29" i="36"/>
  <c r="AC20" i="36"/>
  <c r="AB28"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W33" i="34"/>
  <c r="AC14" i="34"/>
  <c r="AC32" i="34"/>
  <c r="AC29" i="34"/>
  <c r="W29" i="34"/>
  <c r="W46" i="34"/>
  <c r="AC46" i="34"/>
  <c r="S32" i="34"/>
  <c r="AA32" i="34"/>
  <c r="U30" i="34"/>
  <c r="AB30" i="34"/>
  <c r="S37" i="34"/>
  <c r="AC40" i="34"/>
  <c r="W40"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W14" i="33"/>
  <c r="AC30"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AB44" i="21"/>
  <c r="AA30" i="21"/>
  <c r="W13" i="21"/>
  <c r="F10" i="21"/>
  <c r="AA10" i="21" s="1"/>
  <c r="K14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U25" i="33"/>
  <c r="AB25" i="33"/>
  <c r="AA25" i="33"/>
  <c r="G87" i="33"/>
  <c r="H87" i="33" s="1"/>
  <c r="I87" i="33" s="1"/>
  <c r="J87" i="33" s="1"/>
  <c r="K87" i="33" s="1"/>
  <c r="L87" i="33" s="1"/>
  <c r="M87" i="33" s="1"/>
  <c r="J25" i="33"/>
  <c r="W25" i="33" s="1"/>
  <c r="AB23" i="33"/>
  <c r="F23" i="33"/>
  <c r="G85" i="33"/>
  <c r="AA19" i="33"/>
  <c r="H19" i="33"/>
  <c r="G81" i="33"/>
  <c r="H17" i="33"/>
  <c r="U17" i="33" s="1"/>
  <c r="F17" i="33"/>
  <c r="S17" i="33" s="1"/>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AB19" i="33"/>
  <c r="U19" i="33"/>
  <c r="W23" i="21"/>
  <c r="H109" i="9"/>
  <c r="AD3" i="71"/>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15"/>
  <c r="B11" i="76"/>
  <c r="M9" i="67"/>
  <c r="F16" i="15"/>
  <c r="F37" i="15"/>
  <c r="E11" i="76"/>
  <c r="F5" i="73"/>
  <c r="F26" i="15"/>
  <c r="E7" i="76"/>
  <c r="F38" i="15"/>
  <c r="AO13" i="1"/>
  <c r="F37" i="67"/>
  <c r="F6" i="73"/>
  <c r="F3" i="73"/>
  <c r="F36" i="15"/>
  <c r="F8" i="15"/>
  <c r="M23" i="15"/>
  <c r="E8" i="76"/>
  <c r="F9" i="67"/>
  <c r="F38" i="67"/>
  <c r="L47" i="15"/>
  <c r="F7" i="67"/>
  <c r="M24" i="15"/>
  <c r="B12" i="76"/>
  <c r="B13" i="76"/>
  <c r="E10" i="76"/>
  <c r="F26" i="67"/>
  <c r="F8" i="67"/>
  <c r="F43" i="15"/>
  <c r="M23" i="67"/>
  <c r="F4" i="73"/>
  <c r="F7" i="73"/>
  <c r="E12" i="76"/>
  <c r="M8" i="67"/>
  <c r="M6" i="67"/>
  <c r="C76" i="15"/>
  <c r="E2" i="68"/>
  <c r="F13" i="15"/>
  <c r="M28" i="67"/>
  <c r="L48" i="67"/>
  <c r="F42" i="15"/>
  <c r="M28" i="15"/>
  <c r="E2" i="69"/>
  <c r="C76" i="67"/>
  <c r="M9" i="15"/>
  <c r="F43" i="67"/>
  <c r="F6" i="15"/>
  <c r="E9" i="76"/>
  <c r="B10" i="76"/>
  <c r="M26" i="67"/>
  <c r="F6" i="67"/>
  <c r="M29" i="15"/>
  <c r="F13" i="67"/>
  <c r="M29" i="67"/>
  <c r="L47" i="67"/>
  <c r="M22" i="67"/>
  <c r="B8" i="76"/>
  <c r="E13" i="76"/>
  <c r="F40" i="67"/>
  <c r="J15" i="67"/>
  <c r="B9" i="76"/>
  <c r="F36" i="67"/>
  <c r="M24" i="67"/>
  <c r="L48" i="15"/>
  <c r="B7" i="76"/>
  <c r="F42" i="67"/>
  <c r="F20" i="31"/>
  <c r="F16" i="67"/>
  <c r="H36" i="40" l="1"/>
  <c r="AB36" i="40" s="1"/>
  <c r="J36" i="40"/>
  <c r="W36" i="40" s="1"/>
  <c r="F36" i="40"/>
  <c r="AA36" i="40" s="1"/>
  <c r="B9" i="1"/>
  <c r="E9" i="1" s="1"/>
  <c r="M47" i="9"/>
  <c r="C7" i="35"/>
  <c r="C48" i="35" s="1"/>
  <c r="D48" i="35" s="1"/>
  <c r="M20" i="67"/>
  <c r="R13" i="1"/>
  <c r="C7" i="34"/>
  <c r="J51" i="15"/>
  <c r="C7" i="40"/>
  <c r="C63" i="40" s="1"/>
  <c r="C7" i="39"/>
  <c r="C67" i="39" s="1"/>
  <c r="F34" i="67"/>
  <c r="F62" i="67" s="1"/>
  <c r="S13" i="1"/>
  <c r="AR13" i="1" s="1"/>
  <c r="C40" i="68"/>
  <c r="A15" i="62"/>
  <c r="B61" i="72" s="1"/>
  <c r="AC11" i="40"/>
  <c r="AC15" i="40"/>
  <c r="AA15" i="40"/>
  <c r="AB17" i="40"/>
  <c r="AA19" i="40"/>
  <c r="S17" i="40"/>
  <c r="U21" i="40"/>
  <c r="AC21" i="40"/>
  <c r="S21" i="40"/>
  <c r="W23" i="40"/>
  <c r="S23" i="40"/>
  <c r="W25" i="40"/>
  <c r="U25" i="40"/>
  <c r="U34" i="40"/>
  <c r="S34" i="40"/>
  <c r="W37" i="40"/>
  <c r="S37" i="40"/>
  <c r="AC36" i="40"/>
  <c r="U36" i="40"/>
  <c r="U35" i="40"/>
  <c r="S35" i="40"/>
  <c r="W35" i="40"/>
  <c r="W34" i="40"/>
  <c r="W19" i="40"/>
  <c r="AB19" i="40"/>
  <c r="S9" i="40"/>
  <c r="M18" i="67"/>
  <c r="F30" i="11"/>
  <c r="C48" i="11" s="1"/>
  <c r="M18" i="15"/>
  <c r="F32" i="15"/>
  <c r="F60" i="15" s="1"/>
  <c r="F52" i="9"/>
  <c r="D68" i="9"/>
  <c r="F30" i="69"/>
  <c r="F48" i="69" s="1"/>
  <c r="F31" i="12"/>
  <c r="C31" i="12" s="1"/>
  <c r="F54" i="9"/>
  <c r="F30" i="68"/>
  <c r="F48" i="68" s="1"/>
  <c r="F28" i="15"/>
  <c r="F32" i="67"/>
  <c r="F60" i="67" s="1"/>
  <c r="F28" i="67"/>
  <c r="C40" i="69"/>
  <c r="C21" i="68"/>
  <c r="G22" i="69"/>
  <c r="G22" i="11"/>
  <c r="E1" i="73"/>
  <c r="G26" i="12"/>
  <c r="G22" i="68"/>
  <c r="G29" i="6"/>
  <c r="H112" i="9"/>
  <c r="D21" i="53" s="1"/>
  <c r="B39" i="72" s="1"/>
  <c r="H111" i="9"/>
  <c r="D126" i="9" s="1"/>
  <c r="J1" i="73"/>
  <c r="AA13" i="21"/>
  <c r="S13" i="21"/>
  <c r="U27" i="33"/>
  <c r="AB27" i="33"/>
  <c r="C21" i="71"/>
  <c r="D21" i="71" s="1"/>
  <c r="U23" i="21"/>
  <c r="AC25" i="33"/>
  <c r="W23" i="37"/>
  <c r="AC23" i="37"/>
  <c r="S23" i="37"/>
  <c r="AA23" i="37"/>
  <c r="AZ389" i="3"/>
  <c r="AA44" i="33"/>
  <c r="AC38" i="37"/>
  <c r="W38" i="37"/>
  <c r="AB25" i="36"/>
  <c r="U25" i="36"/>
  <c r="AB32" i="36"/>
  <c r="U32" i="36"/>
  <c r="AA28" i="33"/>
  <c r="S28" i="33"/>
  <c r="AC42" i="21"/>
  <c r="W42" i="21"/>
  <c r="AA23" i="34"/>
  <c r="S23" i="34"/>
  <c r="W13" i="37"/>
  <c r="AC13" i="37"/>
  <c r="AZ564" i="3"/>
  <c r="BL563" i="3"/>
  <c r="AZ563" i="3" s="1"/>
  <c r="AZ559" i="3"/>
  <c r="AZ558" i="3"/>
  <c r="W15" i="37"/>
  <c r="AC15" i="37"/>
  <c r="AA14" i="36"/>
  <c r="S14" i="36"/>
  <c r="AC25" i="21"/>
  <c r="W25" i="21"/>
  <c r="S13" i="36"/>
  <c r="AA13" i="36"/>
  <c r="AA11" i="36"/>
  <c r="S11" i="36"/>
  <c r="S33" i="35"/>
  <c r="AA33" i="35"/>
  <c r="AA28" i="40"/>
  <c r="S28" i="40"/>
  <c r="AB34" i="35"/>
  <c r="U34" i="35"/>
  <c r="AZ582" i="3"/>
  <c r="AZ580" i="3"/>
  <c r="AZ574" i="3"/>
  <c r="AZ572" i="3"/>
  <c r="BL567" i="3"/>
  <c r="AZ566" i="3"/>
  <c r="W9" i="21"/>
  <c r="AC9" i="21"/>
  <c r="D121" i="9"/>
  <c r="D7" i="52" s="1"/>
  <c r="D6" i="52"/>
  <c r="W27" i="33"/>
  <c r="AC27" i="33"/>
  <c r="AB9" i="21"/>
  <c r="U9" i="21"/>
  <c r="AC27" i="40"/>
  <c r="W27" i="40"/>
  <c r="AB32" i="37"/>
  <c r="U32" i="37"/>
  <c r="AZ342" i="3"/>
  <c r="W11" i="39"/>
  <c r="AC11" i="39"/>
  <c r="AA15" i="37"/>
  <c r="S15" i="37"/>
  <c r="W12" i="37"/>
  <c r="AC12" i="37"/>
  <c r="U35" i="34"/>
  <c r="AB35" i="34"/>
  <c r="AZ525" i="3"/>
  <c r="AB46" i="33"/>
  <c r="U46" i="33"/>
  <c r="AC37" i="37"/>
  <c r="W37" i="37"/>
  <c r="W28" i="21"/>
  <c r="AC28" i="21"/>
  <c r="F29" i="6"/>
  <c r="W45" i="21"/>
  <c r="AC45" i="21"/>
  <c r="AC13" i="40"/>
  <c r="W13" i="40"/>
  <c r="AA17" i="33"/>
  <c r="W17" i="37"/>
  <c r="AC17" i="37"/>
  <c r="AC30" i="40"/>
  <c r="W30" i="40"/>
  <c r="AZ124" i="3"/>
  <c r="AB14" i="40"/>
  <c r="U14" i="40"/>
  <c r="AC40" i="37"/>
  <c r="W40" i="37"/>
  <c r="AA45" i="33"/>
  <c r="S45" i="33"/>
  <c r="S29" i="33"/>
  <c r="AA29" i="33"/>
  <c r="U26" i="33"/>
  <c r="AB26" i="33"/>
  <c r="W11" i="33"/>
  <c r="AC11" i="33"/>
  <c r="BL587" i="3"/>
  <c r="AZ587" i="3" s="1"/>
  <c r="H23" i="36"/>
  <c r="J23" i="36"/>
  <c r="J39" i="40"/>
  <c r="H39" i="40"/>
  <c r="AZ345" i="3"/>
  <c r="AZ372" i="3"/>
  <c r="AZ337" i="3"/>
  <c r="AZ200" i="3"/>
  <c r="AZ376" i="3"/>
  <c r="AZ309" i="3"/>
  <c r="AZ549" i="3"/>
  <c r="AA41" i="39"/>
  <c r="H5" i="3"/>
  <c r="H27" i="34"/>
  <c r="AZ515" i="3"/>
  <c r="AZ533" i="3"/>
  <c r="AZ561" i="3"/>
  <c r="AZ569" i="3"/>
  <c r="AZ571" i="3"/>
  <c r="AZ579" i="3"/>
  <c r="AZ524" i="3"/>
  <c r="W44" i="39"/>
  <c r="H14" i="39"/>
  <c r="F13" i="37"/>
  <c r="W22" i="35"/>
  <c r="J23" i="35"/>
  <c r="H23" i="35"/>
  <c r="W31" i="35"/>
  <c r="AC31" i="35"/>
  <c r="U38" i="34"/>
  <c r="S24" i="36"/>
  <c r="S17" i="39"/>
  <c r="AB27" i="39"/>
  <c r="AC17" i="40"/>
  <c r="BB5" i="3"/>
  <c r="E15" i="6" s="1"/>
  <c r="E64" i="39" s="1"/>
  <c r="AZ387" i="3"/>
  <c r="AZ366" i="3"/>
  <c r="AZ338" i="3"/>
  <c r="AZ390" i="3"/>
  <c r="AZ371" i="3"/>
  <c r="AZ351" i="3"/>
  <c r="AZ305" i="3"/>
  <c r="AZ187" i="3"/>
  <c r="AZ360" i="3"/>
  <c r="AZ539" i="3"/>
  <c r="BL565" i="3"/>
  <c r="AZ565" i="3" s="1"/>
  <c r="AZ529" i="3"/>
  <c r="AZ537" i="3"/>
  <c r="AZ518" i="3"/>
  <c r="AZ526" i="3"/>
  <c r="AZ546" i="3"/>
  <c r="F14" i="39"/>
  <c r="H13" i="37"/>
  <c r="F45" i="21"/>
  <c r="W40" i="33"/>
  <c r="AB34" i="37"/>
  <c r="W8" i="40"/>
  <c r="U31" i="35"/>
  <c r="G587" i="3"/>
  <c r="H9" i="33"/>
  <c r="J9" i="33"/>
  <c r="BA551" i="3"/>
  <c r="AZ551" i="3" s="1"/>
  <c r="BA550" i="3"/>
  <c r="BL548" i="3"/>
  <c r="AZ548" i="3" s="1"/>
  <c r="AZ451" i="3"/>
  <c r="AB36" i="34"/>
  <c r="W34" i="39"/>
  <c r="S43" i="34"/>
  <c r="AZ14" i="3"/>
  <c r="BD5" i="3"/>
  <c r="AZ318" i="3"/>
  <c r="AZ346" i="3"/>
  <c r="AZ304" i="3"/>
  <c r="AZ306" i="3"/>
  <c r="AZ535" i="3"/>
  <c r="BL577" i="3"/>
  <c r="AZ577" i="3" s="1"/>
  <c r="AZ557" i="3"/>
  <c r="AZ513" i="3"/>
  <c r="AZ540" i="3"/>
  <c r="AZ502" i="3"/>
  <c r="J32" i="36"/>
  <c r="W32" i="36" s="1"/>
  <c r="S28" i="34"/>
  <c r="AC38" i="34"/>
  <c r="S27" i="35"/>
  <c r="U34" i="34"/>
  <c r="W28" i="35"/>
  <c r="W31" i="37"/>
  <c r="G586" i="3"/>
  <c r="B101" i="43"/>
  <c r="B79" i="43"/>
  <c r="F9" i="33"/>
  <c r="AA9" i="33" s="1"/>
  <c r="W41" i="33"/>
  <c r="J9" i="36"/>
  <c r="F23" i="36"/>
  <c r="H38" i="40"/>
  <c r="F38" i="40"/>
  <c r="G556" i="3"/>
  <c r="BL550" i="3"/>
  <c r="BL398" i="3"/>
  <c r="G402" i="3"/>
  <c r="BL403" i="3"/>
  <c r="G405" i="3"/>
  <c r="G406" i="3"/>
  <c r="BA408" i="3"/>
  <c r="BA409" i="3"/>
  <c r="AZ409" i="3" s="1"/>
  <c r="BA411" i="3"/>
  <c r="AZ411" i="3" s="1"/>
  <c r="BL414" i="3"/>
  <c r="BL415" i="3"/>
  <c r="BA417" i="3"/>
  <c r="BL421" i="3"/>
  <c r="BL422" i="3"/>
  <c r="BL425" i="3"/>
  <c r="BL426" i="3"/>
  <c r="BA428" i="3"/>
  <c r="BA429" i="3"/>
  <c r="BA430" i="3"/>
  <c r="AZ430" i="3" s="1"/>
  <c r="BA432" i="3"/>
  <c r="BA434" i="3"/>
  <c r="AZ434" i="3" s="1"/>
  <c r="BA436" i="3"/>
  <c r="BA438" i="3"/>
  <c r="G442" i="3"/>
  <c r="G443" i="3"/>
  <c r="BA446" i="3"/>
  <c r="BA450" i="3"/>
  <c r="BA453" i="3"/>
  <c r="BA455" i="3"/>
  <c r="AZ455" i="3" s="1"/>
  <c r="BL457" i="3"/>
  <c r="BL460" i="3"/>
  <c r="BL461" i="3"/>
  <c r="BL463" i="3"/>
  <c r="G465" i="3"/>
  <c r="BA471" i="3"/>
  <c r="AZ471" i="3" s="1"/>
  <c r="G486" i="3"/>
  <c r="G488" i="3"/>
  <c r="BA384" i="3"/>
  <c r="AZ384" i="3" s="1"/>
  <c r="BL15" i="3"/>
  <c r="AZ15" i="3" s="1"/>
  <c r="BA398" i="3"/>
  <c r="AZ398" i="3" s="1"/>
  <c r="BA399" i="3"/>
  <c r="AZ399" i="3" s="1"/>
  <c r="BL401" i="3"/>
  <c r="AZ401" i="3" s="1"/>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BA460" i="3"/>
  <c r="AZ460" i="3" s="1"/>
  <c r="BA461" i="3"/>
  <c r="AZ461" i="3" s="1"/>
  <c r="BL464" i="3"/>
  <c r="AZ464" i="3" s="1"/>
  <c r="BL466" i="3"/>
  <c r="G468" i="3"/>
  <c r="AZ483" i="3"/>
  <c r="BL489" i="3"/>
  <c r="AZ489" i="3" s="1"/>
  <c r="BA333" i="3"/>
  <c r="BL346" i="3"/>
  <c r="AZ403" i="3"/>
  <c r="AZ404" i="3"/>
  <c r="AZ405" i="3"/>
  <c r="AZ407" i="3"/>
  <c r="AZ419" i="3"/>
  <c r="AZ422" i="3"/>
  <c r="AZ444" i="3"/>
  <c r="AZ466" i="3"/>
  <c r="BA482" i="3"/>
  <c r="BA484" i="3"/>
  <c r="AZ484" i="3" s="1"/>
  <c r="BA303" i="3"/>
  <c r="AZ303" i="3" s="1"/>
  <c r="BA307" i="3"/>
  <c r="AZ307" i="3" s="1"/>
  <c r="BL314" i="3"/>
  <c r="AZ314" i="3" s="1"/>
  <c r="BA332" i="3"/>
  <c r="AZ332" i="3" s="1"/>
  <c r="BL332" i="3"/>
  <c r="BA367" i="3"/>
  <c r="AZ367" i="3" s="1"/>
  <c r="BA370" i="3"/>
  <c r="AZ370" i="3" s="1"/>
  <c r="BA388" i="3"/>
  <c r="AZ388" i="3" s="1"/>
  <c r="BL585" i="3"/>
  <c r="AZ585" i="3" s="1"/>
  <c r="B75" i="43"/>
  <c r="H24" i="36"/>
  <c r="G558" i="3"/>
  <c r="G399" i="3"/>
  <c r="BL400" i="3"/>
  <c r="AZ400" i="3" s="1"/>
  <c r="BL408" i="3"/>
  <c r="BL411" i="3"/>
  <c r="BL413" i="3"/>
  <c r="AZ413" i="3" s="1"/>
  <c r="G416" i="3"/>
  <c r="BL417" i="3"/>
  <c r="BL418" i="3"/>
  <c r="BL420" i="3"/>
  <c r="AZ420" i="3" s="1"/>
  <c r="G423" i="3"/>
  <c r="BL424" i="3"/>
  <c r="G427" i="3"/>
  <c r="BL428" i="3"/>
  <c r="BL429" i="3"/>
  <c r="BL432" i="3"/>
  <c r="BL435" i="3"/>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A396" i="3"/>
  <c r="BA209" i="3"/>
  <c r="BL217" i="3"/>
  <c r="AZ217" i="3" s="1"/>
  <c r="BA219" i="3"/>
  <c r="AZ219" i="3" s="1"/>
  <c r="BA221" i="3"/>
  <c r="AZ221" i="3" s="1"/>
  <c r="BA223" i="3"/>
  <c r="BL228" i="3"/>
  <c r="AZ228" i="3" s="1"/>
  <c r="BA230" i="3"/>
  <c r="AZ230" i="3" s="1"/>
  <c r="BL232" i="3"/>
  <c r="BL234" i="3"/>
  <c r="BA236" i="3"/>
  <c r="BA238" i="3"/>
  <c r="BA243" i="3"/>
  <c r="AZ243" i="3" s="1"/>
  <c r="BL248" i="3"/>
  <c r="AZ248" i="3" s="1"/>
  <c r="G250" i="3"/>
  <c r="BL250" i="3"/>
  <c r="AZ250" i="3" s="1"/>
  <c r="BA259" i="3"/>
  <c r="AZ259" i="3" s="1"/>
  <c r="BL261" i="3"/>
  <c r="AZ301" i="3"/>
  <c r="BA134" i="3"/>
  <c r="BA395" i="3"/>
  <c r="AZ395" i="3" s="1"/>
  <c r="BA208" i="3"/>
  <c r="AZ208" i="3" s="1"/>
  <c r="BA211" i="3"/>
  <c r="AZ211" i="3" s="1"/>
  <c r="BL213" i="3"/>
  <c r="BL215" i="3"/>
  <c r="BA222" i="3"/>
  <c r="AZ222" i="3" s="1"/>
  <c r="BA224" i="3"/>
  <c r="AZ224" i="3" s="1"/>
  <c r="BA226" i="3"/>
  <c r="AZ226" i="3" s="1"/>
  <c r="BL255" i="3"/>
  <c r="BL257" i="3"/>
  <c r="AZ257" i="3" s="1"/>
  <c r="BL258" i="3"/>
  <c r="BA262" i="3"/>
  <c r="AZ262" i="3" s="1"/>
  <c r="BL265" i="3"/>
  <c r="AZ265" i="3" s="1"/>
  <c r="BA273" i="3"/>
  <c r="AZ273" i="3" s="1"/>
  <c r="BA278" i="3"/>
  <c r="AZ278" i="3" s="1"/>
  <c r="BA280" i="3"/>
  <c r="AZ280" i="3" s="1"/>
  <c r="BL283" i="3"/>
  <c r="AZ283" i="3" s="1"/>
  <c r="BL284" i="3"/>
  <c r="G288" i="3"/>
  <c r="BL292" i="3"/>
  <c r="BA294" i="3"/>
  <c r="BL295" i="3"/>
  <c r="BL30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AZ263" i="3" s="1"/>
  <c r="G264" i="3"/>
  <c r="BL270" i="3"/>
  <c r="AZ270" i="3" s="1"/>
  <c r="BA272" i="3"/>
  <c r="AZ272" i="3" s="1"/>
  <c r="BL275" i="3"/>
  <c r="AZ275" i="3" s="1"/>
  <c r="G277" i="3"/>
  <c r="G280" i="3"/>
  <c r="G282" i="3"/>
  <c r="BL285" i="3"/>
  <c r="BL301" i="3"/>
  <c r="BL302" i="3"/>
  <c r="AZ302" i="3" s="1"/>
  <c r="BA114" i="3"/>
  <c r="BL122" i="3"/>
  <c r="BA126" i="3"/>
  <c r="BA132" i="3"/>
  <c r="AZ132" i="3" s="1"/>
  <c r="BA239" i="3"/>
  <c r="AZ239" i="3" s="1"/>
  <c r="BL239" i="3"/>
  <c r="BA241" i="3"/>
  <c r="BL241" i="3"/>
  <c r="BA244" i="3"/>
  <c r="AZ244" i="3" s="1"/>
  <c r="BL244" i="3"/>
  <c r="BA246" i="3"/>
  <c r="BL264" i="3"/>
  <c r="BL266" i="3"/>
  <c r="BA268" i="3"/>
  <c r="BL273" i="3"/>
  <c r="G274" i="3"/>
  <c r="BA277" i="3"/>
  <c r="AZ277" i="3" s="1"/>
  <c r="BL277" i="3"/>
  <c r="BA282" i="3"/>
  <c r="BL282" i="3"/>
  <c r="BA284" i="3"/>
  <c r="AZ284" i="3" s="1"/>
  <c r="BL290" i="3"/>
  <c r="BL291" i="3"/>
  <c r="AZ291" i="3" s="1"/>
  <c r="BL293" i="3"/>
  <c r="AZ293" i="3" s="1"/>
  <c r="BL294" i="3"/>
  <c r="BA297" i="3"/>
  <c r="AZ297" i="3" s="1"/>
  <c r="BL297" i="3"/>
  <c r="G116" i="3"/>
  <c r="BA117" i="3"/>
  <c r="BA124" i="3"/>
  <c r="BL127" i="3"/>
  <c r="AZ127" i="3" s="1"/>
  <c r="BA130" i="3"/>
  <c r="AZ130" i="3" s="1"/>
  <c r="BA145"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AZ19" i="3" s="1"/>
  <c r="G22" i="3"/>
  <c r="G24" i="3"/>
  <c r="G25" i="3"/>
  <c r="BA27" i="3"/>
  <c r="G30" i="3"/>
  <c r="BL30" i="3"/>
  <c r="AZ30" i="3" s="1"/>
  <c r="BL31" i="3"/>
  <c r="G35" i="3"/>
  <c r="G36" i="3"/>
  <c r="G40" i="3"/>
  <c r="BL40" i="3"/>
  <c r="BL41" i="3"/>
  <c r="G51" i="3"/>
  <c r="BA52" i="3"/>
  <c r="AZ52" i="3" s="1"/>
  <c r="BA53" i="3"/>
  <c r="BA54" i="3"/>
  <c r="BL57" i="3"/>
  <c r="G62" i="3"/>
  <c r="BL62" i="3"/>
  <c r="AZ62" i="3" s="1"/>
  <c r="AZ65" i="3"/>
  <c r="G64" i="3"/>
  <c r="D31" i="71"/>
  <c r="C32" i="71"/>
  <c r="C55" i="71"/>
  <c r="D54" i="7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G47" i="3"/>
  <c r="BL48" i="3"/>
  <c r="BA51" i="3"/>
  <c r="AZ51" i="3" s="1"/>
  <c r="G55" i="3"/>
  <c r="BL56" i="3"/>
  <c r="BA58" i="3"/>
  <c r="BL59" i="3"/>
  <c r="AZ59" i="3" s="1"/>
  <c r="BL60" i="3"/>
  <c r="BA61" i="3"/>
  <c r="AZ61" i="3" s="1"/>
  <c r="BL65" i="3"/>
  <c r="BL66" i="3"/>
  <c r="BL72" i="3"/>
  <c r="AZ72" i="3" s="1"/>
  <c r="BL79" i="3"/>
  <c r="N67" i="71"/>
  <c r="B66" i="71"/>
  <c r="F66" i="71"/>
  <c r="Q67" i="71"/>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BA202" i="3"/>
  <c r="BL207" i="3"/>
  <c r="AZ207" i="3" s="1"/>
  <c r="BL18" i="3"/>
  <c r="G19" i="3"/>
  <c r="BL19" i="3"/>
  <c r="BA20" i="3"/>
  <c r="AZ20" i="3" s="1"/>
  <c r="BL25" i="3"/>
  <c r="BL27" i="3"/>
  <c r="AZ27" i="3" s="1"/>
  <c r="BA28" i="3"/>
  <c r="BA31" i="3"/>
  <c r="AZ31" i="3" s="1"/>
  <c r="BA32" i="3"/>
  <c r="G38" i="3"/>
  <c r="BA38" i="3"/>
  <c r="BA41" i="3"/>
  <c r="AZ41" i="3" s="1"/>
  <c r="BA42" i="3"/>
  <c r="BL45" i="3"/>
  <c r="BA48" i="3"/>
  <c r="BA49" i="3"/>
  <c r="BL64" i="3"/>
  <c r="BA67" i="3"/>
  <c r="AZ67" i="3" s="1"/>
  <c r="BA68" i="3"/>
  <c r="BL70" i="3"/>
  <c r="AZ70" i="3" s="1"/>
  <c r="BL71" i="3"/>
  <c r="C44" i="71"/>
  <c r="D43" i="71"/>
  <c r="C52" i="71"/>
  <c r="D51" i="71"/>
  <c r="V24" i="71"/>
  <c r="E23" i="71"/>
  <c r="E22" i="71" s="1"/>
  <c r="E21" i="71" s="1"/>
  <c r="E20"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44" i="3"/>
  <c r="BA45" i="3"/>
  <c r="AZ45" i="3" s="1"/>
  <c r="BA46" i="3"/>
  <c r="BL49" i="3"/>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AZ225" i="3"/>
  <c r="G230" i="3"/>
  <c r="BA232" i="3"/>
  <c r="AZ232" i="3" s="1"/>
  <c r="BA234" i="3"/>
  <c r="AZ234" i="3" s="1"/>
  <c r="AZ236" i="3"/>
  <c r="G248" i="3"/>
  <c r="AZ25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87" i="3"/>
  <c r="BL202" i="3"/>
  <c r="AZ202" i="3" s="1"/>
  <c r="BL36" i="3"/>
  <c r="AZ36" i="3" s="1"/>
  <c r="AZ40" i="3"/>
  <c r="AZ48" i="3"/>
  <c r="AZ68" i="3"/>
  <c r="AZ73" i="3"/>
  <c r="AZ104"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D9" i="69"/>
  <c r="C36" i="69"/>
  <c r="D7" i="73"/>
  <c r="D4" i="73"/>
  <c r="F40" i="15"/>
  <c r="F7" i="15"/>
  <c r="M22" i="15"/>
  <c r="J15" i="15"/>
  <c r="D5" i="73"/>
  <c r="C36" i="68"/>
  <c r="D9" i="68"/>
  <c r="C16" i="67"/>
  <c r="D6" i="73"/>
  <c r="M26" i="15"/>
  <c r="F9" i="15"/>
  <c r="D3" i="73"/>
  <c r="C16" i="15"/>
  <c r="M8" i="15"/>
  <c r="S36" i="40" l="1"/>
  <c r="J7" i="36"/>
  <c r="N94" i="46"/>
  <c r="Q16" i="1"/>
  <c r="F27" i="69" s="1"/>
  <c r="F45" i="69" s="1"/>
  <c r="J26" i="43"/>
  <c r="E13" i="6"/>
  <c r="E12" i="6"/>
  <c r="E57" i="40" s="1"/>
  <c r="E10" i="6"/>
  <c r="E8" i="6"/>
  <c r="F27" i="6" s="1"/>
  <c r="F31" i="6" s="1"/>
  <c r="E11" i="6"/>
  <c r="E60" i="39" s="1"/>
  <c r="E14" i="6"/>
  <c r="E63" i="39" s="1"/>
  <c r="E26" i="43"/>
  <c r="G26" i="43"/>
  <c r="K16" i="1"/>
  <c r="N370" i="46"/>
  <c r="H26" i="43"/>
  <c r="P6" i="1"/>
  <c r="C13" i="12" s="1"/>
  <c r="F31" i="15"/>
  <c r="F50" i="15"/>
  <c r="C49" i="15" s="1"/>
  <c r="M7" i="15"/>
  <c r="J6" i="15" s="1"/>
  <c r="J18" i="15" s="1"/>
  <c r="C6" i="15"/>
  <c r="C32" i="15" s="1"/>
  <c r="F68" i="15"/>
  <c r="C40" i="71"/>
  <c r="D39" i="71"/>
  <c r="T52" i="71"/>
  <c r="D52" i="71"/>
  <c r="AZ49" i="3"/>
  <c r="N65" i="71"/>
  <c r="N66" i="71"/>
  <c r="C56" i="71"/>
  <c r="D55" i="71"/>
  <c r="AZ428" i="3"/>
  <c r="AB38" i="40"/>
  <c r="U38" i="40"/>
  <c r="AB9" i="33"/>
  <c r="U9" i="33"/>
  <c r="S14" i="39"/>
  <c r="AA14" i="39"/>
  <c r="AC23" i="35"/>
  <c r="W23" i="35"/>
  <c r="AB27" i="34"/>
  <c r="U27" i="34"/>
  <c r="AC39" i="40"/>
  <c r="W39" i="40"/>
  <c r="J7" i="37"/>
  <c r="AC7" i="37" s="1"/>
  <c r="G5" i="3"/>
  <c r="B3" i="3" s="1"/>
  <c r="E556" i="3" s="1"/>
  <c r="AZ113" i="3"/>
  <c r="AZ66" i="3"/>
  <c r="C70" i="71"/>
  <c r="D70" i="71" s="1"/>
  <c r="D71" i="71"/>
  <c r="AZ28" i="3"/>
  <c r="AZ58" i="3"/>
  <c r="AZ25" i="3"/>
  <c r="T32" i="71"/>
  <c r="D32" i="71"/>
  <c r="AZ137" i="3"/>
  <c r="AZ282" i="3"/>
  <c r="AZ241" i="3"/>
  <c r="AZ126" i="3"/>
  <c r="AZ249" i="3"/>
  <c r="AZ238" i="3"/>
  <c r="AZ454" i="3"/>
  <c r="AZ418" i="3"/>
  <c r="AZ453" i="3"/>
  <c r="AZ432" i="3"/>
  <c r="AZ417" i="3"/>
  <c r="S23" i="36"/>
  <c r="AA23" i="36"/>
  <c r="AZ550" i="3"/>
  <c r="AC23" i="36"/>
  <c r="W23" i="36"/>
  <c r="AZ26" i="3"/>
  <c r="AZ292" i="3"/>
  <c r="AZ213" i="3"/>
  <c r="T28" i="71"/>
  <c r="D28" i="71"/>
  <c r="U28" i="71" s="1"/>
  <c r="C27" i="71"/>
  <c r="D79" i="71"/>
  <c r="C78" i="71"/>
  <c r="D78" i="71" s="1"/>
  <c r="D44" i="71"/>
  <c r="T44" i="71"/>
  <c r="AZ178" i="3"/>
  <c r="AZ150" i="3"/>
  <c r="AB24" i="36"/>
  <c r="U24" i="36"/>
  <c r="AZ408" i="3"/>
  <c r="AC9" i="36"/>
  <c r="W9" i="36"/>
  <c r="AA45" i="21"/>
  <c r="S45" i="21"/>
  <c r="S13" i="37"/>
  <c r="AA13" i="37"/>
  <c r="AB23" i="36"/>
  <c r="U23" i="36"/>
  <c r="H16" i="1"/>
  <c r="AZ174" i="3"/>
  <c r="AZ264" i="3"/>
  <c r="AZ475" i="3"/>
  <c r="AZ354" i="3"/>
  <c r="D83" i="71"/>
  <c r="C82" i="71"/>
  <c r="D82" i="71" s="1"/>
  <c r="O65" i="71"/>
  <c r="D66" i="71"/>
  <c r="O66" i="71"/>
  <c r="C36" i="71"/>
  <c r="D35" i="71"/>
  <c r="AZ53" i="3"/>
  <c r="AZ294" i="3"/>
  <c r="AZ223" i="3"/>
  <c r="AZ459" i="3"/>
  <c r="AZ429" i="3"/>
  <c r="AA38" i="40"/>
  <c r="S38" i="40"/>
  <c r="AC9" i="33"/>
  <c r="W9" i="33"/>
  <c r="AB13" i="37"/>
  <c r="U13" i="37"/>
  <c r="U23" i="35"/>
  <c r="AB23" i="35"/>
  <c r="U14" i="39"/>
  <c r="AB14" i="39"/>
  <c r="U39" i="40"/>
  <c r="AB39" i="40"/>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F67" i="39" s="1"/>
  <c r="J7" i="34"/>
  <c r="W7" i="34" s="1"/>
  <c r="F7" i="34"/>
  <c r="S7" i="34" s="1"/>
  <c r="AA26" i="35"/>
  <c r="S26" i="35"/>
  <c r="AC26" i="35"/>
  <c r="W26" i="35"/>
  <c r="AB26" i="35"/>
  <c r="U26" i="35"/>
  <c r="E61" i="39"/>
  <c r="E56" i="40"/>
  <c r="C9" i="69"/>
  <c r="C9" i="68"/>
  <c r="E72" i="43"/>
  <c r="B70" i="43" s="1"/>
  <c r="C29" i="69"/>
  <c r="D27" i="69" s="1"/>
  <c r="F28" i="12"/>
  <c r="C29" i="12" s="1"/>
  <c r="D28" i="12" s="1"/>
  <c r="E60"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W7" i="37"/>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41" i="67"/>
  <c r="AE6" i="1"/>
  <c r="F27" i="68"/>
  <c r="G1" i="73"/>
  <c r="E69" i="39" l="1"/>
  <c r="AB7" i="36"/>
  <c r="T36" i="36" s="1"/>
  <c r="G36" i="36" s="1"/>
  <c r="S7" i="36"/>
  <c r="C47" i="69"/>
  <c r="D45" i="69" s="1"/>
  <c r="F27" i="11"/>
  <c r="C29" i="11" s="1"/>
  <c r="D27" i="11" s="1"/>
  <c r="D26" i="43"/>
  <c r="C25" i="43" s="1"/>
  <c r="E56" i="39"/>
  <c r="E51" i="40"/>
  <c r="E27" i="6"/>
  <c r="K26" i="6" s="1"/>
  <c r="M26" i="6" s="1"/>
  <c r="I26" i="6" s="1"/>
  <c r="S26" i="6" s="1"/>
  <c r="E16" i="6"/>
  <c r="E59" i="40"/>
  <c r="E378" i="3"/>
  <c r="E248" i="3"/>
  <c r="AY6" i="3"/>
  <c r="E275" i="3"/>
  <c r="E246" i="3"/>
  <c r="E535" i="3"/>
  <c r="AB6" i="3"/>
  <c r="E322" i="3"/>
  <c r="E70" i="3"/>
  <c r="E204" i="3"/>
  <c r="E454" i="3"/>
  <c r="E277" i="3"/>
  <c r="E586" i="3"/>
  <c r="E185" i="3"/>
  <c r="E143" i="3"/>
  <c r="AS6" i="3"/>
  <c r="E511" i="3"/>
  <c r="I6" i="3"/>
  <c r="W6" i="3"/>
  <c r="E197" i="3"/>
  <c r="E139" i="3"/>
  <c r="E369" i="3"/>
  <c r="E119" i="3"/>
  <c r="E423" i="3"/>
  <c r="E563" i="3"/>
  <c r="E311" i="3"/>
  <c r="E109" i="3"/>
  <c r="E557" i="3"/>
  <c r="E74" i="3"/>
  <c r="E465" i="3"/>
  <c r="E181" i="3"/>
  <c r="E91" i="3"/>
  <c r="E439" i="3"/>
  <c r="E388" i="3"/>
  <c r="E107" i="3"/>
  <c r="E578" i="3"/>
  <c r="E434" i="3"/>
  <c r="E47" i="3"/>
  <c r="E94" i="3"/>
  <c r="E219" i="3"/>
  <c r="E242" i="3"/>
  <c r="X6" i="3"/>
  <c r="E161" i="3"/>
  <c r="E387" i="3"/>
  <c r="E509" i="3"/>
  <c r="E182" i="3"/>
  <c r="E327" i="3"/>
  <c r="E146" i="3"/>
  <c r="E133" i="3"/>
  <c r="E495" i="3"/>
  <c r="E528" i="3"/>
  <c r="E270" i="3"/>
  <c r="E186" i="3"/>
  <c r="E457" i="3"/>
  <c r="E480" i="3"/>
  <c r="E272" i="3"/>
  <c r="E419" i="3"/>
  <c r="E131" i="3"/>
  <c r="E148" i="3"/>
  <c r="E263" i="3"/>
  <c r="E69" i="3"/>
  <c r="E201" i="3"/>
  <c r="E572" i="3"/>
  <c r="E400" i="3"/>
  <c r="E362" i="3"/>
  <c r="E406" i="3"/>
  <c r="E77" i="3"/>
  <c r="E180" i="3"/>
  <c r="E538" i="3"/>
  <c r="E441" i="3"/>
  <c r="E279" i="3"/>
  <c r="E407" i="3"/>
  <c r="E338" i="3"/>
  <c r="E265" i="3"/>
  <c r="E44" i="3"/>
  <c r="E477" i="3"/>
  <c r="E527" i="3"/>
  <c r="E290" i="3"/>
  <c r="E73" i="3"/>
  <c r="E367" i="3"/>
  <c r="E110" i="3"/>
  <c r="E391" i="3"/>
  <c r="E118" i="3"/>
  <c r="E487" i="3"/>
  <c r="E296" i="3"/>
  <c r="E200" i="3"/>
  <c r="E385" i="3"/>
  <c r="E191" i="3"/>
  <c r="E445" i="3"/>
  <c r="E189" i="3"/>
  <c r="M6" i="3"/>
  <c r="E431" i="3"/>
  <c r="E268" i="3"/>
  <c r="E377" i="3"/>
  <c r="E489" i="3"/>
  <c r="E485" i="3"/>
  <c r="E89" i="3"/>
  <c r="E214" i="3"/>
  <c r="E468" i="3"/>
  <c r="E472" i="3"/>
  <c r="AK6" i="3"/>
  <c r="E347" i="3"/>
  <c r="E350" i="3"/>
  <c r="E361" i="3"/>
  <c r="E216" i="3"/>
  <c r="E561" i="3"/>
  <c r="E410" i="3"/>
  <c r="E343" i="3"/>
  <c r="E384" i="3"/>
  <c r="E447" i="3"/>
  <c r="E414" i="3"/>
  <c r="E567" i="3"/>
  <c r="E433" i="3"/>
  <c r="E519" i="3"/>
  <c r="E583" i="3"/>
  <c r="E260" i="3"/>
  <c r="E569" i="3"/>
  <c r="E581" i="3"/>
  <c r="AE6" i="3"/>
  <c r="E254" i="3"/>
  <c r="E328" i="3"/>
  <c r="U6" i="3"/>
  <c r="E413" i="3"/>
  <c r="E222" i="3"/>
  <c r="E137" i="3"/>
  <c r="E35" i="3"/>
  <c r="E84" i="3"/>
  <c r="E305" i="3"/>
  <c r="E162" i="3"/>
  <c r="E271" i="3"/>
  <c r="E150" i="3"/>
  <c r="E314" i="3"/>
  <c r="E151" i="3"/>
  <c r="E121" i="3"/>
  <c r="AN6" i="3"/>
  <c r="E285" i="3"/>
  <c r="E461" i="3"/>
  <c r="E52" i="3"/>
  <c r="E116" i="3"/>
  <c r="E142" i="3"/>
  <c r="E240" i="3"/>
  <c r="E483" i="3"/>
  <c r="E132" i="3"/>
  <c r="E100" i="3"/>
  <c r="AI6" i="3"/>
  <c r="E135" i="3"/>
  <c r="E172" i="3"/>
  <c r="E215" i="3"/>
  <c r="E514" i="3"/>
  <c r="E579" i="3"/>
  <c r="E526" i="3"/>
  <c r="E211" i="3"/>
  <c r="E531" i="3"/>
  <c r="AO6" i="3"/>
  <c r="E227" i="3"/>
  <c r="E171" i="3"/>
  <c r="E577" i="3"/>
  <c r="K6" i="3"/>
  <c r="E545" i="3"/>
  <c r="E399" i="3"/>
  <c r="E134" i="3"/>
  <c r="E183" i="3"/>
  <c r="E231" i="3"/>
  <c r="E533" i="3"/>
  <c r="E555" i="3"/>
  <c r="E530" i="3"/>
  <c r="E210" i="3"/>
  <c r="E476" i="3"/>
  <c r="E478" i="3"/>
  <c r="E31" i="3"/>
  <c r="E450" i="3"/>
  <c r="E193" i="3"/>
  <c r="E518" i="3"/>
  <c r="E230" i="3"/>
  <c r="E553" i="3"/>
  <c r="E576" i="3"/>
  <c r="E177" i="3"/>
  <c r="E237" i="3"/>
  <c r="E29" i="3"/>
  <c r="E357" i="3"/>
  <c r="E259" i="3"/>
  <c r="E566" i="3"/>
  <c r="E226" i="3"/>
  <c r="E349" i="3"/>
  <c r="E68" i="3"/>
  <c r="E383" i="3"/>
  <c r="T6" i="3"/>
  <c r="E41" i="3"/>
  <c r="E80" i="3"/>
  <c r="E507" i="3"/>
  <c r="E25" i="3"/>
  <c r="E43" i="3"/>
  <c r="E194" i="3"/>
  <c r="E289" i="3"/>
  <c r="E101" i="3"/>
  <c r="E348" i="3"/>
  <c r="E416" i="3"/>
  <c r="E19" i="3"/>
  <c r="E266" i="3"/>
  <c r="E179" i="3"/>
  <c r="E98" i="3"/>
  <c r="E157" i="3"/>
  <c r="E54" i="3"/>
  <c r="E196" i="3"/>
  <c r="E411" i="3"/>
  <c r="E546" i="3"/>
  <c r="E291" i="3"/>
  <c r="E319" i="3"/>
  <c r="E574" i="3"/>
  <c r="S6" i="3"/>
  <c r="E321" i="3"/>
  <c r="E213" i="3"/>
  <c r="E159" i="3"/>
  <c r="E280" i="3"/>
  <c r="E262" i="3"/>
  <c r="E437" i="3"/>
  <c r="E429" i="3"/>
  <c r="E274" i="3"/>
  <c r="E236" i="3"/>
  <c r="E448" i="3"/>
  <c r="E404" i="3"/>
  <c r="E316" i="3"/>
  <c r="E125" i="3"/>
  <c r="N6" i="3"/>
  <c r="E396" i="3"/>
  <c r="E559" i="3"/>
  <c r="E320" i="3"/>
  <c r="E114" i="3"/>
  <c r="E550" i="3"/>
  <c r="E245" i="3"/>
  <c r="E293" i="3"/>
  <c r="E453" i="3"/>
  <c r="E99" i="3"/>
  <c r="E573" i="3"/>
  <c r="E562" i="3"/>
  <c r="E72" i="3"/>
  <c r="E351" i="3"/>
  <c r="E549" i="3"/>
  <c r="E585" i="3"/>
  <c r="AP6" i="3"/>
  <c r="E513" i="3"/>
  <c r="AF6" i="3"/>
  <c r="E512" i="3"/>
  <c r="E356" i="3"/>
  <c r="E329" i="3"/>
  <c r="E376" i="3"/>
  <c r="E202" i="3"/>
  <c r="E540" i="3"/>
  <c r="E325" i="3"/>
  <c r="E50" i="3"/>
  <c r="E165" i="3"/>
  <c r="E386" i="3"/>
  <c r="E57" i="3"/>
  <c r="E323" i="3"/>
  <c r="E542" i="3"/>
  <c r="E488" i="3"/>
  <c r="E307" i="3"/>
  <c r="E529" i="3"/>
  <c r="E257" i="3"/>
  <c r="E207" i="3"/>
  <c r="E432" i="3"/>
  <c r="E71" i="3"/>
  <c r="E317" i="3"/>
  <c r="E153" i="3"/>
  <c r="E359" i="3"/>
  <c r="E523" i="3"/>
  <c r="E169" i="3"/>
  <c r="E17" i="3"/>
  <c r="E303" i="3"/>
  <c r="E156" i="3"/>
  <c r="E120" i="3"/>
  <c r="E481" i="3"/>
  <c r="E55" i="3"/>
  <c r="E394" i="3"/>
  <c r="E252" i="3"/>
  <c r="E443"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395" i="3"/>
  <c r="V6" i="3"/>
  <c r="E516" i="3"/>
  <c r="E30" i="3"/>
  <c r="E558" i="3"/>
  <c r="E580" i="3"/>
  <c r="E344" i="3"/>
  <c r="E238" i="3"/>
  <c r="E302" i="3"/>
  <c r="E418" i="3"/>
  <c r="E426" i="3"/>
  <c r="E92" i="3"/>
  <c r="E379" i="3"/>
  <c r="E288" i="3"/>
  <c r="E195" i="3"/>
  <c r="E436" i="3"/>
  <c r="E51" i="3"/>
  <c r="E20" i="3"/>
  <c r="E79" i="3"/>
  <c r="E498" i="3"/>
  <c r="E190" i="3"/>
  <c r="E308" i="3"/>
  <c r="E59" i="3"/>
  <c r="E253" i="3"/>
  <c r="E61" i="3"/>
  <c r="E130" i="3"/>
  <c r="E358" i="3"/>
  <c r="E282" i="3"/>
  <c r="E295" i="3"/>
  <c r="AG6" i="3"/>
  <c r="E203" i="3"/>
  <c r="Q6" i="3"/>
  <c r="E353" i="3"/>
  <c r="E304" i="3"/>
  <c r="E390" i="3"/>
  <c r="E53" i="3"/>
  <c r="E547" i="3"/>
  <c r="E397" i="3"/>
  <c r="E306" i="3"/>
  <c r="E462" i="3"/>
  <c r="E354" i="3"/>
  <c r="E155" i="3"/>
  <c r="E36" i="3"/>
  <c r="E372" i="3"/>
  <c r="E564" i="3"/>
  <c r="E470" i="3"/>
  <c r="E18" i="3"/>
  <c r="E486" i="3"/>
  <c r="E223" i="3"/>
  <c r="E370" i="3"/>
  <c r="E78" i="3"/>
  <c r="E104" i="3"/>
  <c r="E360" i="3"/>
  <c r="E534" i="3"/>
  <c r="E287" i="3"/>
  <c r="E235" i="3"/>
  <c r="E281" i="3"/>
  <c r="E355" i="3"/>
  <c r="E536" i="3"/>
  <c r="E539" i="3"/>
  <c r="E258" i="3"/>
  <c r="E160" i="3"/>
  <c r="E184" i="3"/>
  <c r="E283" i="3"/>
  <c r="E198" i="3"/>
  <c r="E42"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56" i="3"/>
  <c r="E467" i="3"/>
  <c r="E33" i="3"/>
  <c r="E81" i="3"/>
  <c r="E494" i="3"/>
  <c r="AL6" i="3"/>
  <c r="E96"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475" i="3"/>
  <c r="E532" i="3"/>
  <c r="E122" i="3"/>
  <c r="E167" i="3"/>
  <c r="Y6" i="3"/>
  <c r="E373" i="3"/>
  <c r="E582" i="3"/>
  <c r="E209" i="3"/>
  <c r="E421" i="3"/>
  <c r="E65" i="3"/>
  <c r="E398" i="3"/>
  <c r="E218" i="3"/>
  <c r="E147" i="3"/>
  <c r="E339" i="3"/>
  <c r="E455" i="3"/>
  <c r="E333" i="3"/>
  <c r="E40" i="3"/>
  <c r="E490" i="3"/>
  <c r="E493" i="3"/>
  <c r="E83" i="3"/>
  <c r="E342" i="3"/>
  <c r="E243" i="3"/>
  <c r="E452" i="3"/>
  <c r="E469" i="3"/>
  <c r="E140" i="3"/>
  <c r="E206" i="3"/>
  <c r="E482" i="3"/>
  <c r="E309" i="3"/>
  <c r="E371" i="3"/>
  <c r="E502" i="3"/>
  <c r="E492" i="3"/>
  <c r="E249" i="3"/>
  <c r="E46" i="3"/>
  <c r="E484" i="3"/>
  <c r="E544" i="3"/>
  <c r="E292" i="3"/>
  <c r="E152" i="3"/>
  <c r="E491" i="3"/>
  <c r="E430" i="3"/>
  <c r="E286" i="3"/>
  <c r="E63" i="3"/>
  <c r="E233" i="3"/>
  <c r="E67" i="3"/>
  <c r="E310" i="3"/>
  <c r="E267" i="3"/>
  <c r="E64" i="3"/>
  <c r="E409" i="3"/>
  <c r="E389" i="3"/>
  <c r="E241" i="3"/>
  <c r="E37" i="3"/>
  <c r="E435" i="3"/>
  <c r="E541" i="3"/>
  <c r="E199" i="3"/>
  <c r="E3" i="6"/>
  <c r="D37" i="11" s="1"/>
  <c r="E251" i="3"/>
  <c r="E522" i="3"/>
  <c r="E129" i="3"/>
  <c r="E75" i="3"/>
  <c r="E332" i="3"/>
  <c r="E21" i="3"/>
  <c r="E264" i="3"/>
  <c r="E381" i="3"/>
  <c r="E144" i="3"/>
  <c r="E23" i="3"/>
  <c r="E300" i="3"/>
  <c r="E103" i="3"/>
  <c r="E425" i="3"/>
  <c r="E76" i="3"/>
  <c r="E363" i="3"/>
  <c r="E192" i="3"/>
  <c r="E479" i="3"/>
  <c r="I3" i="6"/>
  <c r="R6" i="3"/>
  <c r="E510" i="3"/>
  <c r="M17" i="15"/>
  <c r="J5" i="15"/>
  <c r="J24" i="15" s="1"/>
  <c r="D36" i="71"/>
  <c r="T36" i="71"/>
  <c r="C26" i="71"/>
  <c r="D26" i="71" s="1"/>
  <c r="D27" i="71"/>
  <c r="E517" i="3"/>
  <c r="E255" i="3"/>
  <c r="E466" i="3"/>
  <c r="E499" i="3"/>
  <c r="E212" i="3"/>
  <c r="E95" i="3"/>
  <c r="E417" i="3"/>
  <c r="E554" i="3"/>
  <c r="E449" i="3"/>
  <c r="E442" i="3"/>
  <c r="E575" i="3"/>
  <c r="T40" i="71"/>
  <c r="D40"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F41" i="15"/>
  <c r="M27" i="67"/>
  <c r="I46" i="37" l="1"/>
  <c r="J46" i="37" s="1"/>
  <c r="I53" i="34"/>
  <c r="J53" i="34" s="1"/>
  <c r="D3" i="21"/>
  <c r="L18" i="9"/>
  <c r="C17" i="4"/>
  <c r="B4" i="52" s="1"/>
  <c r="B43" i="72" s="1"/>
  <c r="M18" i="9"/>
  <c r="B118" i="9" s="1"/>
  <c r="B1" i="74" s="1"/>
  <c r="D14" i="12"/>
  <c r="D17" i="12" s="1"/>
  <c r="C17" i="12" s="1"/>
  <c r="D3" i="37"/>
  <c r="D19" i="11"/>
  <c r="C19" i="11" s="1"/>
  <c r="AC6" i="3"/>
  <c r="H6" i="3"/>
  <c r="F24" i="67"/>
  <c r="C24" i="67" s="1"/>
  <c r="F24" i="15"/>
  <c r="C24" i="15" s="1"/>
  <c r="F22" i="69"/>
  <c r="F41" i="69" s="1"/>
  <c r="D116" i="43"/>
  <c r="F22" i="68"/>
  <c r="C44" i="68" s="1"/>
  <c r="D41" i="68" s="1"/>
  <c r="F25" i="12"/>
  <c r="C26" i="12" s="1"/>
  <c r="D25" i="12" s="1"/>
  <c r="F22" i="1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67"/>
  <c r="D10" i="68"/>
  <c r="C14" i="67"/>
  <c r="C17" i="15"/>
  <c r="C24" i="11" l="1"/>
  <c r="F41" i="68"/>
  <c r="H25" i="6"/>
  <c r="E6" i="3"/>
  <c r="C26" i="69"/>
  <c r="D22" i="69" s="1"/>
  <c r="C44" i="11"/>
  <c r="D41" i="11" s="1"/>
  <c r="C23" i="11"/>
  <c r="C44" i="69"/>
  <c r="D41" i="69" s="1"/>
  <c r="C26" i="11"/>
  <c r="D22" i="11" s="1"/>
  <c r="C25" i="11"/>
  <c r="C26" i="68"/>
  <c r="D22" i="68"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34" i="68"/>
  <c r="C8" i="68" l="1"/>
  <c r="B29" i="1"/>
  <c r="C18" i="12" s="1"/>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27" i="12" s="1"/>
  <c r="C25"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B6" i="74"/>
  <c r="D6" i="74" s="1"/>
  <c r="C23" i="68" l="1"/>
  <c r="C20" i="68"/>
  <c r="C28" i="68" l="1"/>
  <c r="C27" i="68" s="1"/>
  <c r="C25" i="68"/>
  <c r="C22" i="68" s="1"/>
  <c r="C31" i="68" l="1"/>
  <c r="C52" i="68" s="1"/>
  <c r="B2" i="68" s="1"/>
  <c r="C19" i="9"/>
  <c r="B3" i="68"/>
  <c r="C57" i="68" l="1"/>
  <c r="D22" i="9"/>
  <c r="G19" i="9"/>
  <c r="G21" i="9" s="1"/>
  <c r="C102" i="9"/>
  <c r="C21" i="9"/>
  <c r="C20" i="9"/>
  <c r="D35" i="9"/>
  <c r="G20" i="9" l="1"/>
  <c r="C103" i="9"/>
  <c r="C56" i="68"/>
  <c r="C32" i="9"/>
  <c r="C35" i="9" s="1"/>
  <c r="F118" i="9" s="1"/>
  <c r="G118" i="9" s="1"/>
  <c r="G4" i="52" s="1"/>
  <c r="B52" i="72" s="1"/>
  <c r="D34" i="9"/>
  <c r="H118" i="9" l="1"/>
  <c r="H119" i="9" s="1"/>
  <c r="H5" i="52" s="1"/>
  <c r="C34" i="9"/>
  <c r="D118" i="9" s="1"/>
  <c r="D4" i="52" s="1"/>
  <c r="B47" i="72" s="1"/>
  <c r="C104" i="9"/>
  <c r="F119" i="9"/>
  <c r="F5" i="52" s="1"/>
  <c r="B53" i="72" s="1"/>
  <c r="H4" i="52"/>
  <c r="I118" i="9"/>
  <c r="F4" i="52"/>
  <c r="B51" i="72" s="1"/>
  <c r="D119" i="9" l="1"/>
  <c r="D5" i="52" s="1"/>
  <c r="B49" i="72" s="1"/>
  <c r="H101" i="9"/>
  <c r="D45" i="9" s="1"/>
  <c r="D55" i="9" s="1"/>
  <c r="M53" i="9" s="1"/>
  <c r="I4" i="52"/>
  <c r="E118" i="9"/>
  <c r="E4" i="52" s="1"/>
  <c r="B48" i="72" s="1"/>
  <c r="H102" i="9"/>
  <c r="E14" i="74" s="1"/>
  <c r="C105" i="9"/>
  <c r="M48" i="9" l="1"/>
  <c r="D5" i="53"/>
  <c r="D14" i="74"/>
  <c r="F14" i="74" s="1"/>
  <c r="H107" i="9"/>
  <c r="C78" i="9"/>
  <c r="C73" i="9" s="1"/>
  <c r="D53" i="9"/>
  <c r="D48" i="9" s="1"/>
  <c r="M52" i="9" s="1"/>
  <c r="C93" i="9"/>
  <c r="C86" i="9" s="1"/>
  <c r="C64" i="9"/>
  <c r="C63" i="9" s="1"/>
  <c r="C67" i="9" s="1"/>
  <c r="C68" i="9" s="1"/>
  <c r="D54" i="9" s="1"/>
  <c r="D52" i="9"/>
  <c r="C85" i="9"/>
  <c r="C72" i="9"/>
  <c r="D7" i="53"/>
  <c r="B21" i="72" s="1"/>
  <c r="D59" i="9"/>
  <c r="M55" i="9" s="1"/>
  <c r="B5" i="74" l="1"/>
  <c r="D6" i="53"/>
  <c r="B22" i="72" s="1"/>
  <c r="B20" i="72"/>
  <c r="D13" i="53"/>
  <c r="D122" i="9"/>
  <c r="M49" i="9"/>
  <c r="H108" i="9"/>
  <c r="C79" i="9"/>
  <c r="C80" i="9" s="1"/>
  <c r="E80" i="9" s="1"/>
  <c r="E81" i="9" s="1"/>
  <c r="C95" i="9"/>
  <c r="D5" i="74" l="1"/>
  <c r="C5" i="74"/>
  <c r="D15" i="53"/>
  <c r="B31" i="72" s="1"/>
  <c r="C6" i="74"/>
  <c r="L67" i="9"/>
  <c r="M67" i="9" s="1"/>
  <c r="L64" i="9"/>
  <c r="M64" i="9" s="1"/>
  <c r="L63" i="9"/>
  <c r="M63" i="9" s="1"/>
  <c r="L65" i="9"/>
  <c r="M65" i="9" s="1"/>
  <c r="L66" i="9"/>
  <c r="M66" i="9" s="1"/>
  <c r="L68" i="9"/>
  <c r="M68" i="9" s="1"/>
  <c r="D123" i="9"/>
  <c r="D9" i="52" s="1"/>
  <c r="D8" i="52"/>
  <c r="B30" i="72"/>
  <c r="D14" i="53"/>
  <c r="B32" i="72" s="1"/>
  <c r="C81" i="9"/>
  <c r="C96" i="9"/>
  <c r="E96" i="9" s="1"/>
  <c r="E97" i="9" s="1"/>
  <c r="M69" i="9" l="1"/>
  <c r="N69" i="9" s="1"/>
  <c r="C97" i="9"/>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<sst xmlns="http://schemas.openxmlformats.org/spreadsheetml/2006/main" count="8238" uniqueCount="3615">
  <si>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</si>
  <si>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</si>
  <si>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</si>
  <si>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</si>
  <si>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</si>
  <si>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</si>
  <si>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</si>
  <si>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</si>
  <si>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</si>
  <si>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</si>
  <si>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</si>
  <si>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</si>
  <si>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</si>
  <si>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</si>
  <si>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</si>
  <si>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</si>
  <si>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</si>
  <si>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</si>
  <si>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</si>
  <si>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</si>
  <si>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</si>
  <si>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</si>
  <si>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</si>
  <si>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</si>
  <si>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</si>
  <si>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</si>
  <si>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</si>
  <si>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</si>
  <si>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</si>
  <si>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</si>
  <si>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</si>
  <si>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</si>
  <si>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</si>
  <si>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</si>
  <si>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</si>
  <si>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</si>
  <si>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</si>
  <si>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</si>
  <si>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</si>
  <si>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</si>
  <si>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</si>
  <si>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</si>
  <si>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</si>
  <si>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</si>
  <si>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</si>
  <si>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</si>
  <si>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</si>
  <si>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</si>
  <si>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</si>
  <si>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</si>
  <si>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</si>
  <si>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</si>
  <si>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</si>
  <si>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</si>
  <si>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</si>
  <si>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</si>
  <si>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</si>
  <si>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</si>
  <si>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</si>
  <si>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</si>
  <si>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</si>
  <si>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</si>
  <si>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</si>
  <si>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</si>
  <si>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</si>
  <si>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</si>
  <si>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</si>
  <si>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</si>
  <si>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</si>
  <si>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</si>
  <si>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</si>
  <si>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</si>
  <si>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</si>
  <si>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</si>
  <si>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</si>
  <si>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</si>
  <si>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</si>
  <si>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</si>
  <si>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</si>
  <si>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</si>
  <si>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</si>
  <si>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</si>
  <si>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</si>
  <si>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</si>
  <si>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</si>
  <si>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</si>
  <si>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</si>
  <si>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</si>
  <si>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</si>
  <si>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</si>
  <si>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</si>
  <si>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</si>
  <si>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</si>
  <si>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</si>
  <si>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</si>
  <si>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</si>
  <si>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</si>
  <si>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</si>
  <si>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</si>
  <si>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</si>
  <si>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</si>
  <si>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</si>
  <si>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</si>
  <si>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</si>
  <si>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</si>
  <si>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</si>
  <si>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</si>
  <si>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</si>
  <si>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</si>
  <si>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</si>
  <si>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</si>
  <si>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</si>
  <si>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</si>
  <si>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</si>
  <si>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</si>
  <si>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</si>
  <si>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</si>
  <si>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</si>
  <si>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</si>
  <si>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</si>
  <si>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</si>
  <si>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</si>
  <si>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</si>
  <si>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</si>
  <si>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</si>
  <si>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</si>
  <si>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</si>
  <si>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</si>
  <si>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</si>
  <si>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</si>
  <si>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</si>
  <si>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</si>
  <si>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</si>
  <si>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</si>
  <si>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</si>
  <si>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</si>
  <si>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</si>
  <si>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</si>
  <si>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</si>
  <si>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</si>
  <si>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</si>
  <si>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</si>
  <si>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</si>
  <si>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</si>
  <si>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</si>
  <si>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</si>
  <si>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</si>
  <si>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</si>
  <si>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</si>
  <si>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</si>
  <si>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</si>
  <si>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</si>
  <si>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</si>
  <si>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</si>
  <si>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</si>
  <si>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</si>
  <si>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</si>
  <si>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</si>
  <si>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</si>
  <si>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</si>
  <si>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</si>
  <si>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</si>
  <si>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</si>
  <si>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</si>
  <si>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</si>
  <si>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</si>
  <si>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</si>
  <si>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</si>
  <si>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</si>
  <si>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</si>
  <si>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</si>
  <si>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</si>
  <si>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</si>
  <si>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</si>
  <si>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</si>
  <si>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</si>
  <si>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</si>
  <si>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</si>
  <si>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</si>
  <si>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</si>
  <si>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</si>
  <si>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</si>
  <si>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</si>
  <si>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</si>
  <si>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</si>
  <si>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</si>
  <si>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</si>
  <si>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</si>
  <si>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</si>
  <si>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</si>
  <si>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</si>
  <si>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</si>
  <si>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</si>
  <si>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</si>
  <si>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</si>
  <si>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</si>
  <si>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</si>
  <si>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</si>
  <si>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</si>
  <si>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</si>
  <si>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</si>
  <si>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</si>
  <si>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</si>
  <si>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</si>
  <si>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</si>
  <si>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</si>
  <si>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</si>
  <si>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</si>
  <si>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</si>
  <si>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</si>
  <si>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</si>
  <si>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</si>
  <si>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</si>
  <si>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</si>
  <si>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</si>
  <si>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</si>
  <si>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</si>
  <si>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</si>
  <si>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</si>
  <si>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</si>
  <si>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</si>
  <si>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</si>
  <si>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</si>
  <si>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</si>
  <si>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</si>
  <si>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</si>
  <si>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</si>
  <si>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</si>
  <si>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</si>
  <si>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</si>
  <si>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</si>
  <si>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</si>
  <si>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</si>
  <si>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</si>
  <si>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</si>
  <si>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</si>
  <si>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</si>
  <si>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</si>
  <si>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</si>
  <si>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</si>
  <si>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</si>
  <si>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</si>
  <si>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</si>
  <si>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</si>
  <si>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</si>
  <si>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</si>
  <si>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</si>
  <si>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</si>
  <si>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</si>
  <si>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</si>
  <si>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</si>
  <si>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</si>
  <si>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</si>
  <si>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</si>
  <si>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</si>
  <si>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</si>
  <si>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</si>
  <si>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</si>
  <si>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</si>
  <si>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</si>
  <si>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</si>
  <si>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</si>
  <si>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</si>
  <si>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</si>
  <si>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</si>
  <si>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</si>
  <si>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</si>
  <si>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</si>
  <si>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</si>
  <si>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</si>
  <si>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</si>
  <si>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</si>
  <si>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</si>
  <si>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</si>
  <si>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</si>
  <si>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</si>
  <si>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</si>
  <si>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</si>
  <si>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</si>
  <si>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</si>
  <si>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</si>
  <si>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</si>
  <si>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</si>
  <si>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</si>
  <si>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</si>
  <si>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</si>
  <si>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</si>
  <si>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</si>
  <si>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</si>
  <si>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</si>
  <si>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</si>
  <si>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</si>
  <si>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</si>
  <si>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</si>
  <si>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</si>
  <si>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</si>
  <si>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</si>
  <si>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</si>
  <si>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</si>
  <si>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</si>
  <si>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</si>
  <si>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</si>
  <si>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</si>
  <si>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</si>
  <si>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</si>
  <si>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</si>
  <si>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</si>
  <si>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</si>
  <si>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</si>
  <si>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</si>
  <si>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</si>
  <si>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</si>
  <si>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</si>
  <si>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</si>
  <si>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</si>
  <si>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</si>
  <si>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</si>
  <si>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</si>
  <si>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</si>
  <si>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</si>
  <si>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</si>
  <si>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</si>
  <si>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</si>
  <si>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</si>
  <si>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</si>
  <si>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</si>
  <si>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</si>
  <si>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</si>
  <si>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</si>
  <si>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</si>
  <si>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</si>
  <si>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</si>
  <si>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</si>
  <si>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</si>
  <si>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</si>
  <si>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</si>
  <si>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</si>
  <si>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</si>
  <si>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</si>
  <si>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</si>
  <si>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</si>
  <si>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</si>
  <si>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</si>
  <si>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</si>
  <si>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</si>
  <si>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</si>
  <si>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</si>
  <si>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</si>
  <si>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</si>
  <si>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</si>
  <si>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</si>
  <si>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</si>
  <si>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</si>
  <si>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</si>
  <si>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</si>
  <si>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</si>
  <si>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</si>
  <si>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</si>
  <si>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</si>
  <si>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</si>
  <si>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</si>
  <si>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</si>
  <si>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</si>
  <si>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</si>
  <si>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</si>
  <si>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</si>
  <si>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</si>
  <si>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</si>
  <si>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</si>
  <si>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</si>
  <si>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</si>
  <si>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</si>
  <si>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</si>
  <si>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</si>
  <si>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</si>
  <si>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</si>
  <si>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</si>
  <si>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</si>
  <si>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</si>
  <si>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</si>
  <si>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</si>
  <si>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</si>
  <si>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</si>
  <si>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</si>
  <si>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</si>
  <si>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</si>
  <si>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</si>
  <si>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</si>
  <si>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</si>
  <si>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</si>
  <si>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</si>
  <si>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</si>
  <si>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</si>
  <si>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</si>
  <si>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</si>
  <si>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</si>
  <si>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</si>
  <si>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</si>
  <si>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</si>
  <si>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</si>
  <si>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</si>
  <si>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</si>
  <si>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</si>
  <si>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</si>
  <si>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</si>
  <si>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</si>
  <si>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</si>
  <si>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</si>
  <si>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</si>
  <si>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</si>
  <si>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</si>
  <si>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</si>
  <si>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</si>
  <si>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</si>
  <si>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</si>
  <si>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</si>
  <si>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</si>
  <si>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</si>
  <si>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</si>
  <si>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</si>
  <si>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</si>
  <si>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</si>
  <si>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</si>
  <si>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</si>
  <si>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</si>
  <si>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</si>
  <si>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</si>
  <si>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</si>
  <si>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</si>
  <si>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</si>
  <si>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</si>
  <si>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</si>
  <si>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</si>
  <si>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</si>
  <si>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</si>
  <si>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</si>
  <si>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</si>
  <si>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</si>
  <si>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</si>
  <si>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</si>
  <si>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</si>
  <si>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</si>
  <si>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</si>
  <si>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</si>
  <si>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</si>
  <si>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</si>
  <si>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</si>
  <si>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</si>
  <si>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</si>
  <si>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</si>
  <si>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</si>
  <si>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</si>
  <si>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</si>
  <si>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</si>
  <si>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</si>
  <si>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</si>
  <si>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</si>
  <si>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</si>
  <si>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</si>
  <si>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</si>
  <si>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</si>
  <si>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</si>
  <si>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</si>
  <si>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</si>
  <si>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</si>
  <si>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</si>
  <si>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</si>
  <si>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</si>
  <si>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</si>
  <si>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</si>
  <si>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</si>
  <si>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</si>
  <si>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</si>
  <si>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</si>
  <si>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</si>
  <si>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</si>
  <si>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</si>
  <si>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</si>
  <si>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</si>
  <si>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</si>
  <si>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</si>
  <si>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</si>
  <si>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</si>
  <si>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</si>
  <si>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</si>
  <si>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</si>
  <si>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</si>
  <si>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</si>
  <si>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</si>
  <si>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</si>
  <si>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</si>
  <si>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</si>
  <si>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</si>
  <si>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</si>
  <si>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</si>
  <si>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</si>
  <si>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</si>
  <si>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</si>
  <si>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</si>
  <si>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</si>
  <si>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</si>
  <si>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</si>
  <si>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</si>
  <si>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</si>
  <si>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</si>
  <si>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</si>
  <si>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</si>
  <si>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</si>
  <si>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</si>
  <si>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</si>
  <si>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</si>
  <si>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</si>
  <si>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</si>
  <si>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</si>
  <si>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</si>
  <si>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</si>
  <si>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</si>
  <si>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</si>
  <si>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</si>
  <si>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</si>
  <si>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</si>
  <si>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</si>
  <si>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</si>
  <si>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</si>
  <si>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</si>
  <si>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</si>
  <si>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</si>
  <si>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</si>
  <si>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</si>
  <si>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</si>
  <si>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</si>
  <si>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</si>
  <si>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</si>
  <si>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</si>
  <si>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</si>
  <si>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</si>
  <si>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</si>
  <si>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</si>
  <si>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</si>
  <si>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</si>
  <si>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</si>
  <si>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</si>
  <si>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</si>
  <si>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</si>
  <si>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</si>
  <si>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</si>
  <si>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</si>
  <si>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</si>
  <si>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</si>
  <si>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</si>
  <si>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</si>
  <si>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</si>
  <si>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</si>
  <si>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</si>
  <si>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</si>
  <si>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</si>
  <si>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</si>
  <si>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</si>
  <si>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</si>
  <si>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</si>
  <si>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</si>
  <si>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</si>
  <si>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</si>
  <si>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</si>
  <si>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</si>
  <si>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</si>
  <si>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</si>
  <si>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</si>
  <si>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</si>
  <si>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</si>
  <si>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</si>
  <si>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</si>
  <si>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</si>
  <si>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</si>
  <si>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</si>
  <si>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</si>
  <si>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</si>
  <si>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</si>
  <si>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</si>
  <si>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</si>
  <si>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</si>
  <si>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</si>
  <si>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</si>
  <si>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</si>
  <si>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</si>
  <si>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</si>
  <si>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</si>
  <si>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</si>
  <si>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</si>
  <si>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</si>
  <si>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</si>
  <si>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</si>
  <si>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</si>
  <si>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</si>
  <si>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</si>
  <si>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</si>
  <si>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</si>
  <si>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</si>
  <si>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</si>
  <si>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</si>
  <si>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</si>
  <si>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</si>
  <si>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</si>
  <si>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</si>
  <si>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</si>
  <si>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</si>
  <si>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</si>
  <si>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</si>
  <si>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</si>
  <si>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</si>
  <si>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</si>
  <si>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</si>
  <si>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</si>
  <si>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</si>
  <si>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</si>
  <si>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</si>
  <si>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</si>
  <si>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</si>
  <si>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</si>
  <si>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</si>
  <si>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</si>
  <si>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</si>
  <si>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</si>
  <si>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</si>
  <si>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</si>
  <si>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</si>
  <si>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</si>
  <si>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</si>
  <si>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</si>
  <si>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</si>
  <si>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</si>
  <si>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</si>
  <si>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</si>
  <si>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</si>
  <si>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</si>
  <si>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</si>
  <si>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</si>
  <si>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</si>
  <si>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</si>
  <si>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</si>
  <si>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</si>
  <si>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</si>
  <si>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</si>
  <si>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</si>
  <si>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</si>
  <si>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</si>
  <si>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</si>
  <si>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</si>
  <si>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</si>
  <si>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</si>
  <si>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</si>
  <si>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</si>
  <si>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</si>
  <si>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</si>
  <si>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</si>
  <si>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</si>
  <si>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</si>
  <si>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</si>
  <si>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</si>
  <si>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</si>
  <si>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</si>
  <si>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</si>
  <si>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</si>
  <si>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</si>
  <si>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</si>
  <si>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</si>
  <si>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</si>
  <si>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</si>
  <si>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</si>
  <si>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</si>
  <si>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</si>
  <si>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</si>
  <si>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</si>
  <si>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</si>
  <si>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</si>
  <si>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</si>
  <si>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</si>
  <si>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</si>
  <si>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</si>
  <si>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</si>
  <si>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</si>
  <si>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</si>
  <si>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</si>
  <si>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</si>
  <si>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</si>
  <si>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</si>
  <si>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</si>
  <si>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</si>
  <si>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</si>
  <si>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</si>
  <si>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</si>
  <si>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</si>
  <si>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</si>
  <si>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</si>
  <si>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</si>
  <si>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</si>
  <si>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</si>
  <si>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</si>
  <si>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</si>
  <si>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</si>
  <si>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</si>
  <si>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</si>
  <si>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</si>
  <si>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</si>
  <si>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</si>
  <si>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</si>
  <si>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</si>
  <si>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</si>
  <si>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</si>
  <si>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</si>
  <si>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</si>
  <si>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</si>
  <si>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</si>
  <si>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</si>
  <si>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</si>
  <si>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</si>
  <si>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</si>
  <si>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</si>
  <si>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</si>
  <si>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</si>
  <si>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</si>
  <si>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</si>
  <si>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</si>
  <si>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</si>
  <si>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</si>
  <si>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</si>
  <si>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</si>
  <si>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</si>
  <si>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</si>
  <si>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</si>
  <si>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</si>
  <si>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</si>
  <si>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</si>
  <si>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</si>
  <si>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</si>
  <si>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</si>
  <si>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</si>
  <si>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</si>
  <si>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</si>
  <si>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</si>
  <si>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</si>
  <si>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</si>
  <si>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</si>
  <si>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</si>
  <si>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</si>
  <si>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</si>
  <si>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</si>
  <si>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</si>
  <si>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</si>
  <si>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</si>
  <si>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</si>
  <si>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</si>
  <si>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</si>
  <si>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</si>
  <si>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</si>
  <si>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</si>
  <si>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</si>
  <si>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</si>
  <si>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</si>
  <si>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</si>
  <si>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</si>
  <si>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</si>
  <si>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</si>
  <si>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</si>
  <si>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</si>
  <si>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</si>
  <si>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</si>
  <si>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</si>
  <si>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</si>
  <si>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</si>
  <si>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</si>
  <si>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</si>
  <si>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</si>
  <si>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</si>
  <si>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</si>
  <si>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</si>
  <si>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</si>
  <si>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</si>
  <si>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</si>
  <si>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</si>
  <si>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</si>
  <si>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</si>
  <si>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</si>
  <si>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</si>
  <si>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</si>
  <si>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</si>
  <si>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</si>
  <si>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</si>
  <si>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</si>
  <si>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</si>
  <si>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</si>
  <si>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</si>
  <si>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</si>
  <si>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</si>
  <si>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</si>
  <si>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</si>
  <si>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</si>
  <si>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</si>
  <si>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</si>
  <si>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</si>
  <si>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</si>
  <si>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</si>
  <si>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</si>
  <si>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</si>
  <si>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</si>
  <si>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</si>
  <si>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</si>
  <si>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</si>
  <si>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</si>
  <si>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</si>
  <si>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</si>
  <si>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</si>
  <si>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</si>
  <si>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</si>
  <si>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</si>
  <si>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</si>
  <si>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</si>
  <si>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</si>
  <si>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</si>
  <si>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</si>
  <si>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</si>
  <si>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</si>
  <si>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</si>
  <si>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</si>
  <si>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</si>
  <si>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</si>
  <si>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</si>
  <si>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</si>
  <si>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</si>
  <si>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</si>
  <si>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</si>
  <si>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</si>
  <si>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</si>
  <si>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</si>
  <si>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</si>
  <si>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</si>
  <si>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</si>
  <si>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</si>
  <si>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</si>
  <si>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</si>
  <si>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</si>
  <si>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</si>
  <si>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</si>
  <si>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</si>
  <si>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</si>
  <si>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</si>
  <si>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</si>
  <si>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</si>
  <si>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</si>
  <si>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</si>
  <si>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</si>
  <si>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</si>
  <si>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</si>
  <si>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</si>
  <si>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</si>
  <si>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</si>
  <si>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</si>
  <si>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</si>
  <si>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</si>
  <si>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</si>
  <si>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</si>
  <si>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</si>
  <si>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</si>
  <si>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</si>
  <si>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</si>
  <si>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</si>
  <si>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</si>
  <si>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</si>
  <si>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</si>
  <si>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</si>
  <si>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</si>
  <si>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</si>
  <si>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</si>
  <si>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</si>
  <si>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</si>
  <si>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</si>
  <si>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</si>
  <si>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</si>
  <si>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</si>
  <si>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</si>
  <si>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</si>
  <si>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</si>
  <si>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</si>
  <si>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</si>
  <si>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</si>
  <si>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</si>
  <si>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</si>
  <si>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</si>
  <si>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</si>
  <si>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</si>
  <si>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</si>
  <si>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</si>
  <si>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</si>
  <si>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</si>
  <si>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</si>
  <si>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</si>
  <si>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</si>
  <si>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</si>
  <si>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</si>
  <si>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</si>
  <si>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</si>
  <si>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</si>
  <si>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</si>
  <si>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</si>
  <si>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</si>
  <si>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</si>
  <si>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</si>
  <si>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</si>
  <si>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</si>
  <si>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</si>
  <si>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</si>
  <si>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</si>
  <si>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</si>
  <si>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</si>
  <si>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</si>
  <si>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</si>
  <si>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</si>
  <si>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</si>
  <si>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</si>
  <si>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</si>
  <si>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</si>
  <si>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</si>
  <si>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</si>
  <si>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</si>
  <si>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</si>
  <si>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</si>
  <si>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</si>
  <si>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</si>
  <si>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</si>
  <si>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</si>
  <si>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</si>
  <si>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</si>
  <si>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</si>
  <si>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</si>
  <si>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</si>
  <si>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</si>
  <si>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</si>
  <si>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</si>
  <si>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</si>
  <si>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</si>
  <si>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</si>
  <si>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</si>
  <si>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</si>
  <si>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</si>
  <si>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</si>
  <si>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</si>
  <si>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</si>
  <si>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</si>
  <si>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</si>
  <si>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</si>
  <si>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</si>
  <si>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</si>
  <si>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</si>
  <si>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</si>
  <si>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</si>
  <si>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</si>
  <si>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</si>
  <si>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</si>
  <si>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</si>
  <si>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</si>
  <si>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</si>
  <si>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</si>
  <si>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</si>
  <si>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</si>
  <si>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</si>
  <si>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</si>
  <si>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</si>
  <si>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</si>
  <si>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</si>
  <si>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</si>
  <si>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</si>
  <si>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</si>
  <si>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</si>
  <si>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</si>
  <si>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</si>
  <si>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</si>
  <si>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</si>
  <si>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</si>
  <si>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</si>
  <si>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</si>
  <si>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</si>
  <si>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</si>
  <si>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</si>
  <si>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</si>
  <si>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</si>
  <si>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</si>
  <si>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</si>
  <si>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</si>
  <si>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</si>
  <si>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</si>
  <si>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</si>
  <si>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</si>
  <si>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</si>
  <si>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</si>
  <si>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</si>
  <si>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</si>
  <si>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</si>
  <si>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</si>
  <si>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</si>
  <si>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</si>
  <si>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</si>
  <si>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</si>
  <si>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</si>
  <si>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</si>
  <si>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</si>
  <si>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</si>
  <si>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</si>
  <si>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</si>
  <si>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</si>
  <si>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</si>
  <si>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</si>
  <si>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</si>
  <si>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</si>
  <si>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</si>
  <si>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</si>
  <si>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</si>
  <si>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</si>
  <si>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</si>
  <si>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</si>
  <si>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</si>
  <si>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</si>
  <si>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</si>
  <si>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</si>
  <si>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</si>
  <si>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</si>
  <si>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</si>
  <si>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</si>
  <si>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</si>
  <si>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</si>
  <si>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</si>
  <si>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</si>
  <si>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</si>
  <si>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</si>
  <si>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</si>
  <si>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</si>
  <si>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</si>
  <si>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</si>
  <si>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</si>
  <si>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</si>
  <si>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</si>
  <si>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</si>
  <si>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</si>
  <si>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</si>
  <si>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</si>
  <si>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</si>
  <si>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</si>
  <si>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</si>
  <si>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</si>
  <si>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</si>
  <si>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</si>
  <si>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</si>
  <si>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</si>
  <si>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</si>
  <si>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</si>
  <si>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</si>
  <si>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</si>
  <si>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</si>
  <si>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</si>
  <si>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</si>
  <si>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</si>
  <si>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</si>
  <si>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</si>
  <si>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</si>
  <si>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</si>
  <si>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</si>
  <si>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</si>
  <si>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</si>
  <si>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</si>
  <si>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</si>
  <si>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</si>
  <si>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</si>
  <si>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</si>
  <si>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</si>
  <si>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</si>
  <si>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</si>
  <si>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</si>
  <si>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</si>
  <si>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</si>
  <si>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</si>
  <si>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</si>
  <si>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</si>
  <si>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</si>
  <si>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</si>
  <si>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</si>
  <si>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</si>
  <si>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</si>
  <si>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</si>
  <si>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</si>
  <si>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</si>
  <si>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</si>
  <si>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</si>
  <si>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</si>
  <si>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</si>
  <si>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</si>
  <si>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</si>
  <si>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</si>
  <si>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</si>
  <si>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</si>
  <si>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</si>
  <si>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</si>
  <si>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</si>
  <si>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</si>
  <si>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</si>
  <si>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</si>
  <si>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</si>
  <si>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</si>
  <si>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</si>
  <si>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</si>
  <si>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</si>
  <si>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</si>
  <si>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</si>
  <si>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</si>
  <si>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</si>
  <si>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</si>
  <si>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</si>
  <si>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</si>
  <si>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</si>
  <si>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</si>
  <si>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</si>
  <si>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</si>
  <si>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</si>
  <si>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</si>
  <si>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</si>
  <si>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</si>
  <si>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</si>
  <si>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</si>
  <si>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</si>
  <si>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</si>
  <si>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</si>
  <si>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</si>
  <si>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</si>
  <si>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</si>
  <si>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</si>
  <si>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</si>
  <si>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</si>
  <si>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</si>
  <si>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</si>
  <si>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</si>
  <si>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</si>
  <si>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</si>
  <si>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</si>
  <si>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</si>
  <si>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</si>
  <si>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</si>
  <si>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</si>
  <si>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</si>
  <si>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</si>
  <si>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</si>
  <si>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</si>
  <si>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</si>
  <si>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</si>
  <si>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</si>
  <si>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</si>
  <si>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</si>
  <si>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</si>
  <si>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</si>
  <si>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</si>
  <si>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</si>
  <si>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</si>
  <si>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</si>
  <si>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</si>
  <si>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</si>
  <si>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</si>
  <si>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</si>
  <si>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</si>
  <si>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</si>
  <si>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</si>
  <si>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</si>
  <si>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</si>
  <si>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</si>
  <si>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</si>
  <si>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</si>
  <si>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</si>
  <si>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</si>
  <si>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</si>
  <si>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</si>
  <si>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</si>
  <si>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</si>
  <si>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</si>
  <si>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</si>
  <si>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</si>
  <si>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</si>
  <si>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</si>
  <si>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</si>
  <si>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</si>
  <si>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</si>
  <si>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</si>
  <si>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</si>
  <si>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</si>
  <si>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</si>
  <si>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</si>
  <si>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</si>
  <si>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</si>
  <si>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</si>
  <si>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</si>
  <si>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</si>
  <si>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</si>
  <si>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</si>
  <si>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</si>
  <si>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</si>
  <si>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</si>
  <si>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</si>
  <si>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</si>
  <si>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</si>
  <si>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</si>
  <si>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</si>
  <si>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</si>
  <si>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</si>
  <si>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</si>
  <si>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</si>
  <si>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</si>
  <si>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</si>
  <si>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</si>
  <si>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</si>
  <si>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</si>
  <si>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</si>
  <si>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</si>
  <si>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</si>
  <si>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</si>
  <si>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</si>
  <si>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</si>
  <si>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</si>
  <si>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</si>
  <si>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</si>
  <si>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</si>
  <si>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</si>
  <si>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</si>
  <si>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</si>
  <si>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</si>
  <si>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</si>
  <si>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</si>
  <si>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</si>
  <si>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</si>
  <si>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</si>
  <si>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</si>
  <si>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</si>
  <si>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</si>
  <si>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</si>
  <si>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</si>
  <si>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</si>
  <si>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</si>
  <si>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</si>
  <si>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</si>
  <si>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</si>
  <si>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</si>
  <si>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</si>
  <si>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</si>
  <si>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</si>
  <si>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</si>
  <si>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</si>
  <si>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</si>
  <si>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</si>
  <si>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</si>
  <si>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</si>
  <si>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</si>
  <si>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</si>
  <si>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</si>
  <si>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</si>
  <si>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</si>
  <si>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</si>
  <si>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</si>
  <si>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</si>
  <si>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</si>
  <si>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</si>
  <si>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</si>
  <si>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</si>
  <si>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</si>
  <si>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</si>
  <si>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</si>
  <si>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</si>
  <si>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</si>
  <si>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</si>
  <si>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</si>
  <si>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</si>
  <si>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</si>
  <si>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</si>
  <si>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</si>
  <si>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</si>
  <si>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</si>
  <si>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</si>
  <si>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</si>
  <si>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</si>
  <si>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</si>
  <si>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</si>
  <si>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</si>
  <si>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</si>
  <si>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</si>
  <si>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</si>
  <si>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</si>
  <si>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</si>
  <si>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</si>
  <si>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</si>
  <si>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</si>
  <si>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</si>
  <si>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</si>
  <si>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</si>
  <si>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</si>
  <si>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</si>
  <si>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</si>
  <si>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</si>
  <si>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</si>
  <si>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</si>
  <si>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</si>
  <si>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</si>
  <si>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</si>
  <si>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</si>
  <si>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</si>
  <si>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</si>
  <si>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</si>
  <si>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</si>
  <si>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</si>
  <si>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</si>
  <si>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</si>
  <si>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</si>
  <si>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</si>
  <si>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</si>
  <si>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</si>
  <si>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</si>
  <si>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</si>
  <si>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</si>
  <si>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</si>
  <si>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</si>
  <si>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</si>
  <si>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</si>
  <si>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</si>
  <si>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</si>
  <si>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</si>
  <si>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</si>
  <si>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</si>
  <si>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</si>
  <si>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</si>
  <si>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</si>
  <si>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</si>
  <si>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</si>
  <si>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</si>
  <si>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</si>
  <si>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</si>
  <si>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</si>
  <si>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</si>
  <si>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</si>
  <si>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</si>
  <si>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</si>
  <si>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</si>
  <si>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</si>
  <si>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</si>
  <si>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</si>
  <si>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</si>
  <si>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</si>
  <si>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</si>
  <si>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</si>
  <si>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</si>
  <si>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</si>
  <si>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</si>
  <si>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</si>
  <si>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</si>
  <si>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</si>
  <si>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</si>
  <si>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</si>
  <si>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</si>
  <si>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</si>
  <si>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</si>
  <si>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</si>
  <si>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</si>
  <si>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</si>
  <si>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</si>
  <si>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</si>
  <si>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</si>
  <si>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</si>
  <si>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</si>
  <si>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</si>
  <si>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</si>
  <si>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</si>
  <si>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</si>
  <si>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</si>
  <si>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</si>
  <si>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</si>
  <si>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</si>
  <si>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</si>
  <si>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</si>
  <si>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</si>
  <si>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</si>
  <si>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</si>
  <si>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</si>
  <si>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</si>
  <si>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</si>
  <si>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</si>
  <si>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</si>
  <si>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</si>
  <si>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</si>
  <si>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</si>
  <si>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</si>
  <si>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</si>
  <si>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</si>
  <si>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</si>
  <si>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</si>
  <si>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</si>
  <si>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</si>
  <si>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</si>
  <si>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</si>
  <si>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</si>
  <si>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</si>
  <si>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</si>
  <si>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</si>
  <si>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</si>
  <si>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</si>
  <si>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</si>
  <si>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</si>
  <si>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</si>
  <si>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</si>
  <si>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</si>
  <si>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</si>
  <si>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</si>
  <si>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</si>
  <si>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</si>
  <si>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</si>
  <si>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</si>
  <si>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</si>
  <si>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</si>
  <si>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</si>
  <si>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</si>
  <si>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</si>
  <si>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</si>
  <si>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</si>
  <si>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</si>
  <si>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</si>
  <si>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</si>
  <si>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</si>
  <si>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</si>
  <si>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</si>
  <si>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</si>
  <si>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</si>
  <si>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</si>
  <si>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</si>
  <si>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</si>
  <si>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</si>
  <si>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</si>
  <si>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</si>
  <si>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</si>
  <si>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</si>
  <si>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</si>
  <si>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</si>
  <si>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</si>
  <si>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</si>
  <si>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</si>
  <si>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</si>
  <si>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</si>
  <si>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</si>
  <si>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</si>
  <si>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</si>
  <si>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</si>
  <si>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</si>
  <si>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</si>
  <si>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</si>
  <si>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</si>
  <si>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</si>
  <si>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</si>
  <si>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</si>
  <si>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</si>
  <si>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</si>
  <si>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</si>
  <si>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</si>
  <si>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</si>
  <si>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</si>
  <si>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</si>
  <si>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</si>
  <si>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</si>
  <si>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</si>
  <si>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</si>
  <si>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</si>
  <si>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</si>
  <si>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</si>
  <si>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</si>
  <si>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</si>
  <si>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</si>
  <si>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</si>
  <si>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</si>
  <si>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</si>
  <si>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</si>
  <si>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</si>
  <si>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</si>
  <si>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</si>
  <si>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</si>
  <si>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</si>
  <si>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</si>
  <si>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</si>
  <si>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</si>
  <si>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</si>
  <si>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</si>
  <si>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</si>
  <si>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</si>
  <si>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</si>
  <si>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</si>
  <si>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</si>
  <si>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</si>
  <si>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</si>
  <si>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</si>
  <si>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</si>
  <si>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</si>
  <si>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</si>
  <si>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</si>
  <si>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</si>
  <si>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</si>
  <si>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</si>
  <si>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</si>
  <si>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</si>
  <si>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</si>
  <si>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</si>
  <si>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</si>
  <si>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</si>
  <si>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</si>
  <si>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</si>
  <si>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</si>
  <si>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</si>
  <si>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</si>
  <si>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</si>
  <si>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</si>
  <si>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</si>
  <si>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</si>
  <si>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</si>
  <si>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</si>
  <si>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</si>
  <si>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</si>
  <si>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</si>
  <si>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</si>
  <si>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</si>
  <si>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</si>
  <si>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</si>
  <si>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</si>
  <si>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</si>
  <si>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</si>
  <si>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</si>
  <si>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</si>
  <si>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</si>
  <si>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</si>
  <si>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</si>
  <si>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</si>
  <si>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</si>
  <si>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</si>
  <si>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</si>
  <si>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</si>
  <si>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</si>
  <si>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</si>
  <si>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</si>
  <si>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</si>
  <si>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</si>
  <si>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</si>
  <si>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</si>
  <si>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</si>
  <si>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</si>
  <si>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</si>
  <si>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</si>
  <si>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</si>
  <si>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</si>
  <si>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</si>
  <si>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</si>
  <si>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</si>
  <si>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</si>
  <si>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</si>
  <si>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</si>
  <si>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</si>
  <si>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</si>
  <si>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</si>
  <si>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</si>
  <si>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</si>
  <si>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</si>
  <si>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</si>
  <si>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</si>
  <si>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</si>
  <si>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</si>
  <si>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</si>
  <si>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</si>
  <si>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</si>
  <si>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</si>
  <si>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</si>
  <si>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</si>
  <si>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</si>
  <si>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</si>
  <si>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</si>
  <si>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</si>
  <si>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</si>
  <si>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</si>
  <si>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</si>
  <si>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</si>
  <si>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</si>
  <si>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</si>
  <si>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</si>
  <si>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</si>
  <si>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</si>
  <si>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</si>
  <si>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</si>
  <si>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</si>
  <si>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</si>
  <si>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</si>
  <si>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</si>
  <si>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</si>
  <si>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</si>
  <si>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</si>
  <si>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</si>
  <si>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</si>
  <si>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</si>
  <si>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</si>
  <si>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</si>
  <si>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</si>
  <si>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</si>
  <si>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</si>
  <si>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</si>
  <si>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</si>
  <si>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</si>
  <si>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</si>
  <si>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</si>
  <si>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</si>
  <si>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</si>
  <si>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</si>
  <si>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</si>
  <si>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</si>
  <si>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</si>
  <si>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</si>
  <si>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</si>
  <si>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</si>
  <si>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</si>
  <si>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</si>
  <si>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</si>
  <si>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</si>
  <si>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</si>
  <si>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</si>
  <si>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</si>
  <si>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</si>
  <si>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</si>
  <si>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</si>
  <si>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</si>
  <si>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</si>
  <si>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</si>
  <si>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</si>
  <si>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</si>
  <si>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</si>
  <si>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</si>
  <si>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</si>
  <si>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</si>
  <si>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</si>
  <si>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</si>
  <si>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</si>
  <si>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</si>
  <si>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</si>
  <si>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</si>
  <si>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</si>
  <si>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</si>
  <si>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</si>
  <si>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</si>
  <si>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</si>
  <si>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</si>
  <si>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</si>
  <si>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</si>
  <si>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</si>
  <si>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</si>
  <si>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</si>
  <si>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</si>
  <si>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</si>
  <si>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</si>
  <si>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</si>
  <si>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</si>
  <si>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</si>
  <si>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</si>
  <si>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</si>
  <si>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</si>
  <si>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</si>
  <si>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</si>
  <si>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</si>
  <si>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</si>
  <si>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</si>
  <si>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</si>
  <si>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</si>
  <si>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</si>
  <si>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</si>
  <si>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</si>
  <si>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</si>
  <si>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</si>
  <si>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</si>
  <si>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</si>
  <si>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</si>
  <si>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</si>
  <si>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</si>
  <si>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</si>
  <si>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</si>
  <si>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</si>
  <si>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</si>
  <si>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</si>
  <si>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</si>
  <si>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</si>
  <si>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</si>
  <si>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</si>
  <si>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</si>
  <si>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</si>
  <si>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</si>
  <si>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</si>
  <si>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</si>
  <si>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</si>
  <si>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</si>
  <si>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</si>
  <si>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</si>
  <si>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</si>
  <si>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</si>
  <si>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</si>
  <si>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</si>
  <si>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</si>
  <si>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</si>
  <si>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</si>
  <si>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</si>
  <si>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</si>
  <si>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</si>
  <si>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</si>
  <si>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</si>
  <si>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</si>
  <si>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</si>
  <si>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</si>
  <si>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</si>
  <si>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</si>
  <si>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</si>
  <si>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</si>
  <si>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</si>
  <si>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</si>
  <si>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</si>
  <si>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</si>
  <si>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</si>
  <si>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</si>
  <si>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</si>
  <si>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</si>
  <si>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</si>
  <si>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</si>
  <si>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</si>
  <si>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</si>
  <si>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</si>
  <si>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</si>
  <si>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</si>
  <si>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</si>
  <si>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</si>
  <si>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</si>
  <si>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</si>
  <si>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</si>
  <si>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</si>
  <si>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</si>
  <si>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</si>
  <si>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</si>
  <si>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</si>
  <si>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</si>
  <si>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</si>
  <si>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</si>
  <si>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</si>
  <si>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</si>
  <si>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</si>
  <si>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</si>
  <si>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</si>
  <si>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</si>
  <si>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</si>
  <si>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</si>
  <si>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</si>
  <si>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</si>
  <si>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</si>
  <si>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</si>
  <si>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</si>
  <si>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</si>
  <si>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</si>
  <si>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</si>
  <si>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</si>
  <si>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</si>
  <si>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</si>
  <si>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</si>
  <si>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</si>
  <si>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</si>
  <si>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</si>
  <si>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</si>
  <si>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</si>
  <si>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</si>
  <si>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</si>
  <si>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</si>
  <si>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</si>
  <si>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</si>
  <si>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</si>
  <si>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</si>
  <si>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</si>
  <si>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</si>
  <si>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</si>
  <si>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</si>
  <si>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</si>
  <si>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</si>
  <si>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</si>
  <si>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</si>
  <si>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</si>
  <si>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</si>
  <si>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</si>
  <si>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</si>
  <si>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</si>
  <si>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</si>
  <si>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</si>
  <si>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</si>
  <si>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</si>
  <si>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</si>
  <si>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</si>
  <si>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</si>
  <si>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</si>
  <si>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</si>
  <si>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</si>
  <si>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</si>
  <si>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</si>
  <si>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</si>
  <si>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</si>
  <si>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</si>
  <si>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</si>
  <si>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</si>
  <si>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</si>
  <si>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</si>
  <si>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</si>
  <si>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</si>
  <si>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</si>
  <si>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</si>
  <si>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</si>
  <si>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</si>
  <si>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</si>
  <si>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</si>
  <si>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</si>
  <si>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</si>
  <si>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</si>
  <si>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</si>
  <si>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</si>
  <si>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</si>
  <si>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</si>
  <si>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</si>
  <si>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</si>
  <si>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</si>
  <si>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</si>
  <si>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</si>
  <si>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</si>
  <si>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</si>
  <si>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</si>
  <si>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</si>
  <si>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</si>
  <si>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</si>
  <si>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</si>
  <si>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</si>
  <si>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</si>
  <si>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</si>
  <si>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</si>
  <si>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</si>
  <si>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</si>
  <si>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</si>
  <si>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</si>
  <si>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</si>
  <si>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</si>
  <si>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</si>
  <si>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</si>
  <si>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</si>
  <si>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</si>
  <si>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</si>
  <si>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</si>
  <si>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</si>
  <si>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</si>
  <si>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</si>
  <si>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</si>
  <si>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</si>
  <si>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</si>
  <si>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</si>
  <si>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</si>
  <si>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</si>
  <si>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</si>
  <si>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</si>
  <si>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</si>
  <si>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</si>
  <si>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</si>
  <si>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</si>
  <si>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</si>
  <si>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</si>
  <si>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</si>
  <si>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</si>
  <si>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</si>
  <si>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</si>
  <si>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</si>
  <si>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</si>
  <si>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</si>
  <si>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</si>
  <si>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</si>
  <si>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</si>
  <si>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</si>
  <si>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</si>
  <si>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</si>
  <si>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</si>
  <si>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</si>
  <si>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</si>
  <si>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</si>
  <si>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</si>
  <si>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</si>
  <si>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</si>
  <si>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</si>
  <si>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</si>
  <si>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</si>
  <si>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</si>
  <si>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</si>
  <si>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</si>
  <si>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</si>
  <si>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</si>
  <si>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</si>
  <si>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</si>
  <si>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</si>
  <si>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</si>
  <si>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</si>
  <si>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</si>
  <si>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</si>
  <si>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</si>
  <si>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</si>
  <si>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</si>
  <si>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</si>
  <si>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</si>
  <si>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</si>
  <si>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</si>
  <si>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</si>
  <si>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</si>
  <si>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</si>
  <si>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</si>
  <si>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</si>
  <si>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</si>
  <si>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</si>
  <si>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</si>
  <si>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</si>
  <si>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</si>
  <si>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</si>
  <si>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</si>
  <si>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</si>
  <si>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</si>
  <si>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</si>
  <si>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</si>
  <si>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</si>
  <si>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</si>
  <si>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</si>
  <si>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</si>
  <si>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</si>
  <si>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</si>
  <si>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</si>
  <si>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</si>
  <si>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</si>
  <si>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</si>
  <si>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</si>
  <si>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</si>
  <si>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</si>
  <si>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</si>
  <si>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</si>
  <si>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</si>
  <si>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</si>
  <si>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</si>
  <si>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</si>
  <si>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</si>
  <si>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</si>
  <si>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</si>
  <si>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</si>
  <si>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</si>
  <si>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</si>
  <si>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</si>
  <si>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</si>
  <si>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</si>
  <si>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</si>
  <si>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</si>
  <si>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</si>
  <si>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</si>
  <si>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</si>
  <si>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</si>
  <si>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</si>
  <si>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</si>
  <si>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</si>
  <si>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</si>
  <si>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</si>
  <si>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</si>
  <si>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</si>
  <si>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</si>
  <si>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</si>
  <si>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</si>
  <si>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</si>
  <si>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</si>
  <si>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</si>
  <si>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</si>
  <si>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</si>
  <si>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</si>
  <si>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</si>
  <si>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</si>
  <si>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</si>
  <si>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</si>
  <si>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</si>
  <si>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</si>
  <si>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</si>
  <si>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</si>
  <si>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</si>
  <si>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</si>
  <si>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</si>
  <si>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</si>
  <si>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</si>
  <si>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</si>
  <si>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</si>
  <si>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</si>
  <si>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</si>
  <si>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</si>
  <si>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</si>
  <si>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</si>
  <si>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</si>
  <si>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</si>
  <si>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</si>
  <si>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</si>
  <si>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</si>
  <si>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</si>
  <si>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</si>
  <si>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</si>
  <si>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</si>
  <si>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</si>
  <si>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</si>
  <si>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</si>
  <si>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</si>
  <si>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</si>
  <si>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</si>
  <si>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</si>
  <si>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</si>
  <si>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</si>
  <si>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</si>
  <si>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</si>
  <si>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</si>
  <si>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</si>
  <si>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</si>
  <si>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</si>
  <si>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</si>
  <si>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</si>
  <si>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</si>
  <si>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</si>
  <si>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</si>
  <si>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</si>
  <si>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</si>
  <si>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</si>
  <si>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</si>
  <si>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</si>
  <si>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</si>
  <si>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</si>
  <si>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</si>
  <si>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</si>
  <si>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</si>
  <si>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</si>
  <si>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</si>
  <si>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</si>
  <si>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</si>
  <si>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</si>
  <si>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</si>
  <si>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</si>
  <si>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</si>
  <si>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</si>
  <si>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</si>
  <si>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</si>
  <si>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</si>
  <si>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</si>
  <si>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</si>
  <si>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</si>
  <si>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</si>
  <si>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</si>
  <si>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</si>
  <si>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</si>
  <si>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</si>
  <si>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</si>
  <si>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</si>
  <si>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</si>
  <si>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</si>
  <si>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</si>
  <si>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</si>
  <si>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</si>
  <si>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</si>
  <si>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</si>
  <si>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</si>
  <si>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</si>
  <si>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</si>
  <si>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</si>
  <si>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</si>
  <si>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</si>
  <si>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</si>
  <si>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</si>
  <si>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</si>
  <si>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</si>
  <si>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</si>
  <si>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</si>
  <si>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</si>
  <si>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</si>
  <si>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</si>
  <si>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</si>
  <si>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</si>
  <si>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</si>
  <si>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</si>
  <si>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</si>
  <si>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</si>
  <si>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</si>
  <si>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</si>
  <si>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</si>
  <si>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</si>
  <si>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</si>
  <si>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</si>
  <si>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</si>
  <si>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</si>
  <si>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</si>
  <si>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</si>
  <si>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</si>
  <si>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</si>
  <si>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</si>
  <si>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</si>
  <si>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</si>
  <si>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</si>
  <si>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</si>
  <si>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</si>
  <si>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</si>
  <si>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</si>
  <si>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</si>
  <si>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</si>
  <si>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</si>
  <si>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</si>
  <si>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</si>
  <si>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</si>
  <si>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</si>
  <si>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</si>
  <si>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</si>
  <si>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</si>
  <si>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</si>
  <si>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</si>
  <si>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</si>
  <si>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</si>
  <si>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</si>
  <si>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</si>
  <si>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</si>
  <si>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</si>
  <si>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</si>
  <si>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</si>
  <si>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</si>
  <si>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</si>
  <si>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</si>
  <si>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</si>
  <si>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</si>
  <si>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</si>
  <si>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</si>
  <si>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</si>
  <si>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</si>
  <si>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</si>
  <si>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</si>
  <si>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</si>
  <si>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</si>
  <si>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</si>
  <si>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</si>
  <si>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</si>
  <si>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</si>
  <si>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</si>
  <si>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</si>
  <si>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</si>
  <si>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</si>
  <si>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</si>
  <si>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</si>
  <si>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</si>
  <si>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</si>
  <si>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</si>
  <si>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</si>
  <si>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</si>
  <si>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</si>
  <si>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</si>
  <si>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</si>
  <si>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</si>
  <si>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</si>
  <si>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</si>
  <si>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</si>
  <si>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</si>
  <si>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</si>
  <si>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</si>
  <si>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</si>
  <si>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</si>
  <si>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</si>
  <si>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</si>
  <si>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</si>
  <si>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</si>
  <si>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</si>
  <si>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</si>
  <si>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</si>
  <si>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</si>
  <si>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</si>
  <si>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</si>
  <si>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</si>
  <si>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</si>
  <si>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</si>
  <si>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</si>
  <si>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</si>
  <si>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</si>
  <si>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</si>
  <si>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</si>
  <si>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</si>
  <si>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</si>
  <si>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</si>
  <si>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</si>
  <si>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</si>
  <si>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</si>
  <si>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</si>
  <si>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</si>
  <si>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</si>
  <si>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</si>
  <si>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</si>
  <si>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</si>
  <si>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</si>
  <si>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</si>
  <si>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</si>
  <si>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</si>
  <si>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</si>
  <si>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</si>
  <si>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</si>
  <si>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</si>
  <si>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</si>
  <si>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</si>
  <si>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</si>
  <si>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</si>
  <si>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</si>
  <si>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</si>
  <si>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</si>
  <si>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</si>
  <si>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</si>
  <si>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</si>
  <si>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</si>
  <si>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</si>
  <si>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</si>
  <si>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</si>
  <si>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</si>
  <si>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</si>
  <si>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</si>
  <si>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</si>
  <si>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</si>
  <si>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</si>
  <si>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</si>
  <si>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</si>
  <si>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</si>
  <si>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</si>
  <si>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</si>
  <si>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</si>
  <si>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</si>
  <si>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</si>
  <si>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</si>
  <si>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</si>
  <si>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</si>
  <si>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</si>
  <si>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</si>
  <si>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</si>
  <si>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</si>
  <si>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</si>
  <si>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</si>
  <si>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</si>
  <si>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</si>
  <si>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</si>
  <si>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</si>
  <si>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</si>
  <si>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</si>
  <si>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</si>
  <si>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</si>
  <si>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</si>
  <si>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</si>
  <si>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</si>
  <si>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</si>
  <si>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</si>
  <si>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</si>
  <si>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</si>
  <si>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</si>
  <si>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</si>
  <si>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</si>
  <si>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</si>
  <si>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</si>
  <si>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</si>
  <si>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</si>
  <si>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</si>
  <si>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</si>
  <si>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</si>
  <si>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</si>
  <si>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</si>
  <si>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</si>
  <si>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</si>
  <si>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</si>
  <si>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</si>
  <si>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</si>
  <si>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</si>
  <si>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</si>
  <si>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</si>
  <si>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</si>
  <si>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</si>
  <si>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</si>
  <si>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</si>
  <si>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</si>
  <si>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</si>
  <si>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</si>
  <si>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</si>
  <si>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</si>
  <si>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</si>
  <si>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</si>
  <si>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</si>
  <si>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</si>
  <si>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</si>
  <si>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</si>
  <si>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</si>
  <si>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</si>
  <si>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</si>
  <si>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</si>
  <si>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</si>
  <si>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</si>
  <si>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</si>
  <si>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</si>
  <si>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</si>
  <si>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</si>
  <si>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</si>
  <si>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</si>
  <si>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</si>
  <si>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</si>
  <si>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</si>
  <si>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</si>
  <si>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</si>
  <si>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</si>
  <si>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</si>
  <si>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</si>
  <si>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</si>
  <si>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</si>
  <si>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</si>
  <si>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</si>
  <si>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</si>
  <si>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</si>
  <si>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</si>
  <si>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</si>
  <si>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</si>
  <si>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</si>
  <si>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</si>
  <si>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</si>
  <si>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</si>
  <si>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</si>
  <si>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</si>
  <si>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</si>
  <si>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</si>
  <si>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</si>
  <si>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</si>
  <si>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</si>
  <si>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</si>
  <si>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</si>
  <si>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</si>
  <si>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</si>
  <si>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</si>
  <si>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</si>
  <si>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</si>
  <si>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</si>
  <si>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</si>
  <si>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</si>
  <si>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</si>
  <si>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</si>
  <si>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</si>
  <si>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</si>
  <si>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</si>
  <si>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</si>
  <si>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</si>
  <si>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</si>
  <si>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</si>
  <si>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</si>
  <si>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</si>
  <si>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</si>
  <si>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</si>
  <si>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</si>
  <si>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</si>
  <si>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</si>
  <si>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</si>
  <si>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</si>
  <si>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</si>
  <si>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</si>
  <si>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</si>
  <si>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</si>
  <si>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</si>
  <si>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</si>
  <si>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</si>
  <si>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</si>
  <si>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</si>
  <si>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</si>
  <si>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</si>
  <si>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</si>
  <si>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</si>
  <si>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</si>
  <si>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</si>
  <si>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</si>
  <si>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</si>
  <si>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</si>
  <si>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</si>
  <si>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</si>
  <si>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</si>
  <si>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</si>
  <si>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</si>
  <si>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</si>
  <si>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</si>
  <si>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</si>
  <si>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</si>
  <si>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</si>
  <si>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</si>
  <si>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</si>
  <si>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</si>
  <si>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</si>
  <si>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</si>
  <si>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</si>
  <si>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</si>
  <si>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</si>
  <si>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</si>
  <si>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</si>
  <si>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</si>
  <si>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</si>
  <si>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</si>
  <si>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</si>
  <si>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</si>
  <si>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</si>
  <si>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</si>
  <si>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</si>
  <si>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</si>
  <si>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</si>
  <si>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</si>
  <si>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</si>
  <si>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</si>
  <si>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</si>
  <si>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</si>
  <si>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</si>
  <si>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</si>
  <si>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</si>
  <si>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</si>
  <si>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</si>
  <si>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</si>
  <si>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</si>
  <si>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</si>
  <si>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</si>
  <si>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</si>
  <si>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</si>
  <si>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</si>
  <si>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</si>
  <si>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</si>
  <si>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</si>
  <si>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</si>
  <si>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</si>
  <si>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</si>
  <si>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</si>
  <si>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</si>
  <si>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</si>
  <si>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</si>
  <si>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</si>
  <si>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</si>
  <si>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</si>
  <si>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</si>
  <si>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</si>
  <si>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</si>
  <si>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</si>
  <si>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</si>
  <si>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</si>
  <si>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</si>
  <si>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</si>
  <si>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</si>
  <si>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</si>
  <si>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</si>
  <si>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</si>
  <si>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</si>
  <si>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</si>
  <si>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</si>
  <si>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</si>
  <si>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</si>
  <si>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</si>
  <si>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</si>
  <si>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</si>
  <si>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</si>
  <si>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</si>
  <si>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</si>
  <si>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</si>
  <si>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</si>
  <si>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</si>
  <si>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</si>
  <si>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</si>
  <si>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</si>
  <si>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</si>
  <si>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</si>
  <si>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</si>
  <si>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</si>
  <si>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</si>
  <si>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</si>
  <si>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</si>
  <si>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</si>
  <si>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</si>
  <si>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</si>
  <si>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</si>
  <si>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</si>
  <si>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</si>
  <si>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</si>
  <si>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</si>
  <si>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</si>
  <si>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</si>
  <si>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</si>
  <si>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</si>
  <si>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</si>
  <si>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</si>
  <si>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</si>
  <si>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</si>
  <si>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</si>
  <si>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</si>
  <si>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</si>
  <si>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</si>
  <si>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</si>
  <si>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</si>
  <si>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</si>
  <si>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</si>
  <si>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</si>
  <si>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</si>
  <si>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</si>
  <si>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</si>
  <si>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</si>
  <si>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</si>
  <si>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</si>
  <si>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</si>
  <si>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</si>
  <si>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</si>
  <si>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</si>
  <si>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</si>
  <si>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</si>
  <si>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</si>
  <si>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</si>
  <si>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</si>
  <si>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</si>
  <si>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</si>
  <si>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</si>
  <si>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</si>
  <si>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</si>
  <si>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</si>
  <si>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</si>
  <si>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</si>
  <si>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</si>
  <si>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</si>
  <si>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</si>
  <si>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</si>
  <si>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</si>
  <si>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</si>
  <si>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</si>
  <si>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</si>
  <si>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</si>
  <si>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</si>
  <si>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</si>
  <si>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</si>
  <si>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</si>
  <si>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</si>
  <si>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</si>
  <si>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</si>
  <si>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</si>
  <si>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</si>
  <si>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</si>
  <si>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</si>
  <si>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</si>
  <si>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</si>
  <si>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</si>
  <si>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</si>
  <si>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</si>
  <si>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</si>
  <si>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</si>
  <si>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</si>
  <si>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</si>
  <si>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</si>
  <si>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</si>
  <si>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</si>
  <si>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</si>
  <si>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</si>
  <si>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</si>
  <si>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</si>
  <si>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</si>
  <si>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</si>
  <si>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</si>
  <si>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</si>
  <si>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</si>
  <si>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</si>
  <si>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</si>
  <si>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</si>
  <si>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</si>
  <si>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</si>
  <si>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</si>
  <si>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</si>
  <si>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</si>
  <si>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</si>
  <si>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</si>
  <si>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</si>
  <si>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</si>
  <si>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</si>
  <si>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</si>
  <si>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</si>
  <si>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</si>
  <si>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</si>
  <si>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</si>
  <si>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</si>
  <si>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</si>
  <si>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</si>
  <si>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</si>
  <si>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</si>
  <si>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</si>
  <si>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</si>
  <si>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</si>
  <si>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</si>
  <si>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</si>
  <si>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</si>
  <si>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</si>
  <si>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</si>
  <si>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</si>
  <si>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</si>
  <si>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</si>
  <si>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</si>
  <si>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</si>
  <si>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</si>
  <si>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</si>
  <si>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</si>
  <si>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</si>
  <si>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</si>
  <si>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</si>
  <si>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</si>
  <si>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</si>
  <si>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</si>
  <si>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</si>
  <si>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</si>
  <si>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</si>
  <si>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</si>
  <si>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</si>
  <si>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</si>
  <si>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</si>
  <si>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</si>
  <si>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</si>
  <si>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</si>
  <si>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</si>
  <si>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</si>
  <si>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</si>
  <si>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</si>
  <si>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</si>
  <si>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</si>
  <si>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</si>
  <si>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</si>
  <si>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</si>
  <si>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</si>
  <si>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</si>
  <si>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</si>
  <si>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</si>
  <si>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</si>
  <si>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</si>
  <si>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</si>
  <si>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</si>
  <si>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</si>
  <si>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</si>
  <si>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</si>
  <si>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</si>
  <si>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</si>
  <si>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</si>
  <si>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</si>
  <si>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</si>
  <si>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</si>
  <si>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</si>
  <si>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</si>
  <si>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</si>
  <si>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</si>
  <si>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</si>
  <si>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</si>
  <si>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</si>
  <si>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</si>
  <si>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</si>
  <si>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</si>
  <si>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</si>
  <si>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</si>
  <si>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</si>
  <si>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</si>
  <si>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</si>
  <si>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</si>
  <si>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</si>
  <si>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</si>
  <si>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</si>
  <si>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</si>
  <si>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</si>
  <si>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</si>
  <si>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</si>
  <si>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</si>
  <si>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</si>
  <si>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</si>
  <si>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</si>
  <si>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</si>
  <si>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</si>
  <si>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</si>
  <si>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</si>
  <si>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</si>
  <si>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</si>
  <si>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</si>
  <si>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</si>
  <si>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</si>
  <si>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</si>
  <si>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</si>
  <si>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</si>
  <si>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</si>
  <si>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</si>
  <si>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</si>
  <si>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</si>
  <si>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</si>
  <si>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</si>
  <si>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</si>
  <si>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</si>
  <si>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</si>
  <si>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</si>
  <si>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</si>
  <si>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</si>
  <si>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</si>
  <si>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</si>
  <si>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</si>
  <si>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</si>
  <si>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</si>
  <si>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</si>
  <si>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</si>
  <si>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</si>
  <si>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</si>
  <si>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</si>
  <si>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</si>
  <si>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</si>
  <si>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</si>
  <si>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</si>
  <si>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</si>
  <si>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</si>
  <si>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</si>
  <si>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</si>
  <si>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</si>
  <si>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</si>
  <si>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</si>
  <si>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</si>
  <si>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</si>
  <si>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</si>
  <si>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</si>
  <si>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</si>
  <si>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</si>
  <si>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</si>
  <si>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</si>
  <si>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</si>
  <si>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</si>
  <si>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</si>
  <si>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</si>
  <si>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</si>
  <si>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</si>
  <si>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</si>
  <si>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</si>
  <si>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</si>
  <si>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</si>
  <si>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</si>
  <si>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</si>
  <si>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</si>
  <si>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</si>
  <si>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</si>
  <si>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</si>
  <si>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</si>
  <si>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</si>
  <si>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</si>
  <si>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</si>
  <si>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</si>
  <si>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</si>
  <si>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</si>
  <si>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</si>
  <si>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</si>
  <si>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</si>
  <si>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</si>
  <si>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</si>
  <si>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</si>
  <si>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</si>
  <si>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</si>
  <si>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</si>
  <si>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</si>
  <si>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</si>
  <si>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</si>
  <si>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</si>
  <si>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</si>
  <si>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</si>
  <si>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</si>
  <si>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</si>
  <si>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</si>
  <si>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</si>
  <si>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</si>
  <si>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</si>
  <si>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</si>
  <si>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</si>
  <si>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</si>
  <si>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</si>
  <si>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</si>
  <si>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</si>
  <si>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</si>
  <si>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</si>
  <si>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</si>
  <si>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</si>
  <si>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</si>
  <si>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</si>
  <si>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</si>
  <si>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</si>
  <si>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</si>
  <si>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</si>
  <si>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</si>
  <si>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</si>
  <si>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</si>
  <si>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</si>
  <si>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</si>
  <si>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</si>
  <si>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</si>
  <si>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</si>
  <si>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</si>
  <si>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</si>
  <si>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</si>
  <si>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</si>
  <si>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</si>
  <si>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</si>
  <si>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</si>
  <si>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</si>
  <si>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</si>
  <si>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</si>
  <si>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</si>
  <si>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</si>
  <si>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</si>
  <si>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</si>
  <si>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</si>
  <si>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</si>
  <si>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</si>
  <si>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</si>
  <si>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</si>
  <si>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</si>
  <si>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</si>
  <si>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</si>
  <si>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</si>
  <si>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</si>
  <si>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</si>
  <si>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</si>
  <si>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</si>
  <si>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</si>
  <si>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</si>
  <si>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</si>
  <si>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</si>
  <si>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</si>
  <si>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</si>
  <si>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</si>
  <si>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</si>
  <si>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</si>
  <si>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</si>
  <si>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</si>
  <si>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</si>
  <si>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</si>
  <si>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</si>
  <si>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</si>
  <si>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</si>
  <si>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</si>
  <si>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</si>
  <si>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</si>
  <si>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</si>
  <si>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</si>
  <si>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</si>
  <si>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</si>
  <si>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</si>
  <si>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</si>
  <si>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</si>
  <si>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</si>
  <si>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</si>
  <si>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</si>
  <si>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</si>
  <si>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</si>
  <si>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</si>
  <si>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</si>
  <si>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</si>
  <si>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</si>
  <si>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</si>
  <si>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</si>
  <si>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</si>
  <si>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</si>
  <si>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</si>
  <si>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</si>
  <si>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</si>
  <si>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</si>
  <si>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</si>
  <si>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</si>
  <si>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</si>
  <si>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</si>
  <si>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</si>
  <si>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</si>
  <si>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</si>
  <si>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</si>
  <si>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</si>
  <si>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</si>
  <si>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</si>
  <si>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</si>
  <si>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</si>
  <si>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</si>
  <si>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</si>
  <si>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</si>
  <si>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</si>
  <si>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</si>
  <si>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</si>
  <si>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</si>
  <si>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</si>
  <si>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</si>
  <si>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</si>
  <si>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</si>
  <si>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</si>
  <si>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</si>
  <si>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</si>
  <si>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</si>
  <si>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</si>
  <si>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</si>
  <si>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</si>
  <si>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</si>
  <si>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</si>
  <si>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</si>
  <si>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</si>
  <si>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</si>
  <si>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</si>
  <si>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</si>
  <si>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</si>
  <si>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</si>
  <si>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</si>
  <si>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</si>
  <si>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</si>
  <si>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</si>
  <si>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</si>
  <si>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</si>
  <si>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</si>
  <si>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</si>
  <si>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</si>
  <si>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</si>
  <si>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</si>
  <si>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</si>
  <si>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</si>
  <si>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</si>
  <si>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</si>
  <si>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</si>
  <si>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</si>
  <si>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</si>
  <si>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</si>
  <si>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</si>
  <si>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</si>
  <si>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</si>
  <si>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</si>
  <si>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</si>
  <si>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</si>
  <si>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</si>
  <si>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</si>
  <si>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</si>
  <si>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</si>
  <si>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</si>
  <si>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</si>
  <si>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</si>
  <si>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</si>
  <si>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</si>
  <si>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</si>
  <si>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</si>
  <si>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</si>
  <si>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</si>
  <si>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</si>
  <si>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</si>
  <si>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</si>
  <si>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</si>
  <si>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</si>
  <si>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</si>
  <si>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</si>
  <si>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</si>
  <si>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</si>
  <si>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</si>
  <si>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</si>
  <si>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</si>
  <si>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</si>
  <si>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</si>
  <si>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</si>
  <si>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</si>
  <si>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</si>
  <si>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</si>
  <si>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</si>
  <si>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</si>
  <si>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</si>
  <si>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</si>
  <si>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</si>
  <si>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</si>
  <si>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</si>
  <si>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</si>
  <si>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</si>
  <si>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</si>
  <si>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</si>
  <si>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</si>
  <si>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</si>
  <si>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</si>
  <si>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</si>
  <si>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</si>
  <si>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</si>
  <si>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</si>
  <si>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</si>
  <si>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</si>
  <si>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</si>
  <si>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</si>
  <si>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</si>
  <si>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</si>
  <si>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</si>
  <si>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</si>
  <si>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</si>
  <si>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</si>
  <si>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</si>
  <si>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</si>
  <si>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</si>
  <si>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</si>
  <si>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</si>
  <si>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</si>
  <si>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</si>
  <si>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</si>
  <si>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</si>
  <si>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</si>
  <si>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</si>
  <si>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</si>
  <si>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</si>
  <si>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</si>
  <si>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</si>
  <si>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</si>
  <si>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</si>
  <si>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</si>
  <si>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</si>
  <si>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</si>
  <si>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</si>
  <si>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</si>
  <si>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</si>
  <si>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</si>
  <si>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</si>
  <si>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</si>
  <si>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</si>
  <si>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</si>
  <si>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</si>
  <si>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</si>
  <si>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</si>
  <si>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</si>
  <si>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</si>
  <si>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</si>
  <si>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</si>
  <si>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</si>
  <si>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</si>
  <si>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</si>
  <si>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</si>
  <si>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</si>
  <si>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</si>
  <si>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</si>
  <si>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</si>
  <si>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</si>
  <si>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</si>
  <si>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</si>
  <si>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</si>
  <si>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</si>
  <si>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</si>
  <si>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</si>
  <si>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</si>
  <si>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</si>
  <si>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</si>
  <si>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</si>
  <si>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</si>
  <si>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</si>
  <si>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</si>
  <si>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</si>
  <si>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</si>
  <si>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</si>
  <si>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</si>
  <si>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</si>
  <si>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</si>
  <si>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</si>
  <si>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</si>
  <si>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</si>
  <si>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</si>
  <si>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</si>
  <si>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</si>
  <si>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</si>
  <si>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</si>
  <si>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</si>
  <si>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</si>
  <si>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</si>
  <si>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</si>
  <si>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</si>
  <si>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</si>
  <si>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</si>
  <si>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</si>
  <si>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</si>
  <si>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</si>
  <si>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</si>
  <si>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</si>
  <si>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</si>
  <si>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</si>
  <si>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</si>
  <si>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</si>
  <si>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</si>
  <si>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</si>
  <si>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</si>
  <si>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</si>
  <si>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</si>
  <si>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</si>
  <si>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</si>
  <si>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</si>
  <si>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</si>
  <si>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</si>
  <si>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</si>
  <si>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</si>
  <si>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</si>
  <si>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</si>
  <si>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</si>
  <si>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</si>
  <si>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</si>
  <si>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</si>
  <si>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</si>
  <si>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</si>
  <si>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</si>
  <si>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</si>
  <si>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</si>
  <si>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</si>
  <si>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</si>
  <si>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</si>
  <si>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</si>
  <si>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</si>
  <si>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</si>
  <si>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</si>
  <si>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</si>
  <si>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</si>
  <si>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</si>
  <si>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</si>
  <si>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</si>
  <si>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</si>
  <si>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</si>
  <si>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</si>
  <si>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</si>
  <si>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</si>
  <si>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</si>
  <si>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</si>
  <si>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</si>
  <si>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</si>
  <si>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</si>
  <si>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</si>
  <si>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</si>
  <si>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</si>
  <si>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</si>
  <si>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</si>
  <si>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</si>
  <si>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</si>
  <si>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</si>
  <si>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</si>
  <si>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</si>
  <si>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</si>
  <si>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</si>
  <si>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</si>
  <si>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</si>
  <si>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</si>
  <si>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</si>
  <si>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</si>
  <si>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</si>
  <si>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</si>
  <si>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</si>
  <si>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</si>
  <si>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</si>
  <si>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</si>
  <si>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</si>
  <si>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</si>
  <si>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</si>
  <si>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</si>
  <si>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</si>
  <si>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</si>
  <si>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</si>
  <si>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</si>
  <si>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</si>
  <si>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</si>
  <si>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</si>
  <si>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</si>
  <si>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</si>
  <si>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</si>
  <si>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</si>
  <si>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</si>
  <si>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</si>
  <si>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</si>
  <si>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</si>
  <si>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</si>
  <si>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</si>
  <si>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</si>
  <si>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</si>
  <si>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</si>
  <si>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</si>
  <si>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</si>
  <si>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</si>
  <si>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</si>
  <si>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</si>
  <si>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</si>
  <si>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</si>
  <si>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</si>
  <si>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</si>
  <si>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</si>
  <si>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</si>
  <si>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</si>
  <si>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</si>
  <si>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</si>
  <si>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</si>
  <si>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</si>
  <si>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</si>
  <si>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</si>
  <si>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</si>
  <si>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</si>
  <si>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</si>
  <si>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</si>
  <si>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</si>
  <si>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</si>
  <si>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</si>
  <si>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</si>
  <si>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</si>
  <si>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</si>
  <si>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</si>
  <si>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</si>
  <si>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</si>
  <si>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</si>
  <si>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</si>
  <si>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</si>
  <si>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</si>
  <si>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</si>
  <si>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</si>
  <si>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</si>
  <si>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</si>
  <si>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</si>
  <si>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</si>
  <si>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</si>
  <si>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</si>
  <si>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</si>
  <si>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</si>
  <si>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</si>
  <si>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</si>
  <si>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</si>
  <si>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</si>
  <si>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</si>
  <si>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</si>
  <si>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</si>
  <si>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</si>
  <si>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</si>
  <si>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</si>
  <si>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</si>
  <si>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</si>
  <si>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</si>
  <si>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</si>
  <si>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</si>
  <si>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</si>
  <si>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</si>
  <si>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</si>
  <si>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</si>
  <si>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</si>
  <si>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</si>
  <si>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</si>
  <si>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</si>
  <si>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</si>
  <si>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</si>
  <si>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</si>
  <si>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</si>
  <si>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</si>
  <si>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</si>
  <si>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</si>
  <si>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</si>
  <si>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</si>
  <si>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</si>
  <si>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</si>
  <si>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</si>
  <si>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</si>
  <si>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</si>
  <si>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</si>
  <si>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</si>
  <si>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</si>
  <si>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</si>
  <si>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</si>
  <si>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</si>
  <si>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</si>
  <si>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</si>
  <si>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</si>
  <si>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</si>
  <si>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</si>
  <si>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</si>
  <si>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</si>
  <si>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</si>
  <si>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</si>
  <si>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</si>
  <si>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</si>
  <si>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</si>
  <si>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</si>
  <si>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</si>
  <si>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</si>
  <si>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</si>
  <si>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</si>
  <si>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</si>
  <si>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</si>
  <si>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</si>
  <si>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</si>
  <si>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</si>
  <si>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</si>
  <si>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</si>
  <si>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</si>
  <si>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</si>
  <si>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</si>
  <si>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</si>
  <si>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</si>
  <si>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</si>
  <si>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</si>
  <si>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</si>
  <si>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</si>
  <si>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</si>
  <si>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</si>
  <si>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</si>
  <si>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</si>
  <si>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</si>
  <si>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</si>
  <si>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</si>
  <si>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</si>
  <si>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</si>
  <si>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</si>
  <si>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</si>
  <si>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</si>
  <si>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</si>
  <si>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</si>
  <si>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</si>
  <si>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</si>
  <si>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</si>
  <si>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</si>
  <si>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</si>
  <si>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</si>
  <si>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</si>
  <si>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</si>
  <si>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</si>
  <si>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</si>
  <si>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</si>
  <si>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</si>
  <si>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</si>
  <si>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</si>
  <si>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</si>
  <si>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</si>
  <si>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</si>
  <si>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</si>
  <si>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</si>
  <si>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</si>
  <si>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</si>
  <si>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</si>
  <si>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</si>
  <si>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</si>
  <si>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</si>
  <si>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</si>
  <si>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</si>
  <si>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</si>
  <si>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</si>
  <si>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</si>
  <si>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</si>
  <si>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</si>
  <si>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</si>
  <si>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</si>
  <si>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</si>
  <si>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</si>
  <si>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</si>
  <si>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</si>
  <si>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</si>
  <si>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</si>
  <si>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</si>
  <si>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</si>
  <si>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</si>
  <si>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</si>
  <si>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</si>
  <si>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</si>
  <si>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</si>
  <si>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</si>
  <si>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</si>
  <si>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</si>
  <si>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</si>
  <si>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</si>
  <si>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</si>
  <si>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</si>
  <si>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</si>
  <si>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</si>
  <si>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</si>
  <si>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</si>
  <si>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</si>
  <si>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</si>
  <si>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</si>
  <si>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</si>
  <si>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</si>
  <si>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</si>
  <si>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</si>
  <si>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</si>
  <si>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</si>
  <si>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</si>
  <si>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</si>
  <si>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</si>
  <si>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</si>
  <si>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</si>
  <si>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</si>
  <si>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</si>
  <si>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</si>
  <si>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</si>
  <si>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</si>
  <si>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</si>
  <si>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</si>
  <si>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</si>
  <si>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</si>
  <si>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</si>
  <si>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</si>
  <si>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</si>
  <si>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</si>
  <si>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</si>
  <si>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</si>
  <si>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</si>
  <si>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不动产权证号</t>
    <phoneticPr fontId="134" type="noConversion"/>
  </si>
  <si>
    <t>权利人</t>
    <phoneticPr fontId="134" type="noConversion"/>
  </si>
  <si>
    <t>坐落</t>
    <phoneticPr fontId="134" type="noConversion"/>
  </si>
  <si>
    <t>权利性质</t>
    <phoneticPr fontId="134" type="noConversion"/>
  </si>
  <si>
    <t>土地面积</t>
    <phoneticPr fontId="134" type="noConversion"/>
  </si>
  <si>
    <t>建筑面积</t>
    <phoneticPr fontId="134" type="noConversion"/>
  </si>
  <si>
    <t>结构</t>
    <phoneticPr fontId="134" type="noConversion"/>
  </si>
  <si>
    <t>竣工时间</t>
    <phoneticPr fontId="134" type="noConversion"/>
  </si>
  <si>
    <t>使用期限</t>
    <phoneticPr fontId="134" type="noConversion"/>
  </si>
  <si>
    <r>
      <t>冀（2</t>
    </r>
    <r>
      <rPr>
        <sz val="11"/>
        <color theme="1"/>
        <rFont val="宋体"/>
        <family val="3"/>
        <charset val="134"/>
        <scheme val="minor"/>
      </rPr>
      <t>020）三河市不动产权第0010178号</t>
    </r>
    <phoneticPr fontId="134" type="noConversion"/>
  </si>
  <si>
    <t>欧伏电子股份有限公司</t>
    <phoneticPr fontId="134" type="noConversion"/>
  </si>
  <si>
    <t>河北省廊坊市三河市燕郊开发区燕新大街1号结构组装车间</t>
    <phoneticPr fontId="134" type="noConversion"/>
  </si>
  <si>
    <t>出让/自建房</t>
    <phoneticPr fontId="134" type="noConversion"/>
  </si>
  <si>
    <t>工业用地/组装车间</t>
    <phoneticPr fontId="134" type="noConversion"/>
  </si>
  <si>
    <t>钢结构</t>
    <phoneticPr fontId="134" type="noConversion"/>
  </si>
  <si>
    <t>总层数</t>
    <phoneticPr fontId="134" type="noConversion"/>
  </si>
  <si>
    <t>所在层数</t>
    <phoneticPr fontId="134" type="noConversion"/>
  </si>
  <si>
    <r>
      <t>2</t>
    </r>
    <r>
      <rPr>
        <sz val="11"/>
        <color theme="1"/>
        <rFont val="宋体"/>
        <family val="3"/>
        <charset val="134"/>
        <scheme val="minor"/>
      </rPr>
      <t>015.11.06-2058.9.10</t>
    </r>
    <phoneticPr fontId="134" type="noConversion"/>
  </si>
  <si>
    <r>
      <t>三河市房权证燕字第0</t>
    </r>
    <r>
      <rPr>
        <sz val="11"/>
        <color theme="1"/>
        <rFont val="宋体"/>
        <family val="3"/>
        <charset val="134"/>
        <scheme val="minor"/>
      </rPr>
      <t>95455号</t>
    </r>
    <phoneticPr fontId="134" type="noConversion"/>
  </si>
  <si>
    <t>车间</t>
    <phoneticPr fontId="134" type="noConversion"/>
  </si>
  <si>
    <t>规划用途</t>
    <phoneticPr fontId="134" type="noConversion"/>
  </si>
  <si>
    <t>房屋性质</t>
    <phoneticPr fontId="134" type="noConversion"/>
  </si>
  <si>
    <r>
      <t>2</t>
    </r>
    <r>
      <rPr>
        <sz val="11"/>
        <color theme="1"/>
        <rFont val="宋体"/>
        <family val="3"/>
        <charset val="134"/>
        <scheme val="minor"/>
      </rPr>
      <t>008.9.11-2058.9.10</t>
    </r>
    <phoneticPr fontId="134" type="noConversion"/>
  </si>
  <si>
    <t>三河市房权证燕字第221402号</t>
    <phoneticPr fontId="134" type="noConversion"/>
  </si>
  <si>
    <t>三河市燕郊开发区迎宾路西燕新大街1号生产车间</t>
    <phoneticPr fontId="134" type="noConversion"/>
  </si>
  <si>
    <t>三河市燕郊开发区迎宾路西燕新大街1号办公楼</t>
    <phoneticPr fontId="134" type="noConversion"/>
  </si>
  <si>
    <t>三河市房权证燕字第221403号</t>
    <phoneticPr fontId="134" type="noConversion"/>
  </si>
  <si>
    <t>房屋所有权证号</t>
    <phoneticPr fontId="134" type="noConversion"/>
  </si>
  <si>
    <t>序号</t>
    <phoneticPr fontId="134" type="noConversion"/>
  </si>
  <si>
    <t>土地面积（㎡）</t>
    <phoneticPr fontId="134" type="noConversion"/>
  </si>
  <si>
    <t>建筑面积（㎡）</t>
    <phoneticPr fontId="134" type="noConversion"/>
  </si>
  <si>
    <t>三河市燕郊开发区规划路西侧、裕同印刷包装公司用地南侧钣金车间</t>
    <phoneticPr fontId="134" type="noConversion"/>
  </si>
  <si>
    <t>郑燚</t>
  </si>
  <si>
    <t>崔锴</t>
  </si>
  <si>
    <t>欧伏电气股份有限公司</t>
    <phoneticPr fontId="6" type="noConversion"/>
  </si>
  <si>
    <t>抵押</t>
  </si>
  <si>
    <t>房地产抵押价值</t>
  </si>
  <si>
    <t>其他：</t>
  </si>
  <si>
    <r>
      <rPr>
        <sz val="10"/>
        <color theme="9" tint="-0.249977111117893"/>
        <rFont val="宋体"/>
        <family val="3"/>
        <charset val="134"/>
      </rPr>
      <t>河北省廊坊市三河市燕郊开发区燕新大街</t>
    </r>
    <r>
      <rPr>
        <sz val="10"/>
        <color theme="9" tint="-0.249977111117893"/>
        <rFont val="Arial"/>
        <family val="2"/>
      </rPr>
      <t>1</t>
    </r>
    <r>
      <rPr>
        <sz val="10"/>
        <color theme="9" tint="-0.249977111117893"/>
        <rFont val="宋体"/>
        <family val="3"/>
        <charset val="134"/>
      </rPr>
      <t>号</t>
    </r>
    <phoneticPr fontId="6" type="noConversion"/>
  </si>
  <si>
    <t>企业</t>
  </si>
  <si>
    <t>工业</t>
    <phoneticPr fontId="6" type="noConversion"/>
  </si>
  <si>
    <t>是</t>
  </si>
  <si>
    <t>现房</t>
  </si>
  <si>
    <t>工业项目</t>
  </si>
  <si>
    <t>地上</t>
  </si>
  <si>
    <t>标准厂房</t>
  </si>
  <si>
    <t>办公楼</t>
  </si>
  <si>
    <t>工业</t>
    <phoneticPr fontId="7" type="noConversion"/>
  </si>
  <si>
    <t>收益法</t>
  </si>
  <si>
    <t>成新度</t>
  </si>
  <si>
    <t>未包含在土地购买价格中</t>
  </si>
  <si>
    <t>已包含在土地取得成本中</t>
  </si>
  <si>
    <t>全部缴纳</t>
  </si>
  <si>
    <t>地块名称</t>
  </si>
  <si>
    <t>区县</t>
  </si>
  <si>
    <t>板块</t>
  </si>
  <si>
    <t>地块编号</t>
  </si>
  <si>
    <t>土地位置</t>
  </si>
  <si>
    <t>建设用地面积(㎡)</t>
  </si>
  <si>
    <t>规划建筑面积(㎡)</t>
  </si>
  <si>
    <t>用地性质</t>
  </si>
  <si>
    <t>详细规划</t>
  </si>
  <si>
    <t>出让年限(年)</t>
  </si>
  <si>
    <t>容积率</t>
  </si>
  <si>
    <t>容积率上限</t>
  </si>
  <si>
    <t>出让方式</t>
  </si>
  <si>
    <t>成交时间</t>
  </si>
  <si>
    <t>交易状态</t>
  </si>
  <si>
    <t>受让单位</t>
  </si>
  <si>
    <t>起始价(万元)</t>
  </si>
  <si>
    <t>成交价(万元)</t>
  </si>
  <si>
    <t>成交每亩价(万元/亩)</t>
  </si>
  <si>
    <t>成交楼面价(元/㎡)</t>
  </si>
  <si>
    <t>溢价率(%)</t>
  </si>
  <si>
    <t>环线</t>
  </si>
  <si>
    <t>成交地面价(元/㎡)</t>
    <phoneticPr fontId="134" type="noConversion"/>
  </si>
  <si>
    <t>燕郊高新区迎宾北路西侧、规划安临路北侧</t>
  </si>
  <si>
    <t>燕郊</t>
  </si>
  <si>
    <t>50年</t>
  </si>
  <si>
    <t>1.200&lt;并且≤2.000</t>
  </si>
  <si>
    <t>挂牌</t>
  </si>
  <si>
    <t>已成交</t>
  </si>
  <si>
    <t>长城重型机械制造有限公司</t>
  </si>
  <si>
    <t>燕郊高新区迎宾北路东侧、规划和业街南侧</t>
  </si>
  <si>
    <t>YJ2024-002</t>
  </si>
  <si>
    <t>京津冀协同创新园(三河)有限公司</t>
  </si>
  <si>
    <t>燕郊高新区迎宾北路东侧,规划和业街北侧</t>
  </si>
  <si>
    <t>YJ2024-001</t>
  </si>
  <si>
    <t>燕郊高新区博俊公司用地南侧、规划燕林路东侧</t>
  </si>
  <si>
    <t>YJ2023-021</t>
  </si>
  <si>
    <t>1.200&lt; 并且 ≤2.000</t>
  </si>
  <si>
    <t>河北博俊科技有限公司</t>
  </si>
  <si>
    <t>燕郊高新区鑫中昊公司用地南侧、规划燕林路西侧</t>
  </si>
  <si>
    <t>YJ2023-020</t>
  </si>
  <si>
    <t>河北鑫中昊科技股份有限公司</t>
  </si>
  <si>
    <t>燕郊高新区燕兴北路西侧、规划文溯街北侧</t>
  </si>
  <si>
    <t>YJ2023-019</t>
  </si>
  <si>
    <t>燕郊高新区留山大街北侧、福成北路西侧</t>
  </si>
  <si>
    <t>YJ2023-010</t>
  </si>
  <si>
    <t>YJ2023-009</t>
  </si>
  <si>
    <t>大于1.2并且小于或等于2</t>
  </si>
  <si>
    <t>燕郊高新区留山大街北侧、燕兴北路西侧</t>
  </si>
  <si>
    <t>YJ2023-006</t>
  </si>
  <si>
    <t>艾伊拓能源(河北)有限公司</t>
  </si>
  <si>
    <t>YJ2023-004</t>
  </si>
  <si>
    <t>大于或等于1.2并且小于或等于2</t>
  </si>
  <si>
    <t>三河市蓝思泰克科技推广有限公司</t>
  </si>
  <si>
    <t>燕郊高新区文景街南侧、福成北路西侧</t>
  </si>
  <si>
    <t>YJ2023-003</t>
  </si>
  <si>
    <t>有研稀土高技术有限公司</t>
  </si>
  <si>
    <t>燕郊高新区留山大街北侧、燕兴北路东侧</t>
  </si>
  <si>
    <t>YJ2023-002</t>
  </si>
  <si>
    <t>燕郊高新区规划金谷南街南侧、规划燕高北路东侧、规划燕德路西侧</t>
  </si>
  <si>
    <t>YJ2022-006</t>
  </si>
  <si>
    <t>三河市华夏恒泰电子技术有限公司</t>
  </si>
  <si>
    <t>齐心庄镇蒋谭线北侧、经四路东侧</t>
  </si>
  <si>
    <t>YJ2022-003</t>
  </si>
  <si>
    <t>大于或等于1.2</t>
  </si>
  <si>
    <t>三河伊蒂雅实业有限公司</t>
  </si>
  <si>
    <t>燕郊高新区规划金谷南街南侧、规划燕兴北路西侧</t>
  </si>
  <si>
    <t>YJ2021-009</t>
  </si>
  <si>
    <t>申江万国河北数据信息有限公司</t>
  </si>
  <si>
    <t>燕郊高新区规划金谷南街北侧、规划燕林路西侧</t>
  </si>
  <si>
    <t>YJ2021-012</t>
  </si>
  <si>
    <t>三河科达实业有限公司</t>
  </si>
  <si>
    <t>案例1</t>
    <phoneticPr fontId="134" type="noConversion"/>
  </si>
  <si>
    <t>正常</t>
  </si>
  <si>
    <t>工业</t>
    <phoneticPr fontId="32" type="noConversion"/>
  </si>
  <si>
    <t>较好</t>
  </si>
  <si>
    <t>一般</t>
  </si>
  <si>
    <t>五通</t>
  </si>
  <si>
    <t>规则</t>
  </si>
  <si>
    <t>较规则</t>
  </si>
  <si>
    <t>较不规则</t>
  </si>
  <si>
    <t>不规则</t>
  </si>
  <si>
    <t>七通</t>
    <phoneticPr fontId="32" type="noConversion"/>
  </si>
  <si>
    <t>六通</t>
    <phoneticPr fontId="32" type="noConversion"/>
  </si>
  <si>
    <t>五通</t>
    <phoneticPr fontId="32" type="noConversion"/>
  </si>
  <si>
    <t>好</t>
  </si>
  <si>
    <t>较差</t>
  </si>
  <si>
    <t>差</t>
  </si>
  <si>
    <t>案例2</t>
    <phoneticPr fontId="134" type="noConversion"/>
  </si>
  <si>
    <t>案例3</t>
    <phoneticPr fontId="134" type="noConversion"/>
  </si>
  <si>
    <t>燕郊高新区迎宾北路西侧、规划安临路北侧</t>
    <phoneticPr fontId="134" type="noConversion"/>
  </si>
  <si>
    <t>燕郊高新区博俊公司用地南侧、规划燕林路东侧</t>
    <phoneticPr fontId="134" type="noConversion"/>
  </si>
  <si>
    <t>燕郊高新区鑫中昊公司用地南侧、规划燕林路西侧</t>
    <phoneticPr fontId="134" type="noConversion"/>
  </si>
  <si>
    <t>长城重型机械制造有限公司</t>
    <phoneticPr fontId="134" type="noConversion"/>
  </si>
  <si>
    <t>YJ2024-009</t>
    <phoneticPr fontId="134" type="noConversion"/>
  </si>
  <si>
    <t>押一</t>
  </si>
  <si>
    <t>生产用房</t>
  </si>
  <si>
    <t>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t>
    <phoneticPr fontId="40" type="noConversion"/>
  </si>
  <si>
    <t>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t>
    <phoneticPr fontId="40" type="noConversion"/>
  </si>
  <si>
    <t>估价对象所在区域基础设施水平：五通</t>
    <phoneticPr fontId="24" type="noConversion"/>
  </si>
  <si>
    <t>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t>
    <phoneticPr fontId="40" type="noConversion"/>
  </si>
  <si>
    <r>
      <rPr>
        <sz val="11"/>
        <rFont val="宋体"/>
        <family val="3"/>
        <charset val="134"/>
      </rPr>
      <t>周边有</t>
    </r>
    <r>
      <rPr>
        <sz val="11"/>
        <rFont val="Arial"/>
        <family val="2"/>
      </rPr>
      <t>310</t>
    </r>
    <r>
      <rPr>
        <sz val="11"/>
        <rFont val="宋体"/>
        <family val="3"/>
        <charset val="134"/>
      </rPr>
      <t>、</t>
    </r>
    <r>
      <rPr>
        <sz val="11"/>
        <rFont val="Arial"/>
        <family val="2"/>
      </rPr>
      <t>501</t>
    </r>
    <r>
      <rPr>
        <sz val="11"/>
        <rFont val="宋体"/>
        <family val="3"/>
        <charset val="134"/>
      </rPr>
      <t>路等多条公共路线、停车较不便捷，距高速路——京秦高速约</t>
    </r>
    <r>
      <rPr>
        <sz val="11"/>
        <rFont val="Arial"/>
        <family val="2"/>
      </rPr>
      <t>2.6</t>
    </r>
    <r>
      <rPr>
        <sz val="11"/>
        <rFont val="宋体"/>
        <family val="3"/>
        <charset val="134"/>
      </rPr>
      <t>公里，距城市主干道——迎宾路约</t>
    </r>
    <r>
      <rPr>
        <sz val="11"/>
        <rFont val="Arial"/>
        <family val="2"/>
      </rPr>
      <t>3.6</t>
    </r>
    <r>
      <rPr>
        <sz val="11"/>
        <rFont val="宋体"/>
        <family val="3"/>
        <charset val="134"/>
      </rPr>
      <t>公里。综合评价交通便捷度一般。</t>
    </r>
    <phoneticPr fontId="32" type="noConversion"/>
  </si>
  <si>
    <t>该园区内无污染型企业，绿化较好，卫生条件良好，整体环境状况较好。</t>
    <phoneticPr fontId="32" type="noConversion"/>
  </si>
  <si>
    <t>该园区内无污染型企业，绿化较好，卫生条件良好，整体环境状况较好。北京经济技术职业学院</t>
    <phoneticPr fontId="32" type="noConversion"/>
  </si>
  <si>
    <t>位于燕郊开发区内，有岩稀土高技术有限公司</t>
    <phoneticPr fontId="32" type="noConversion"/>
  </si>
  <si>
    <t>河北博俊科技有限公司</t>
    <phoneticPr fontId="134" type="noConversion"/>
  </si>
  <si>
    <t>位于燕郊开发区内，</t>
    <phoneticPr fontId="32" type="noConversion"/>
  </si>
  <si>
    <r>
      <t>302</t>
    </r>
    <r>
      <rPr>
        <sz val="11"/>
        <rFont val="宋体"/>
        <family val="3"/>
        <charset val="134"/>
      </rPr>
      <t>、</t>
    </r>
    <r>
      <rPr>
        <sz val="11"/>
        <rFont val="Arial"/>
        <family val="2"/>
      </rPr>
      <t>305</t>
    </r>
    <phoneticPr fontId="32" type="noConversion"/>
  </si>
  <si>
    <r>
      <rPr>
        <sz val="11"/>
        <rFont val="宋体"/>
        <family val="3"/>
        <charset val="134"/>
      </rPr>
      <t>周边有</t>
    </r>
    <r>
      <rPr>
        <sz val="11"/>
        <rFont val="Arial"/>
        <family val="2"/>
      </rPr>
      <t>302</t>
    </r>
    <r>
      <rPr>
        <sz val="11"/>
        <rFont val="宋体"/>
        <family val="3"/>
        <charset val="134"/>
      </rPr>
      <t>、</t>
    </r>
    <r>
      <rPr>
        <sz val="11"/>
        <rFont val="Arial"/>
        <family val="2"/>
      </rPr>
      <t>303</t>
    </r>
    <r>
      <rPr>
        <sz val="11"/>
        <rFont val="宋体"/>
        <family val="3"/>
        <charset val="134"/>
      </rPr>
      <t>、</t>
    </r>
    <r>
      <rPr>
        <sz val="11"/>
        <rFont val="Arial"/>
        <family val="2"/>
      </rPr>
      <t>501</t>
    </r>
    <r>
      <rPr>
        <sz val="11"/>
        <rFont val="宋体"/>
        <family val="3"/>
        <charset val="134"/>
      </rPr>
      <t>路等多条公共路线、停车较不便捷，临城市主干道——迎宾路距高速路——京秦高速约</t>
    </r>
    <r>
      <rPr>
        <sz val="11"/>
        <rFont val="Arial"/>
        <family val="2"/>
      </rPr>
      <t>400</t>
    </r>
    <r>
      <rPr>
        <sz val="11"/>
        <rFont val="宋体"/>
        <family val="3"/>
        <charset val="134"/>
      </rPr>
      <t>米。综合评价交通便捷度较好。</t>
    </r>
    <phoneticPr fontId="32" type="noConversion"/>
  </si>
  <si>
    <t>该园区内无污染型企业，绿化较好，卫生条件良好，整体环境状况较好。幸福公园、燕郊滨河森林公园</t>
    <phoneticPr fontId="32" type="noConversion"/>
  </si>
  <si>
    <t>周边2公里内零星分布购物场所、医院、银行、学校等公共服务配套设施，公共服务设施齐备程度一般。中国农业银行、三河农商银行，三河市文翰幼儿园、三河市高楼小学、三河市第五中学；高楼中心卫生院、</t>
    <phoneticPr fontId="32" type="noConversion"/>
  </si>
  <si>
    <t>成本法</t>
  </si>
  <si>
    <t>总价</t>
  </si>
  <si>
    <t>成本比率</t>
  </si>
  <si>
    <t>情况3</t>
  </si>
  <si>
    <t>自行开发建设</t>
  </si>
  <si>
    <t>非个人房产</t>
  </si>
  <si>
    <t>出让金+开发费</t>
  </si>
  <si>
    <t>企业提供（在右侧录入）</t>
  </si>
  <si>
    <t>建筑面积</t>
  </si>
  <si>
    <t>建安单价</t>
  </si>
  <si>
    <t>钣金车间</t>
  </si>
  <si>
    <t>生产车间</t>
  </si>
  <si>
    <t>组装车间</t>
  </si>
  <si>
    <t>三河市城市基础设施配套费征收管理办法http://www.yanjiao.gov.cn/shows/16/9503.html</t>
    <phoneticPr fontId="3" type="noConversion"/>
  </si>
  <si>
    <t>星仪传感器制造有限公司</t>
    <phoneticPr fontId="134" type="noConversion"/>
  </si>
  <si>
    <t>燕郊高新区留山大街北侧、福成北路西侧</t>
    <phoneticPr fontId="134" type="noConversion"/>
  </si>
  <si>
    <t>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t>
  </si>
  <si>
    <t>周边2公里内零星分布购物场所、医院、银行、学校等公共服务配套设施，公共服务设施齐备程度一般。廊坊银行，北大附校幼儿园、三河市北杨庄小学</t>
    <phoneticPr fontId="32" type="noConversion"/>
  </si>
  <si>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</si>
  <si>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</si>
  <si>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</si>
  <si>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</si>
  <si>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</si>
  <si>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</si>
  <si>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</si>
  <si>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</si>
  <si>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</si>
  <si>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</si>
  <si>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</si>
  <si>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</si>
  <si>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</si>
  <si>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</si>
  <si>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</si>
  <si>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</si>
  <si>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</si>
  <si>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</si>
  <si>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</si>
  <si>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</si>
  <si>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</si>
  <si>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</si>
  <si>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</si>
  <si>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</si>
  <si>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</si>
  <si>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</si>
  <si>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钢</t>
  </si>
  <si>
    <r>
      <t>2021</t>
    </r>
    <r>
      <rPr>
        <sz val="10"/>
        <color rgb="FF000000"/>
        <rFont val="宋体"/>
        <family val="2"/>
        <charset val="134"/>
      </rPr>
      <t>年</t>
    </r>
    <phoneticPr fontId="3" type="noConversion"/>
  </si>
  <si>
    <r>
      <t>2022</t>
    </r>
    <r>
      <rPr>
        <sz val="10"/>
        <color indexed="8"/>
        <rFont val="宋体"/>
        <family val="3"/>
        <charset val="134"/>
      </rPr>
      <t>年</t>
    </r>
    <phoneticPr fontId="8" type="noConversion"/>
  </si>
  <si>
    <t>总价（万元）</t>
    <phoneticPr fontId="8" type="noConversion"/>
  </si>
  <si>
    <r>
      <rPr>
        <sz val="10"/>
        <color indexed="8"/>
        <rFont val="宋体"/>
        <family val="3"/>
        <charset val="134"/>
      </rPr>
      <t>楼面单价（元</t>
    </r>
    <r>
      <rPr>
        <sz val="10"/>
        <color indexed="8"/>
        <rFont val="Arial"/>
        <family val="2"/>
      </rPr>
      <t>/</t>
    </r>
    <r>
      <rPr>
        <sz val="10"/>
        <color indexed="8"/>
        <rFont val="宋体"/>
        <family val="3"/>
        <charset val="134"/>
      </rPr>
      <t>平方米）</t>
    </r>
    <phoneticPr fontId="8" type="noConversion"/>
  </si>
  <si>
    <r>
      <rPr>
        <sz val="10"/>
        <color indexed="8"/>
        <rFont val="宋体"/>
        <family val="3"/>
        <charset val="134"/>
      </rPr>
      <t>地面单价（元</t>
    </r>
    <r>
      <rPr>
        <sz val="10"/>
        <color indexed="8"/>
        <rFont val="Arial"/>
        <family val="2"/>
      </rPr>
      <t>/</t>
    </r>
    <r>
      <rPr>
        <sz val="10"/>
        <color indexed="8"/>
        <rFont val="宋体"/>
        <family val="3"/>
        <charset val="134"/>
      </rPr>
      <t>平方米）</t>
    </r>
    <phoneticPr fontId="8" type="noConversion"/>
  </si>
  <si>
    <r>
      <t>6-7</t>
    </r>
    <r>
      <rPr>
        <sz val="10"/>
        <color indexed="8"/>
        <rFont val="宋体"/>
        <family val="3"/>
        <charset val="134"/>
      </rPr>
      <t>毛不含税</t>
    </r>
    <phoneticPr fontId="3" type="noConversion"/>
  </si>
  <si>
    <r>
      <t>8</t>
    </r>
    <r>
      <rPr>
        <sz val="10"/>
        <color indexed="8"/>
        <rFont val="宋体"/>
        <family val="3"/>
        <charset val="134"/>
      </rPr>
      <t>毛含税</t>
    </r>
    <phoneticPr fontId="3" type="noConversion"/>
  </si>
  <si>
    <r>
      <rPr>
        <sz val="10"/>
        <color indexed="8"/>
        <rFont val="宋体"/>
        <family val="3"/>
        <charset val="134"/>
      </rPr>
      <t>厂房</t>
    </r>
    <r>
      <rPr>
        <sz val="10"/>
        <color indexed="8"/>
        <rFont val="Arial"/>
        <family val="2"/>
      </rPr>
      <t>+</t>
    </r>
    <r>
      <rPr>
        <sz val="10"/>
        <color indexed="8"/>
        <rFont val="宋体"/>
        <family val="3"/>
        <charset val="134"/>
      </rPr>
      <t>办公楼</t>
    </r>
    <phoneticPr fontId="3" type="noConversion"/>
  </si>
  <si>
    <t>市调租金</t>
    <phoneticPr fontId="3" type="noConversion"/>
  </si>
  <si>
    <t>同一抵押权人续贷</t>
    <phoneticPr fontId="6" type="noConversion"/>
  </si>
  <si>
    <t>租金</t>
    <phoneticPr fontId="3" type="noConversion"/>
  </si>
  <si>
    <t>七通</t>
  </si>
  <si>
    <t>周边2公里内零星分布购物场所、医院、银行、学校等公共服务配套设施</t>
    <phoneticPr fontId="32" type="noConversion"/>
  </si>
  <si>
    <t>房产原值</t>
    <phoneticPr fontId="134" type="noConversion"/>
  </si>
  <si>
    <t>土地原值</t>
    <phoneticPr fontId="134" type="noConversion"/>
  </si>
  <si>
    <t>工行要净值，放款参考</t>
    <phoneticPr fontId="8" type="noConversion"/>
  </si>
  <si>
    <t>根据土地出让合同，七通一平</t>
    <phoneticPr fontId="134" type="noConversion"/>
  </si>
  <si>
    <t>项目内有两个门卫房未办理产权证</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</si>
</sst>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_쐀"/>
    <numFmt numFmtId="197" formatCode="0.0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宋体"/>
      <family val="3"/>
      <charset val="134"/>
      <scheme val="minor"/>
    </font>
    <font>
      <sz val="10"/>
      <color theme="9" tint="-0.249977111117893"/>
      <name val="Arial"/>
      <family val="3"/>
      <charset val="134"/>
    </font>
    <font>
      <sz val="11"/>
      <name val="Arial"/>
      <family val="3"/>
      <charset val="134"/>
    </font>
    <font>
      <i/>
      <sz val="9"/>
      <color theme="1"/>
      <name val="Arial"/>
      <family val="2"/>
    </font>
    <font>
      <sz val="10"/>
      <color rgb="FF000000"/>
      <name val="宋体"/>
      <family val="2"/>
      <charset val="134"/>
    </font>
    <font>
      <sz val="10"/>
      <color indexed="8"/>
      <name val="Arial"/>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31" fontId="0" fillId="0" borderId="1" xfId="0" applyNumberFormat="1" applyBorder="1" applyAlignment="1">
      <alignment vertical="center" wrapText="1"/>
    </xf>
    <xf numFmtId="0" fontId="95" fillId="5" borderId="1" xfId="0" applyFont="1" applyFill="1" applyBorder="1" applyAlignment="1">
      <alignment vertical="center" wrapText="1"/>
    </xf>
    <xf numFmtId="0" fontId="270" fillId="0" borderId="1" xfId="0" applyFont="1" applyBorder="1" applyAlignment="1">
      <alignment vertical="center" wrapText="1"/>
    </xf>
    <xf numFmtId="0" fontId="77" fillId="7" borderId="5"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4" fontId="0" fillId="0" borderId="0" xfId="0" applyNumberFormat="1" applyAlignment="1"/>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5" borderId="0" xfId="0" applyFont="1" applyFill="1" applyAlignment="1"/>
    <xf numFmtId="0" fontId="0" fillId="5" borderId="0" xfId="0" applyFill="1" applyAlignment="1"/>
    <xf numFmtId="14" fontId="0" fillId="5" borderId="0" xfId="0" applyNumberForma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49" fontId="272" fillId="0" borderId="14"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197" fontId="98" fillId="0" borderId="23" xfId="0" applyNumberFormat="1" applyFont="1" applyBorder="1" applyProtection="1">
      <alignment vertical="center"/>
      <protection locked="0"/>
    </xf>
    <xf numFmtId="196" fontId="113" fillId="0" borderId="1" xfId="0" applyNumberFormat="1" applyFont="1" applyBorder="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3" fillId="22" borderId="0" xfId="0" applyFont="1" applyFill="1" applyAlignment="1" applyProtection="1">
      <alignment horizontal="right" vertical="center" wrapText="1"/>
      <protection locked="0"/>
    </xf>
    <xf numFmtId="0" fontId="273"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9" fontId="0" fillId="0" borderId="0" xfId="0" applyNumberFormat="1" applyProtection="1">
      <alignment vertical="center"/>
      <protection locked="0"/>
    </xf>
    <xf numFmtId="0" fontId="44" fillId="12" borderId="64" xfId="0" applyFont="1" applyFill="1" applyBorder="1" applyProtection="1">
      <alignment vertical="center"/>
      <protection locked="0"/>
    </xf>
    <xf numFmtId="0" fontId="47" fillId="28" borderId="0" xfId="0" applyFont="1" applyFill="1" applyProtection="1">
      <alignment vertical="center"/>
      <protection locked="0"/>
    </xf>
    <xf numFmtId="0" fontId="77" fillId="28" borderId="0" xfId="0" applyFont="1" applyFill="1" applyProtection="1">
      <alignment vertical="center"/>
      <protection locked="0"/>
    </xf>
    <xf numFmtId="0" fontId="275" fillId="28" borderId="0" xfId="0" applyFont="1" applyFill="1" applyProtection="1">
      <alignment vertical="center"/>
      <protection locked="0"/>
    </xf>
    <xf numFmtId="0" fontId="95" fillId="0" borderId="0" xfId="0" applyFont="1" applyAlignment="1">
      <alignment vertical="center" wrapText="1"/>
    </xf>
    <xf numFmtId="0" fontId="275" fillId="12" borderId="0" xfId="0" applyFont="1" applyFill="1" applyProtection="1">
      <alignment vertical="center"/>
      <protection locked="0"/>
    </xf>
    <xf numFmtId="0" fontId="77" fillId="12" borderId="0" xfId="0" applyFont="1" applyFill="1" applyAlignment="1" applyProtection="1">
      <alignment horizontal="center" vertical="center" wrapText="1"/>
      <protection locked="0"/>
    </xf>
    <xf numFmtId="0" fontId="77" fillId="0" borderId="0" xfId="0" applyFont="1" applyProtection="1">
      <alignment vertical="center"/>
      <protection locked="0"/>
    </xf>
    <xf numFmtId="9" fontId="0" fillId="0" borderId="82" xfId="0" applyNumberFormat="1" applyBorder="1" applyProtection="1">
      <alignment vertical="center"/>
      <protection locked="0"/>
    </xf>
    <xf numFmtId="0" fontId="113" fillId="12" borderId="82" xfId="0" applyFont="1" applyFill="1" applyBorder="1" applyProtection="1">
      <alignment vertical="center"/>
      <protection locked="0"/>
    </xf>
    <xf numFmtId="0" fontId="47" fillId="12" borderId="82" xfId="0" applyFont="1" applyFill="1" applyBorder="1" applyAlignment="1" applyProtection="1">
      <alignment horizontal="center" vertical="center"/>
      <protection locked="0"/>
    </xf>
    <xf numFmtId="0" fontId="114"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19</xdr:row>
      <xdr:rowOff>175260</xdr:rowOff>
    </xdr:from>
    <xdr:to>
      <xdr:col>3</xdr:col>
      <xdr:colOff>418743</xdr:colOff>
      <xdr:row>27</xdr:row>
      <xdr:rowOff>7458</xdr:rowOff>
    </xdr:to>
    <xdr:pic>
      <xdr:nvPicPr>
        <xdr:cNvPr id="2" name="图片 1">
          <a:extLst>
            <a:ext uri="{FF2B5EF4-FFF2-40B4-BE49-F238E27FC236}">
              <a16:creationId xmlns:a16="http://schemas.microsoft.com/office/drawing/2014/main" id="{80BE207F-9DAB-A503-F248-EB45B9AAB170}"/>
            </a:ext>
          </a:extLst>
        </xdr:cNvPr>
        <xdr:cNvPicPr>
          <a:picLocks noChangeAspect="1"/>
        </xdr:cNvPicPr>
      </xdr:nvPicPr>
      <xdr:blipFill>
        <a:blip xmlns:r="http://schemas.openxmlformats.org/officeDocument/2006/relationships" r:embed="rId1"/>
        <a:stretch>
          <a:fillRect/>
        </a:stretch>
      </xdr:blipFill>
      <xdr:spPr>
        <a:xfrm>
          <a:off x="502920" y="4747260"/>
          <a:ext cx="2857143" cy="1295238"/>
        </a:xfrm>
        <a:prstGeom prst="rect">
          <a:avLst/>
        </a:prstGeom>
      </xdr:spPr>
    </xdr:pic>
    <xdr:clientData/>
  </xdr:twoCellAnchor>
  <xdr:twoCellAnchor editAs="oneCell">
    <xdr:from>
      <xdr:col>3</xdr:col>
      <xdr:colOff>1150620</xdr:colOff>
      <xdr:row>21</xdr:row>
      <xdr:rowOff>38100</xdr:rowOff>
    </xdr:from>
    <xdr:to>
      <xdr:col>6</xdr:col>
      <xdr:colOff>1623</xdr:colOff>
      <xdr:row>24</xdr:row>
      <xdr:rowOff>51365</xdr:rowOff>
    </xdr:to>
    <xdr:pic>
      <xdr:nvPicPr>
        <xdr:cNvPr id="3" name="图片 2">
          <a:extLst>
            <a:ext uri="{FF2B5EF4-FFF2-40B4-BE49-F238E27FC236}">
              <a16:creationId xmlns:a16="http://schemas.microsoft.com/office/drawing/2014/main" id="{5503232F-9571-7174-60EF-3C151553D957}"/>
            </a:ext>
          </a:extLst>
        </xdr:cNvPr>
        <xdr:cNvPicPr>
          <a:picLocks noChangeAspect="1"/>
        </xdr:cNvPicPr>
      </xdr:nvPicPr>
      <xdr:blipFill>
        <a:blip xmlns:r="http://schemas.openxmlformats.org/officeDocument/2006/relationships" r:embed="rId2"/>
        <a:stretch>
          <a:fillRect/>
        </a:stretch>
      </xdr:blipFill>
      <xdr:spPr>
        <a:xfrm>
          <a:off x="4091940" y="4975860"/>
          <a:ext cx="2257143" cy="561905"/>
        </a:xfrm>
        <a:prstGeom prst="rect">
          <a:avLst/>
        </a:prstGeom>
      </xdr:spPr>
    </xdr:pic>
    <xdr:clientData/>
  </xdr:twoCellAnchor>
  <xdr:twoCellAnchor editAs="oneCell">
    <xdr:from>
      <xdr:col>3</xdr:col>
      <xdr:colOff>1135380</xdr:colOff>
      <xdr:row>24</xdr:row>
      <xdr:rowOff>7620</xdr:rowOff>
    </xdr:from>
    <xdr:to>
      <xdr:col>6</xdr:col>
      <xdr:colOff>62573</xdr:colOff>
      <xdr:row>28</xdr:row>
      <xdr:rowOff>95148</xdr:rowOff>
    </xdr:to>
    <xdr:pic>
      <xdr:nvPicPr>
        <xdr:cNvPr id="4" name="图片 3">
          <a:extLst>
            <a:ext uri="{FF2B5EF4-FFF2-40B4-BE49-F238E27FC236}">
              <a16:creationId xmlns:a16="http://schemas.microsoft.com/office/drawing/2014/main" id="{4CD03B2A-6DD8-C030-6927-0BD9302FDA11}"/>
            </a:ext>
          </a:extLst>
        </xdr:cNvPr>
        <xdr:cNvPicPr>
          <a:picLocks noChangeAspect="1"/>
        </xdr:cNvPicPr>
      </xdr:nvPicPr>
      <xdr:blipFill>
        <a:blip xmlns:r="http://schemas.openxmlformats.org/officeDocument/2006/relationships" r:embed="rId3"/>
        <a:stretch>
          <a:fillRect/>
        </a:stretch>
      </xdr:blipFill>
      <xdr:spPr>
        <a:xfrm>
          <a:off x="4076700" y="5494020"/>
          <a:ext cx="2333333" cy="819048"/>
        </a:xfrm>
        <a:prstGeom prst="rect">
          <a:avLst/>
        </a:prstGeom>
      </xdr:spPr>
    </xdr:pic>
    <xdr:clientData/>
  </xdr:twoCellAnchor>
  <xdr:twoCellAnchor editAs="oneCell">
    <xdr:from>
      <xdr:col>5</xdr:col>
      <xdr:colOff>495300</xdr:colOff>
      <xdr:row>12</xdr:row>
      <xdr:rowOff>114300</xdr:rowOff>
    </xdr:from>
    <xdr:to>
      <xdr:col>11</xdr:col>
      <xdr:colOff>1009109</xdr:colOff>
      <xdr:row>18</xdr:row>
      <xdr:rowOff>121782</xdr:rowOff>
    </xdr:to>
    <xdr:pic>
      <xdr:nvPicPr>
        <xdr:cNvPr id="5" name="图片 4">
          <a:extLst>
            <a:ext uri="{FF2B5EF4-FFF2-40B4-BE49-F238E27FC236}">
              <a16:creationId xmlns:a16="http://schemas.microsoft.com/office/drawing/2014/main" id="{180D6504-F345-A853-6360-3A6B853EB7D7}"/>
            </a:ext>
          </a:extLst>
        </xdr:cNvPr>
        <xdr:cNvPicPr>
          <a:picLocks noChangeAspect="1"/>
        </xdr:cNvPicPr>
      </xdr:nvPicPr>
      <xdr:blipFill>
        <a:blip xmlns:r="http://schemas.openxmlformats.org/officeDocument/2006/relationships" r:embed="rId4"/>
        <a:stretch>
          <a:fillRect/>
        </a:stretch>
      </xdr:blipFill>
      <xdr:spPr>
        <a:xfrm>
          <a:off x="6126480" y="3406140"/>
          <a:ext cx="4323809" cy="1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179379</xdr:colOff>
      <xdr:row>0</xdr:row>
      <xdr:rowOff>121920</xdr:rowOff>
    </xdr:from>
    <xdr:to>
      <xdr:col>15</xdr:col>
      <xdr:colOff>520297</xdr:colOff>
      <xdr:row>24</xdr:row>
      <xdr:rowOff>68580</xdr:rowOff>
    </xdr:to>
    <xdr:pic>
      <xdr:nvPicPr>
        <xdr:cNvPr id="2" name="图片 1">
          <a:extLst>
            <a:ext uri="{FF2B5EF4-FFF2-40B4-BE49-F238E27FC236}">
              <a16:creationId xmlns:a16="http://schemas.microsoft.com/office/drawing/2014/main" id="{830788DD-8BA8-2C94-A8A8-DC7E30434408}"/>
            </a:ext>
          </a:extLst>
        </xdr:cNvPr>
        <xdr:cNvPicPr>
          <a:picLocks noChangeAspect="1"/>
        </xdr:cNvPicPr>
      </xdr:nvPicPr>
      <xdr:blipFill>
        <a:blip xmlns:r="http://schemas.openxmlformats.org/officeDocument/2006/relationships" r:embed="rId1"/>
        <a:stretch>
          <a:fillRect/>
        </a:stretch>
      </xdr:blipFill>
      <xdr:spPr>
        <a:xfrm>
          <a:off x="179379" y="121920"/>
          <a:ext cx="9484918" cy="4335780"/>
        </a:xfrm>
        <a:prstGeom prst="rect">
          <a:avLst/>
        </a:prstGeom>
      </xdr:spPr>
    </xdr:pic>
    <xdr:clientData/>
  </xdr:twoCellAnchor>
  <xdr:twoCellAnchor editAs="oneCell">
    <xdr:from>
      <xdr:col>0</xdr:col>
      <xdr:colOff>0</xdr:colOff>
      <xdr:row>25</xdr:row>
      <xdr:rowOff>0</xdr:rowOff>
    </xdr:from>
    <xdr:to>
      <xdr:col>24</xdr:col>
      <xdr:colOff>141028</xdr:colOff>
      <xdr:row>63</xdr:row>
      <xdr:rowOff>60084</xdr:rowOff>
    </xdr:to>
    <xdr:pic>
      <xdr:nvPicPr>
        <xdr:cNvPr id="5" name="图片 4">
          <a:extLst>
            <a:ext uri="{FF2B5EF4-FFF2-40B4-BE49-F238E27FC236}">
              <a16:creationId xmlns:a16="http://schemas.microsoft.com/office/drawing/2014/main" id="{BAF4E980-92D6-D3CD-33FD-53D6B1C50CAA}"/>
            </a:ext>
          </a:extLst>
        </xdr:cNvPr>
        <xdr:cNvPicPr>
          <a:picLocks noChangeAspect="1"/>
        </xdr:cNvPicPr>
      </xdr:nvPicPr>
      <xdr:blipFill>
        <a:blip xmlns:r="http://schemas.openxmlformats.org/officeDocument/2006/relationships" r:embed="rId2"/>
        <a:stretch>
          <a:fillRect/>
        </a:stretch>
      </xdr:blipFill>
      <xdr:spPr>
        <a:xfrm>
          <a:off x="0" y="4572000"/>
          <a:ext cx="14771428" cy="7009524"/>
        </a:xfrm>
        <a:prstGeom prst="rect">
          <a:avLst/>
        </a:prstGeom>
      </xdr:spPr>
    </xdr:pic>
    <xdr:clientData/>
  </xdr:twoCellAnchor>
  <xdr:twoCellAnchor editAs="oneCell">
    <xdr:from>
      <xdr:col>0</xdr:col>
      <xdr:colOff>0</xdr:colOff>
      <xdr:row>66</xdr:row>
      <xdr:rowOff>0</xdr:rowOff>
    </xdr:from>
    <xdr:to>
      <xdr:col>24</xdr:col>
      <xdr:colOff>36267</xdr:colOff>
      <xdr:row>103</xdr:row>
      <xdr:rowOff>147726</xdr:rowOff>
    </xdr:to>
    <xdr:pic>
      <xdr:nvPicPr>
        <xdr:cNvPr id="6" name="图片 5">
          <a:extLst>
            <a:ext uri="{FF2B5EF4-FFF2-40B4-BE49-F238E27FC236}">
              <a16:creationId xmlns:a16="http://schemas.microsoft.com/office/drawing/2014/main" id="{7EAC87A2-4FE4-0EF3-47D4-8FDA1F720615}"/>
            </a:ext>
          </a:extLst>
        </xdr:cNvPr>
        <xdr:cNvPicPr>
          <a:picLocks noChangeAspect="1"/>
        </xdr:cNvPicPr>
      </xdr:nvPicPr>
      <xdr:blipFill>
        <a:blip xmlns:r="http://schemas.openxmlformats.org/officeDocument/2006/relationships" r:embed="rId3"/>
        <a:stretch>
          <a:fillRect/>
        </a:stretch>
      </xdr:blipFill>
      <xdr:spPr>
        <a:xfrm>
          <a:off x="0" y="12070080"/>
          <a:ext cx="14666667" cy="6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河北省廊坊市三河市燕郊开发区燕新大街1号房地产抵押价值预评估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受贵公司委托，我公司对河北省廊坊市三河市燕郊开发区燕新大街1号房地产抵押价值进行了预评估。</v>
      </c>
    </row>
    <row r="7" spans="1:2">
      <c r="A7" s="1119" t="s">
        <v>566</v>
      </c>
      <c r="B7" s="1120" t="str">
        <f>'预评函-1'!A7</f>
        <v>估价对象为河北省廊坊市三河市燕郊开发区燕新大街1号房地产，为欧伏电气股份有限公司所有。根据《国有土地使用证》[]，估价对象（分摊）出让国有建设用地使用权面积为24593平方米，建筑面积为29587.64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2024年10月29日（评估专业人员实地查勘之日）</v>
      </c>
    </row>
    <row r="13" spans="1:2">
      <c r="A13" s="1119" t="s">
        <v>529</v>
      </c>
      <c r="B13" s="1120" t="str">
        <f>'预评函-1'!A18</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4" spans="1:2">
      <c r="A14" s="1119" t="s">
        <v>530</v>
      </c>
      <c r="B14" s="1120" t="str">
        <f>'预评函-1'!A19</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11048</v>
      </c>
    </row>
    <row r="21" spans="1:2">
      <c r="A21" s="1119" t="s">
        <v>537</v>
      </c>
      <c r="B21" s="1120">
        <f ca="1">'预评函-2'!D7</f>
        <v>3734</v>
      </c>
    </row>
    <row r="22" spans="1:2">
      <c r="A22" s="1119" t="s">
        <v>538</v>
      </c>
      <c r="B22" s="1120" t="str">
        <f ca="1">'预评函-2'!D6</f>
        <v>壹亿壹仟零肆拾捌万元整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11048</v>
      </c>
    </row>
    <row r="31" spans="1:2">
      <c r="A31" s="1119" t="s">
        <v>576</v>
      </c>
      <c r="B31" s="1120">
        <f ca="1">'预评函-2'!D15</f>
        <v>3734</v>
      </c>
    </row>
    <row r="32" spans="1:2">
      <c r="A32" s="1119" t="s">
        <v>543</v>
      </c>
      <c r="B32" s="1120" t="str">
        <f ca="1">'预评函-2'!D14</f>
        <v>壹亿壹仟零肆拾捌万元整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河北省廊坊市三河市燕郊开发区燕新大街1号房地产</v>
      </c>
    </row>
    <row r="42" spans="1:2" ht="31.2">
      <c r="A42" s="1119" t="s">
        <v>590</v>
      </c>
      <c r="B42" s="1120" t="str">
        <f>'预评函-3'!B2</f>
        <v>建筑面积</v>
      </c>
    </row>
    <row r="43" spans="1:2">
      <c r="A43" s="1119" t="s">
        <v>591</v>
      </c>
      <c r="B43" s="1120">
        <f>'预评函-3'!B4</f>
        <v>29587.64</v>
      </c>
    </row>
    <row r="44" spans="1:2" ht="31.2">
      <c r="A44" s="1119" t="s">
        <v>575</v>
      </c>
      <c r="B44" s="1120" t="str">
        <f>'预评函-3'!C2</f>
        <v>(分摊)土地面积</v>
      </c>
    </row>
    <row r="45" spans="1:2">
      <c r="A45" s="1119" t="s">
        <v>547</v>
      </c>
      <c r="B45" s="1120">
        <f>'预评函-3'!C4</f>
        <v>24593</v>
      </c>
    </row>
    <row r="46" spans="1:2">
      <c r="A46" s="1119" t="s">
        <v>573</v>
      </c>
      <c r="B46" s="1120" t="str">
        <f>'预评函-3'!D2</f>
        <v>出让国有建设用地使用权价值</v>
      </c>
    </row>
    <row r="47" spans="1:2">
      <c r="A47" s="1119" t="s">
        <v>548</v>
      </c>
      <c r="B47" s="1120">
        <f ca="1">'预评函-3'!D4</f>
        <v>2685</v>
      </c>
    </row>
    <row r="48" spans="1:2">
      <c r="A48" s="1119" t="s">
        <v>549</v>
      </c>
      <c r="B48" s="1120">
        <f ca="1">'预评函-3'!E4</f>
        <v>907</v>
      </c>
    </row>
    <row r="49" spans="1:2">
      <c r="A49" s="1119" t="s">
        <v>550</v>
      </c>
      <c r="B49" s="1120" t="str">
        <f ca="1">'预评函-3'!D5</f>
        <v>贰仟陆佰捌拾伍万元整</v>
      </c>
    </row>
    <row r="50" spans="1:2">
      <c r="A50" s="1119" t="s">
        <v>574</v>
      </c>
      <c r="B50" s="1120" t="str">
        <f>'预评函-3'!F2</f>
        <v>在建建筑物价值</v>
      </c>
    </row>
    <row r="51" spans="1:2">
      <c r="A51" s="1119" t="s">
        <v>551</v>
      </c>
      <c r="B51" s="1120">
        <f ca="1">'预评函-3'!F4</f>
        <v>8363</v>
      </c>
    </row>
    <row r="52" spans="1:2">
      <c r="A52" s="1119" t="s">
        <v>552</v>
      </c>
      <c r="B52" s="1120">
        <f ca="1">'预评函-3'!G4</f>
        <v>2827</v>
      </c>
    </row>
    <row r="53" spans="1:2">
      <c r="A53" s="1119" t="s">
        <v>580</v>
      </c>
      <c r="B53" s="1120" t="str">
        <f ca="1">'预评函-3'!F5</f>
        <v>捌仟叁佰陆拾叁万元整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29"/>
      <c r="B54" s="1447" t="s">
        <v>385</v>
      </c>
      <c r="C54" s="1445" t="s">
        <v>583</v>
      </c>
    </row>
    <row r="55" spans="1:4">
      <c r="A55" s="3229"/>
      <c r="B55" s="1447" t="s">
        <v>386</v>
      </c>
      <c r="C55" s="1445" t="s">
        <v>584</v>
      </c>
    </row>
    <row r="56" spans="1:4">
      <c r="A56" s="3229"/>
      <c r="B56" s="1447" t="s">
        <v>387</v>
      </c>
      <c r="C56" s="1445" t="s">
        <v>588</v>
      </c>
    </row>
    <row r="57" spans="1:4">
      <c r="A57" s="322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2500</v>
      </c>
      <c r="B1" s="2751"/>
      <c r="C1" s="2751"/>
      <c r="D1" s="2751"/>
      <c r="E1" s="2751"/>
      <c r="F1" s="2752"/>
      <c r="I1" s="3129" t="s">
        <v>2593</v>
      </c>
      <c r="J1" s="2777"/>
      <c r="K1" s="2777"/>
      <c r="L1" s="2777"/>
      <c r="M1" s="2777"/>
      <c r="N1" s="2962"/>
      <c r="O1" s="2962"/>
      <c r="P1" s="2962"/>
      <c r="Q1" s="2962"/>
      <c r="R1" s="2962"/>
    </row>
    <row r="2" spans="1:18">
      <c r="A2" s="2754"/>
      <c r="B2" s="2755"/>
      <c r="C2" s="2755"/>
      <c r="D2" s="2755"/>
      <c r="E2" s="2755"/>
      <c r="F2" s="2756"/>
      <c r="I2" s="3230" t="s">
        <v>2580</v>
      </c>
      <c r="J2" s="3230"/>
      <c r="K2" s="3230"/>
      <c r="L2" s="3230"/>
      <c r="M2" s="3230"/>
      <c r="N2" s="3230"/>
      <c r="O2" s="3230"/>
      <c r="P2" s="3230"/>
      <c r="Q2" s="3230"/>
      <c r="R2" s="3230"/>
    </row>
    <row r="3" spans="1:18">
      <c r="A3" s="2757" t="s">
        <v>2501</v>
      </c>
      <c r="B3" s="2758">
        <f>项目基本情况!D3</f>
        <v>45594</v>
      </c>
      <c r="C3" s="2760"/>
      <c r="D3" s="2760"/>
      <c r="E3" s="2760"/>
      <c r="F3" s="2756"/>
      <c r="I3" s="2772"/>
      <c r="J3" s="2772" t="s">
        <v>2584</v>
      </c>
      <c r="K3" s="2772" t="s">
        <v>2585</v>
      </c>
      <c r="L3" s="2772" t="s">
        <v>2586</v>
      </c>
      <c r="M3" s="2772" t="s">
        <v>2587</v>
      </c>
      <c r="N3" s="3130" t="s">
        <v>2588</v>
      </c>
      <c r="O3" s="3130" t="s">
        <v>2589</v>
      </c>
      <c r="P3" s="3130" t="s">
        <v>2590</v>
      </c>
      <c r="Q3" s="3130" t="s">
        <v>2591</v>
      </c>
      <c r="R3" s="3130" t="s">
        <v>2592</v>
      </c>
    </row>
    <row r="4" spans="1:18">
      <c r="A4" s="2757" t="s">
        <v>2502</v>
      </c>
      <c r="B4" s="2760" t="s">
        <v>2503</v>
      </c>
      <c r="C4" s="2760" t="s">
        <v>2504</v>
      </c>
      <c r="D4" s="2760" t="s">
        <v>2505</v>
      </c>
      <c r="E4" s="2760" t="s">
        <v>2506</v>
      </c>
      <c r="F4" s="2756"/>
      <c r="I4" s="2772" t="s">
        <v>2581</v>
      </c>
      <c r="J4" s="2772">
        <v>80</v>
      </c>
      <c r="K4" s="2772">
        <v>70</v>
      </c>
      <c r="L4" s="2772">
        <v>20</v>
      </c>
      <c r="M4" s="2772">
        <v>30</v>
      </c>
      <c r="N4" s="2760">
        <v>45</v>
      </c>
      <c r="O4" s="2760">
        <v>60</v>
      </c>
      <c r="P4" s="2760">
        <v>50</v>
      </c>
      <c r="Q4" s="2760">
        <v>20</v>
      </c>
      <c r="R4" s="2760">
        <v>375</v>
      </c>
    </row>
    <row r="5" spans="1:18">
      <c r="A5" s="2761">
        <v>40</v>
      </c>
      <c r="B5" s="2758">
        <v>46375</v>
      </c>
      <c r="C5" s="2760">
        <f>ROUNDDOWN(MIN((B5-B3)/365,A5),2)</f>
        <v>2.13</v>
      </c>
      <c r="D5" s="2762">
        <f>IF(ISERROR(ROUND(POWER(1+E5,A5-C5)*(POWER(1+E5,C5)-1)/(POWER(1+E5,A5)-1),3)),0,ROUND(POWER(1+E5,A5-C5)*(POWER(1+E5,C5)-1)/(POWER(1+E5,A5)-1),4))</f>
        <v>0.1012</v>
      </c>
      <c r="E5" s="2763">
        <v>0.04</v>
      </c>
      <c r="F5" s="2756"/>
      <c r="I5" s="2772" t="s">
        <v>2582</v>
      </c>
      <c r="J5" s="2772">
        <v>70</v>
      </c>
      <c r="K5" s="2772">
        <v>60</v>
      </c>
      <c r="L5" s="2772">
        <v>15</v>
      </c>
      <c r="M5" s="2772">
        <v>25</v>
      </c>
      <c r="N5" s="2760">
        <v>40</v>
      </c>
      <c r="O5" s="2760">
        <v>50</v>
      </c>
      <c r="P5" s="2760">
        <v>40</v>
      </c>
      <c r="Q5" s="2760">
        <v>15</v>
      </c>
      <c r="R5" s="2760">
        <v>315</v>
      </c>
    </row>
    <row r="6" spans="1:18">
      <c r="A6" s="2761">
        <v>50</v>
      </c>
      <c r="B6" s="2758">
        <v>50028</v>
      </c>
      <c r="C6" s="2760">
        <f>ROUNDDOWN(MIN((B6-B3)/365,A6),2)</f>
        <v>12.14</v>
      </c>
      <c r="D6" s="2762">
        <f>IF(ISERROR(ROUND(POWER(1+E6,A6-C6)*(POWER(1+E6,C6)-1)/(POWER(1+E6,A6)-1),3)),0,ROUND(POWER(1+E6,A6-C6)*(POWER(1+E6,C6)-1)/(POWER(1+E6,A6)-1),4))</f>
        <v>0.44090000000000001</v>
      </c>
      <c r="E6" s="2763">
        <v>0.04</v>
      </c>
      <c r="F6" s="2756"/>
      <c r="I6" s="2772" t="s">
        <v>2583</v>
      </c>
      <c r="J6" s="2772">
        <v>60</v>
      </c>
      <c r="K6" s="2772">
        <v>50</v>
      </c>
      <c r="L6" s="2772">
        <v>10</v>
      </c>
      <c r="M6" s="2772">
        <v>20</v>
      </c>
      <c r="N6" s="2760">
        <v>35</v>
      </c>
      <c r="O6" s="2760">
        <v>40</v>
      </c>
      <c r="P6" s="2760">
        <v>30</v>
      </c>
      <c r="Q6" s="2760">
        <v>10</v>
      </c>
      <c r="R6" s="2760">
        <v>255</v>
      </c>
    </row>
    <row r="7" spans="1:18">
      <c r="A7" s="2761">
        <v>70</v>
      </c>
      <c r="B7" s="2758">
        <v>57333</v>
      </c>
      <c r="C7" s="2760">
        <f>ROUNDDOWN(MIN((B7-B3)/365,A7),2)</f>
        <v>32.159999999999997</v>
      </c>
      <c r="D7" s="2762">
        <f>IF(ISERROR(ROUND(POWER(1+E7,A7-C7)*(POWER(1+E7,C7)-1)/(POWER(1+E7,A7)-1),3)),0,ROUND(POWER(1+E7,A7-C7)*(POWER(1+E7,C7)-1)/(POWER(1+E7,A7)-1),4))</f>
        <v>0.76590000000000003</v>
      </c>
      <c r="E7" s="2763">
        <v>0.04</v>
      </c>
      <c r="F7" s="2756"/>
    </row>
    <row r="8" spans="1:18">
      <c r="A8" s="2754"/>
      <c r="B8" s="2755"/>
      <c r="C8" s="2755"/>
      <c r="D8" s="2755"/>
      <c r="E8" s="2755"/>
      <c r="F8" s="2756"/>
    </row>
    <row r="9" spans="1:18">
      <c r="A9" s="2757" t="s">
        <v>2507</v>
      </c>
      <c r="B9" s="2760"/>
      <c r="C9" s="2760"/>
      <c r="D9" s="2760"/>
      <c r="E9" s="2760"/>
      <c r="F9" s="2764"/>
    </row>
    <row r="10" spans="1:18">
      <c r="A10" s="2757" t="s">
        <v>2508</v>
      </c>
      <c r="B10" s="2760"/>
      <c r="C10" s="2760"/>
      <c r="D10" s="2760" t="s">
        <v>2506</v>
      </c>
      <c r="E10" s="2760"/>
      <c r="F10" s="2764" t="s">
        <v>2505</v>
      </c>
    </row>
    <row r="11" spans="1:18">
      <c r="A11" s="2757" t="s">
        <v>2509</v>
      </c>
      <c r="B11" s="2765">
        <v>70</v>
      </c>
      <c r="C11" s="2760" t="s">
        <v>2510</v>
      </c>
      <c r="D11" s="2765">
        <v>4.4999999999999998E-2</v>
      </c>
      <c r="E11" s="2760" t="s">
        <v>2511</v>
      </c>
      <c r="F11" s="2766">
        <f>ROUND(1-(1/(POWER(1+D11,B11))),4)</f>
        <v>0.95409999999999995</v>
      </c>
    </row>
    <row r="12" spans="1:18">
      <c r="A12" s="2757" t="s">
        <v>2512</v>
      </c>
      <c r="B12" s="2765">
        <v>40</v>
      </c>
      <c r="C12" s="2760" t="s">
        <v>2513</v>
      </c>
      <c r="D12" s="2765">
        <v>4.4999999999999998E-2</v>
      </c>
      <c r="E12" s="2760" t="s">
        <v>2514</v>
      </c>
      <c r="F12" s="2766">
        <f>ROUND(1-(1/(POWER(1+D12,B12))),4)</f>
        <v>0.82809999999999995</v>
      </c>
    </row>
    <row r="13" spans="1:18">
      <c r="A13" s="2757" t="s">
        <v>2515</v>
      </c>
      <c r="B13" s="2760"/>
      <c r="C13" s="2760"/>
      <c r="D13" s="2755"/>
      <c r="E13" s="2755"/>
      <c r="F13" s="2756"/>
    </row>
    <row r="14" spans="1:18">
      <c r="A14" s="2757" t="s">
        <v>2516</v>
      </c>
      <c r="B14" s="2765">
        <v>5000</v>
      </c>
      <c r="C14" s="2759"/>
      <c r="D14" s="2755"/>
      <c r="E14" s="2755"/>
      <c r="F14" s="2756"/>
    </row>
    <row r="15" spans="1:18">
      <c r="A15" s="2757" t="s">
        <v>2517</v>
      </c>
      <c r="B15" s="2760">
        <f>ROUND(B14*F12/F11,2)</f>
        <v>4339.6899999999996</v>
      </c>
      <c r="C15" s="2760">
        <f>ROUND(F12/F11,4)</f>
        <v>0.8679</v>
      </c>
      <c r="D15" s="2755"/>
      <c r="E15" s="2755"/>
      <c r="F15" s="2756"/>
    </row>
    <row r="16" spans="1:18">
      <c r="A16" s="2757" t="s">
        <v>2518</v>
      </c>
      <c r="B16" s="2760"/>
      <c r="C16" s="2760"/>
      <c r="D16" s="2755"/>
      <c r="E16" s="2755"/>
      <c r="F16" s="2756"/>
    </row>
    <row r="17" spans="1:13">
      <c r="A17" s="2757" t="s">
        <v>2517</v>
      </c>
      <c r="B17" s="2765">
        <v>4810</v>
      </c>
      <c r="C17" s="2759"/>
      <c r="D17" s="2755"/>
      <c r="E17" s="2755"/>
      <c r="F17" s="2756"/>
    </row>
    <row r="18" spans="1:13" ht="15" thickBot="1">
      <c r="A18" s="2767" t="s">
        <v>2516</v>
      </c>
      <c r="B18" s="2768">
        <f>ROUND(B17*F11/F12,2)</f>
        <v>5541.87</v>
      </c>
      <c r="C18" s="2768">
        <f>ROUND(F11/F12,4)</f>
        <v>1.1521999999999999</v>
      </c>
      <c r="D18" s="2769"/>
      <c r="E18" s="2769"/>
      <c r="F18" s="2770"/>
    </row>
    <row r="19" spans="1:13" ht="15" thickBot="1"/>
    <row r="20" spans="1:13" s="2803" customFormat="1" ht="15" thickTop="1">
      <c r="A20" s="2800" t="s">
        <v>2519</v>
      </c>
      <c r="B20" s="2801"/>
      <c r="C20" s="2801"/>
      <c r="D20" s="2801"/>
      <c r="E20" s="2801"/>
      <c r="F20" s="2801"/>
      <c r="G20" s="2802"/>
      <c r="I20" s="2804" t="s">
        <v>2564</v>
      </c>
      <c r="J20" s="2804" t="s">
        <v>2569</v>
      </c>
      <c r="K20" s="2804"/>
      <c r="L20" s="2804"/>
      <c r="M20" s="2804"/>
    </row>
    <row r="21" spans="1:13">
      <c r="A21" s="2771"/>
      <c r="B21" s="2772" t="s">
        <v>2520</v>
      </c>
      <c r="C21" s="2772" t="s">
        <v>2521</v>
      </c>
      <c r="D21" s="2772" t="s">
        <v>2522</v>
      </c>
      <c r="E21" s="2772" t="s">
        <v>2523</v>
      </c>
      <c r="F21" s="2772" t="s">
        <v>2524</v>
      </c>
      <c r="G21" s="2773" t="s">
        <v>2525</v>
      </c>
      <c r="I21" s="2794">
        <v>5</v>
      </c>
      <c r="J21" s="2794">
        <v>54.2</v>
      </c>
    </row>
    <row r="22" spans="1:13">
      <c r="A22" s="2771" t="s">
        <v>2526</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2527</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2567</v>
      </c>
      <c r="M23" s="2794" t="s">
        <v>2568</v>
      </c>
    </row>
    <row r="24" spans="1:13">
      <c r="A24" s="2771" t="s">
        <v>2528</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2566</v>
      </c>
      <c r="M24" s="2794">
        <v>10</v>
      </c>
    </row>
    <row r="25" spans="1:13">
      <c r="A25" s="2771" t="s">
        <v>2529</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2570</v>
      </c>
      <c r="M25" s="2794">
        <v>8</v>
      </c>
    </row>
    <row r="26" spans="1:13">
      <c r="A26" s="2776"/>
      <c r="B26" s="2777"/>
      <c r="C26" s="2777"/>
      <c r="D26" s="2777"/>
      <c r="E26" s="2777"/>
      <c r="F26" s="2777"/>
      <c r="G26" s="2778"/>
      <c r="I26" s="2794">
        <v>30</v>
      </c>
      <c r="J26" s="2794">
        <v>90.5</v>
      </c>
      <c r="K26" s="2794">
        <f t="shared" si="2"/>
        <v>4.2000000000000028</v>
      </c>
      <c r="L26" s="2794" t="s">
        <v>2571</v>
      </c>
      <c r="M26" s="2794">
        <v>5</v>
      </c>
    </row>
    <row r="27" spans="1:13">
      <c r="A27" s="2776" t="s">
        <v>2530</v>
      </c>
      <c r="B27" s="2777"/>
      <c r="C27" s="2777"/>
      <c r="D27" s="2777"/>
      <c r="E27" s="2777"/>
      <c r="F27" s="2777"/>
      <c r="G27" s="2778"/>
      <c r="I27" s="2794">
        <v>35</v>
      </c>
      <c r="J27" s="2794">
        <v>93.8</v>
      </c>
      <c r="K27" s="2794">
        <f t="shared" si="2"/>
        <v>3.2999999999999972</v>
      </c>
      <c r="L27" s="2794" t="s">
        <v>2572</v>
      </c>
      <c r="M27" s="2794">
        <v>3</v>
      </c>
    </row>
    <row r="28" spans="1:13">
      <c r="A28" s="2776" t="s">
        <v>2531</v>
      </c>
      <c r="B28" s="2777"/>
      <c r="C28" s="2777"/>
      <c r="D28" s="2777"/>
      <c r="E28" s="2777"/>
      <c r="F28" s="2777"/>
      <c r="G28" s="2778"/>
      <c r="I28" s="2794">
        <v>40</v>
      </c>
      <c r="J28" s="2794">
        <v>96.4</v>
      </c>
      <c r="K28" s="2794">
        <f t="shared" si="2"/>
        <v>2.6000000000000085</v>
      </c>
      <c r="L28" s="2794" t="s">
        <v>2573</v>
      </c>
      <c r="M28" s="2794">
        <v>2</v>
      </c>
    </row>
    <row r="29" spans="1:13">
      <c r="A29" s="2776" t="s">
        <v>2532</v>
      </c>
      <c r="B29" s="2777"/>
      <c r="C29" s="2777"/>
      <c r="D29" s="2777"/>
      <c r="E29" s="2777"/>
      <c r="F29" s="2777"/>
      <c r="G29" s="2778"/>
      <c r="I29" s="2794">
        <v>45</v>
      </c>
      <c r="J29" s="2794">
        <v>98.4</v>
      </c>
      <c r="K29" s="2794">
        <f t="shared" si="2"/>
        <v>2</v>
      </c>
    </row>
    <row r="30" spans="1:13">
      <c r="A30" s="2776" t="s">
        <v>2533</v>
      </c>
      <c r="B30" s="2777"/>
      <c r="C30" s="2777"/>
      <c r="D30" s="2777"/>
      <c r="E30" s="2777"/>
      <c r="F30" s="2777"/>
      <c r="G30" s="2778"/>
      <c r="I30" s="2794">
        <v>50</v>
      </c>
      <c r="J30" s="2794">
        <v>100</v>
      </c>
      <c r="K30" s="2794">
        <f t="shared" si="2"/>
        <v>1.5999999999999943</v>
      </c>
    </row>
    <row r="31" spans="1:13">
      <c r="A31" s="2776" t="s">
        <v>2534</v>
      </c>
      <c r="B31" s="2777"/>
      <c r="C31" s="2777"/>
      <c r="D31" s="2777"/>
      <c r="E31" s="2777"/>
      <c r="F31" s="2777"/>
      <c r="G31" s="2778"/>
      <c r="I31" s="2794" t="s">
        <v>2565</v>
      </c>
    </row>
    <row r="32" spans="1:13">
      <c r="A32" s="2776" t="s">
        <v>2535</v>
      </c>
      <c r="B32" s="2777"/>
      <c r="C32" s="2777"/>
      <c r="D32" s="2777"/>
      <c r="E32" s="2777"/>
      <c r="F32" s="2777"/>
      <c r="G32" s="2778"/>
    </row>
    <row r="33" spans="1:13">
      <c r="A33" s="2776" t="s">
        <v>2536</v>
      </c>
      <c r="B33" s="2777"/>
      <c r="C33" s="2777"/>
      <c r="D33" s="2777"/>
      <c r="E33" s="2777"/>
      <c r="F33" s="2777"/>
      <c r="G33" s="2778"/>
      <c r="I33" s="2794" t="s">
        <v>2564</v>
      </c>
      <c r="J33" s="2794" t="s">
        <v>2574</v>
      </c>
    </row>
    <row r="34" spans="1:13">
      <c r="A34" s="2776" t="s">
        <v>2537</v>
      </c>
      <c r="B34" s="2777"/>
      <c r="C34" s="2777"/>
      <c r="D34" s="2777"/>
      <c r="E34" s="2777"/>
      <c r="F34" s="2777"/>
      <c r="G34" s="2778"/>
      <c r="I34" s="2794">
        <v>5</v>
      </c>
      <c r="J34" s="2794">
        <v>55.1</v>
      </c>
    </row>
    <row r="35" spans="1:13">
      <c r="A35" s="2776" t="s">
        <v>2538</v>
      </c>
      <c r="B35" s="2777"/>
      <c r="C35" s="2777"/>
      <c r="D35" s="2777"/>
      <c r="E35" s="2777"/>
      <c r="F35" s="2777"/>
      <c r="G35" s="2778"/>
      <c r="I35" s="2794">
        <v>10</v>
      </c>
      <c r="J35" s="2794">
        <v>67</v>
      </c>
      <c r="K35" s="2794">
        <f>J35-J34</f>
        <v>11.899999999999999</v>
      </c>
    </row>
    <row r="36" spans="1:13">
      <c r="A36" s="2776" t="s">
        <v>2539</v>
      </c>
      <c r="B36" s="2777"/>
      <c r="C36" s="2777"/>
      <c r="D36" s="2777"/>
      <c r="E36" s="2777"/>
      <c r="F36" s="2777"/>
      <c r="G36" s="2778"/>
      <c r="I36" s="2794">
        <v>15</v>
      </c>
      <c r="J36" s="2794">
        <v>76.3</v>
      </c>
      <c r="K36" s="2794">
        <f t="shared" ref="K36:K41" si="3">J36-J35</f>
        <v>9.2999999999999972</v>
      </c>
      <c r="L36" s="2794" t="s">
        <v>2567</v>
      </c>
      <c r="M36" s="2794" t="s">
        <v>2568</v>
      </c>
    </row>
    <row r="37" spans="1:13">
      <c r="A37" s="2776" t="s">
        <v>2540</v>
      </c>
      <c r="B37" s="2777"/>
      <c r="C37" s="2777"/>
      <c r="D37" s="2777"/>
      <c r="E37" s="2777"/>
      <c r="F37" s="2777"/>
      <c r="G37" s="2778"/>
      <c r="I37" s="2794">
        <v>20</v>
      </c>
      <c r="J37" s="2794">
        <v>83.6</v>
      </c>
      <c r="K37" s="2794">
        <f t="shared" si="3"/>
        <v>7.2999999999999972</v>
      </c>
      <c r="L37" s="2794" t="s">
        <v>2566</v>
      </c>
      <c r="M37" s="2794">
        <v>10</v>
      </c>
    </row>
    <row r="38" spans="1:13">
      <c r="A38" s="2776" t="s">
        <v>2541</v>
      </c>
      <c r="B38" s="2777"/>
      <c r="C38" s="2777"/>
      <c r="D38" s="2777"/>
      <c r="E38" s="2777"/>
      <c r="F38" s="2777"/>
      <c r="G38" s="2778"/>
      <c r="I38" s="2794">
        <v>25</v>
      </c>
      <c r="J38" s="2794">
        <v>89.3</v>
      </c>
      <c r="K38" s="2794">
        <f t="shared" si="3"/>
        <v>5.7000000000000028</v>
      </c>
      <c r="L38" s="2794" t="s">
        <v>2570</v>
      </c>
      <c r="M38" s="2794">
        <v>8</v>
      </c>
    </row>
    <row r="39" spans="1:13">
      <c r="A39" s="2776"/>
      <c r="B39" s="2777"/>
      <c r="C39" s="2777"/>
      <c r="D39" s="2777"/>
      <c r="E39" s="2777"/>
      <c r="F39" s="2777"/>
      <c r="G39" s="2778"/>
      <c r="I39" s="2794">
        <v>30</v>
      </c>
      <c r="J39" s="2794">
        <v>93.8</v>
      </c>
      <c r="K39" s="2794">
        <f t="shared" si="3"/>
        <v>4.5</v>
      </c>
      <c r="L39" s="2794" t="s">
        <v>2571</v>
      </c>
      <c r="M39" s="2794">
        <v>6</v>
      </c>
    </row>
    <row r="40" spans="1:13">
      <c r="A40" s="2779" t="s">
        <v>2542</v>
      </c>
      <c r="B40" s="2780"/>
      <c r="C40" s="2780"/>
      <c r="D40" s="2780"/>
      <c r="E40" s="2780"/>
      <c r="F40" s="2780"/>
      <c r="G40" s="2781"/>
      <c r="I40" s="2794">
        <v>35</v>
      </c>
      <c r="J40" s="2794">
        <v>97.2</v>
      </c>
      <c r="K40" s="2794">
        <f t="shared" si="3"/>
        <v>3.4000000000000057</v>
      </c>
      <c r="L40" s="2794" t="s">
        <v>2572</v>
      </c>
      <c r="M40" s="2794">
        <v>3</v>
      </c>
    </row>
    <row r="41" spans="1:13">
      <c r="A41" s="2782" t="s">
        <v>2543</v>
      </c>
      <c r="B41" s="2783" t="s">
        <v>2544</v>
      </c>
      <c r="C41" s="2784" t="s">
        <v>2545</v>
      </c>
      <c r="D41" s="2784" t="s">
        <v>2546</v>
      </c>
      <c r="E41" s="2785"/>
      <c r="F41" s="2786"/>
      <c r="G41" s="2787"/>
      <c r="I41" s="2794">
        <v>40</v>
      </c>
      <c r="J41" s="2794">
        <v>100</v>
      </c>
      <c r="K41" s="2794">
        <f t="shared" si="3"/>
        <v>2.7999999999999972</v>
      </c>
    </row>
    <row r="42" spans="1:13">
      <c r="A42" s="2782" t="s">
        <v>2547</v>
      </c>
      <c r="B42" s="2783" t="s">
        <v>2548</v>
      </c>
      <c r="C42" s="2784" t="s">
        <v>2549</v>
      </c>
      <c r="D42" s="2788" t="s">
        <v>2550</v>
      </c>
      <c r="E42" s="2780" t="s">
        <v>2551</v>
      </c>
      <c r="F42" s="2780"/>
      <c r="G42" s="2781"/>
    </row>
    <row r="43" spans="1:13">
      <c r="A43" s="2782" t="s">
        <v>2552</v>
      </c>
      <c r="B43" s="2783" t="s">
        <v>2553</v>
      </c>
      <c r="C43" s="2784" t="s">
        <v>2554</v>
      </c>
      <c r="D43" s="2784" t="s">
        <v>2555</v>
      </c>
      <c r="E43" s="2785" t="s">
        <v>2556</v>
      </c>
      <c r="F43" s="2786"/>
      <c r="G43" s="2787"/>
      <c r="I43" s="2794" t="s">
        <v>2564</v>
      </c>
      <c r="J43" s="2794" t="s">
        <v>2575</v>
      </c>
    </row>
    <row r="44" spans="1:13">
      <c r="A44" s="2782" t="s">
        <v>2557</v>
      </c>
      <c r="B44" s="2783" t="s">
        <v>2558</v>
      </c>
      <c r="C44" s="2784" t="s">
        <v>2559</v>
      </c>
      <c r="D44" s="2788">
        <v>0.5</v>
      </c>
      <c r="E44" s="2785" t="s">
        <v>2560</v>
      </c>
      <c r="F44" s="2786"/>
      <c r="G44" s="2787"/>
      <c r="I44" s="2794">
        <v>30</v>
      </c>
      <c r="J44" s="2794">
        <v>81.7</v>
      </c>
    </row>
    <row r="45" spans="1:13" ht="15" thickBot="1">
      <c r="A45" s="2789" t="s">
        <v>2561</v>
      </c>
      <c r="B45" s="2790" t="s">
        <v>2548</v>
      </c>
      <c r="C45" s="2791" t="s">
        <v>2548</v>
      </c>
      <c r="D45" s="2791" t="s">
        <v>2562</v>
      </c>
      <c r="E45" s="2792" t="s">
        <v>2563</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90" zoomScaleNormal="100" zoomScaleSheetLayoutView="90" workbookViewId="0">
      <selection activeCell="F6" sqref="F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38" t="str">
        <f>IF(B10="北京市","北京市",C10)&amp;F10&amp;IF(结果表!G1="在建","出让国有建设用地使用权及在建建筑物",IF(结果表!G1="土地","出让国有建设用地使用权",))&amp;B9&amp;"预评估"</f>
        <v>河北省廊坊市三河市燕郊开发区燕新大街1号房地产抵押价值预评估</v>
      </c>
      <c r="C1" s="3239"/>
      <c r="D1" s="3239"/>
      <c r="E1" s="3239"/>
      <c r="F1" s="3239"/>
      <c r="G1" s="3239"/>
      <c r="H1" s="3239"/>
      <c r="I1" s="3240"/>
      <c r="J1" s="2242"/>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河北省廊坊市三河市燕郊开发区燕新大街1号房地产抵押价值</v>
      </c>
      <c r="T1" s="1618"/>
      <c r="U1" s="1618"/>
      <c r="V1" s="1618"/>
      <c r="W1" s="1618"/>
      <c r="X1" s="1618"/>
      <c r="Y1" s="1618"/>
      <c r="Z1" s="1618"/>
      <c r="AA1" s="1618"/>
      <c r="AB1" s="1618"/>
    </row>
    <row r="2" spans="1:30">
      <c r="A2" s="2181" t="s">
        <v>2169</v>
      </c>
      <c r="B2" s="122"/>
      <c r="D2" s="2442"/>
      <c r="E2" s="2436"/>
      <c r="F2" s="2436"/>
      <c r="G2" s="2437"/>
      <c r="H2" s="2437"/>
      <c r="I2" s="2437"/>
      <c r="J2" s="2242"/>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河北省廊坊市三河市燕郊开发区燕新大街1号房地产</v>
      </c>
      <c r="T2" s="1618"/>
      <c r="U2" s="1618"/>
      <c r="V2" s="1618"/>
      <c r="W2" s="1618"/>
      <c r="X2" s="1618"/>
      <c r="Y2" s="1618"/>
      <c r="Z2" s="1618"/>
      <c r="AA2" s="1618"/>
      <c r="AB2" s="1618"/>
    </row>
    <row r="3" spans="1:30">
      <c r="A3" s="294" t="s">
        <v>2170</v>
      </c>
      <c r="B3" s="2184">
        <v>45594</v>
      </c>
      <c r="C3" s="2185" t="s">
        <v>2171</v>
      </c>
      <c r="D3" s="2184">
        <f>B3</f>
        <v>45594</v>
      </c>
      <c r="E3" s="2437"/>
      <c r="F3" s="2437"/>
      <c r="G3" s="2437"/>
      <c r="H3" s="2437"/>
      <c r="I3" s="2437"/>
      <c r="J3" s="2242"/>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3420</v>
      </c>
      <c r="C4" s="2187">
        <f ca="1">SUMIF(注册房地产估价师,B4,估价师及机构信息!B3:B24)</f>
        <v>1120070131</v>
      </c>
      <c r="D4" s="2186" t="s">
        <v>3421</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2"/>
      <c r="K4" s="2188" t="str">
        <f ca="1">CONCATENATE(B4,"（注册号：",C4,")、",D4,"（注册号：",E4,")")</f>
        <v>郑燚（注册号：1120070131)、崔锴（注册号：1120100036)</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37"/>
      <c r="F5" s="2437"/>
      <c r="G5" s="2437"/>
      <c r="H5" s="2437"/>
      <c r="I5" s="2437"/>
      <c r="J5" s="2242"/>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24">
      <c r="A6" s="2193" t="s">
        <v>2174</v>
      </c>
      <c r="B6" s="2194"/>
      <c r="C6" s="2195"/>
      <c r="D6" s="2196"/>
      <c r="E6" s="3183" t="s">
        <v>3606</v>
      </c>
      <c r="F6" s="2437"/>
      <c r="G6" s="2437"/>
      <c r="H6" s="2437"/>
      <c r="I6" s="2437"/>
      <c r="J6" s="2242"/>
      <c r="K6" s="2396" t="str">
        <f>IF(COUNTIF(B6,"*上海银行*"),"上海银行","")</f>
        <v/>
      </c>
      <c r="L6" s="2394"/>
      <c r="M6" s="2394"/>
      <c r="N6" s="2242"/>
      <c r="O6" s="1670"/>
      <c r="P6" s="2242"/>
      <c r="Q6" s="2242"/>
      <c r="R6" s="2242"/>
    </row>
    <row r="7" spans="1:30" ht="36">
      <c r="A7" s="2193" t="s">
        <v>2175</v>
      </c>
      <c r="B7" s="3145" t="s">
        <v>3422</v>
      </c>
      <c r="C7" s="2195"/>
      <c r="D7" s="2196"/>
      <c r="E7" s="2436"/>
      <c r="F7" s="2437"/>
      <c r="G7" s="2437"/>
      <c r="H7" s="2437"/>
      <c r="I7" s="2437"/>
      <c r="J7" s="2242"/>
      <c r="K7" s="2397"/>
      <c r="L7" s="2394"/>
      <c r="M7" s="2394"/>
      <c r="N7" s="2242"/>
      <c r="O7" s="1670"/>
      <c r="P7" s="2242"/>
      <c r="Q7" s="2242"/>
      <c r="R7" s="2242"/>
    </row>
    <row r="8" spans="1:30">
      <c r="A8" s="2197" t="s">
        <v>2176</v>
      </c>
      <c r="B8" s="2198" t="s">
        <v>3423</v>
      </c>
      <c r="C8" s="2199"/>
      <c r="D8" s="3241" t="s">
        <v>2177</v>
      </c>
      <c r="E8" s="2200" t="s">
        <v>3424</v>
      </c>
      <c r="F8" s="2201"/>
      <c r="G8" s="2437"/>
      <c r="H8" s="2437"/>
      <c r="I8" s="2437"/>
      <c r="J8" s="2242"/>
      <c r="K8" s="2395"/>
      <c r="L8" s="2394"/>
      <c r="M8" s="2394"/>
      <c r="N8" s="2242"/>
      <c r="O8" s="1670"/>
      <c r="P8" s="2242"/>
      <c r="Q8" s="2242"/>
      <c r="R8" s="2242"/>
    </row>
    <row r="9" spans="1:30" ht="13.8" thickBot="1">
      <c r="A9" s="2202" t="s">
        <v>2178</v>
      </c>
      <c r="B9" s="2203" t="s">
        <v>3424</v>
      </c>
      <c r="C9" s="2204"/>
      <c r="D9" s="3242"/>
      <c r="E9" s="2203"/>
      <c r="F9" s="2205"/>
      <c r="G9" s="2438"/>
      <c r="H9" s="2438"/>
      <c r="I9" s="2438"/>
      <c r="J9" s="2242"/>
      <c r="K9" s="2397"/>
      <c r="L9" s="2394"/>
      <c r="M9" s="2394"/>
      <c r="N9" s="2242"/>
      <c r="O9" s="1670"/>
      <c r="P9" s="2242"/>
      <c r="Q9" s="2242"/>
      <c r="R9" s="2242"/>
    </row>
    <row r="10" spans="1:30" ht="13.8" thickTop="1">
      <c r="A10" s="2206" t="s">
        <v>2179</v>
      </c>
      <c r="B10" s="2207" t="s">
        <v>3425</v>
      </c>
      <c r="C10" s="2208"/>
      <c r="D10" s="2192"/>
      <c r="E10" s="2209" t="s">
        <v>2180</v>
      </c>
      <c r="F10" s="3146" t="s">
        <v>3426</v>
      </c>
      <c r="G10" s="2439"/>
      <c r="H10" s="2440"/>
      <c r="I10" s="2441"/>
      <c r="J10" s="2242"/>
      <c r="K10" s="2397"/>
      <c r="L10" s="2394"/>
      <c r="M10" s="2394"/>
      <c r="N10" s="2242"/>
      <c r="O10" s="1670"/>
      <c r="P10" s="2242"/>
      <c r="Q10" s="2242"/>
      <c r="R10" s="2242"/>
    </row>
    <row r="11" spans="1:30" ht="24">
      <c r="A11" s="2210" t="s">
        <v>2181</v>
      </c>
      <c r="B11" s="2211" t="s">
        <v>3427</v>
      </c>
      <c r="C11" s="3145" t="s">
        <v>3422</v>
      </c>
      <c r="D11" s="2212"/>
      <c r="E11" s="2181"/>
      <c r="F11" s="2181"/>
      <c r="G11" s="2181"/>
      <c r="H11" s="2181"/>
      <c r="I11" s="2181"/>
      <c r="J11" s="2796"/>
      <c r="K11" s="2394"/>
      <c r="L11" s="2394"/>
      <c r="M11" s="2394"/>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5" t="s">
        <v>2576</v>
      </c>
      <c r="J12" s="2797"/>
      <c r="K12" s="2394"/>
      <c r="L12" s="2394"/>
      <c r="M12" s="2242"/>
      <c r="N12" s="1670"/>
      <c r="O12" s="2242"/>
      <c r="P12" s="2242"/>
      <c r="Q12" s="2242"/>
      <c r="AD12" s="1618"/>
    </row>
    <row r="13" spans="1:30">
      <c r="A13" s="3116" t="s">
        <v>3332</v>
      </c>
      <c r="B13" s="2215" t="s">
        <v>2190</v>
      </c>
      <c r="C13" s="803"/>
      <c r="D13" s="803"/>
      <c r="E13" s="803"/>
      <c r="F13" s="803"/>
      <c r="G13" s="803"/>
      <c r="H13" s="803">
        <v>57963</v>
      </c>
      <c r="I13" s="803"/>
      <c r="J13" s="2797"/>
      <c r="K13" s="2394"/>
      <c r="L13" s="2394"/>
      <c r="M13" s="2242"/>
      <c r="N13" s="1670"/>
      <c r="O13" s="2242"/>
      <c r="P13" s="2242"/>
      <c r="Q13" s="2242"/>
      <c r="AD13" s="1618"/>
    </row>
    <row r="14" spans="1:30">
      <c r="A14" s="1018"/>
      <c r="B14" s="2215" t="s">
        <v>2191</v>
      </c>
      <c r="C14" s="2216"/>
      <c r="D14" s="2216"/>
      <c r="E14" s="2216"/>
      <c r="F14" s="2216"/>
      <c r="G14" s="2216"/>
      <c r="H14" s="2216">
        <v>50</v>
      </c>
      <c r="I14" s="2216"/>
      <c r="J14" s="2798"/>
      <c r="K14" s="2394"/>
      <c r="L14" s="2394"/>
      <c r="M14" s="2242"/>
      <c r="N14" s="1670"/>
      <c r="O14" s="2242"/>
      <c r="P14" s="2242"/>
      <c r="Q14" s="2242"/>
      <c r="AD14" s="1618"/>
    </row>
    <row r="15" spans="1:30">
      <c r="A15" s="312"/>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33.880000000000003</v>
      </c>
      <c r="I15" s="2218" t="str">
        <f>IF(A13="出让",IF(I13="","",ROUNDDOWN(MIN((I13-$D$3)/365,I14),2)),I14)</f>
        <v/>
      </c>
      <c r="J15" s="2799"/>
      <c r="K15" s="1670"/>
      <c r="L15" s="1670"/>
      <c r="M15" s="2242"/>
      <c r="N15" s="1670"/>
      <c r="O15" s="2242"/>
      <c r="P15" s="2242"/>
      <c r="Q15" s="2242"/>
      <c r="AD15" s="1618"/>
    </row>
    <row r="16" spans="1:30">
      <c r="A16" s="2209" t="s">
        <v>2193</v>
      </c>
      <c r="B16" s="3248" t="s">
        <v>3428</v>
      </c>
      <c r="C16" s="3249"/>
      <c r="D16" s="3250"/>
      <c r="E16" s="2219" t="s">
        <v>2194</v>
      </c>
      <c r="F16" s="3251">
        <f>H15</f>
        <v>33.880000000000003</v>
      </c>
      <c r="G16" s="3252"/>
      <c r="H16" s="3252"/>
      <c r="I16" s="3253"/>
      <c r="J16" s="2242"/>
      <c r="K16" s="2398"/>
      <c r="L16" s="1670"/>
      <c r="M16" s="1670"/>
      <c r="N16" s="2242"/>
      <c r="O16" s="1670"/>
      <c r="P16" s="2242"/>
      <c r="Q16" s="2242"/>
      <c r="R16" s="2242"/>
    </row>
    <row r="17" spans="1:28">
      <c r="A17" s="305" t="s">
        <v>2195</v>
      </c>
      <c r="B17" s="294" t="s">
        <v>2196</v>
      </c>
      <c r="C17" s="8">
        <f>'数据-汇总表'!E3</f>
        <v>29587.64</v>
      </c>
      <c r="D17" s="1256" t="s">
        <v>2197</v>
      </c>
      <c r="E17" s="3254" t="s">
        <v>2198</v>
      </c>
      <c r="F17" s="3255"/>
      <c r="G17" s="3255"/>
      <c r="H17" s="3255"/>
      <c r="I17" s="3256"/>
      <c r="J17" s="2242"/>
      <c r="K17" s="2399"/>
      <c r="L17" s="1670"/>
      <c r="M17" s="1670"/>
      <c r="N17" s="2242"/>
      <c r="O17" s="1670"/>
      <c r="P17" s="2242"/>
      <c r="Q17" s="2242"/>
      <c r="R17" s="2242"/>
      <c r="S17" s="2242"/>
      <c r="T17" s="2242"/>
      <c r="U17" s="2242"/>
      <c r="V17" s="2242"/>
    </row>
    <row r="18" spans="1:28" ht="24.6" thickBot="1">
      <c r="A18" s="2220" t="s">
        <v>2199</v>
      </c>
      <c r="B18" s="1027" t="s">
        <v>2200</v>
      </c>
      <c r="C18" s="2221">
        <f>'数据-汇总表'!D3</f>
        <v>24593</v>
      </c>
      <c r="D18" s="1029" t="s">
        <v>2201</v>
      </c>
      <c r="E18" s="3257" t="s">
        <v>2202</v>
      </c>
      <c r="F18" s="3258"/>
      <c r="G18" s="3258"/>
      <c r="H18" s="3258"/>
      <c r="I18" s="3259"/>
      <c r="J18" s="2242"/>
      <c r="K18" s="2399"/>
      <c r="L18" s="1670"/>
      <c r="M18" s="1670"/>
      <c r="N18" s="2242"/>
      <c r="O18" s="1670"/>
      <c r="P18" s="2242"/>
      <c r="Q18" s="2242"/>
      <c r="R18" s="2242"/>
      <c r="S18" s="2242"/>
      <c r="T18" s="2242"/>
      <c r="U18" s="2242"/>
      <c r="V18" s="2242"/>
    </row>
    <row r="19" spans="1:28" ht="37.200000000000003" thickTop="1" thickBot="1">
      <c r="A19" s="319" t="s">
        <v>1055</v>
      </c>
      <c r="B19" s="299" t="s">
        <v>2203</v>
      </c>
      <c r="C19" s="1455" t="s">
        <v>3429</v>
      </c>
      <c r="D19" s="1456" t="s">
        <v>2204</v>
      </c>
      <c r="E19" s="1457"/>
      <c r="F19" s="1458" t="str">
        <f>IF(AND(C19="是",E19="否"),"是否提供他项权证或相关说明","")</f>
        <v/>
      </c>
      <c r="G19" s="1459"/>
      <c r="H19" s="2437"/>
      <c r="I19" s="2437"/>
      <c r="J19" s="2242"/>
      <c r="K19" s="2397"/>
      <c r="L19" s="2394"/>
      <c r="M19" s="2394"/>
      <c r="N19" s="2242"/>
      <c r="O19" s="1670"/>
      <c r="P19" s="2242"/>
      <c r="Q19" s="2242"/>
      <c r="R19" s="2242"/>
      <c r="S19" s="2242"/>
      <c r="T19" s="2242"/>
      <c r="U19" s="2242"/>
      <c r="V19" s="2242"/>
    </row>
    <row r="20" spans="1:28">
      <c r="A20" s="2412" t="s">
        <v>2205</v>
      </c>
      <c r="B20" s="3244" t="s">
        <v>2206</v>
      </c>
      <c r="C20" s="3245"/>
      <c r="D20" s="3246" t="s">
        <v>2207</v>
      </c>
      <c r="E20" s="3247"/>
      <c r="F20" s="2425" t="s">
        <v>1056</v>
      </c>
      <c r="G20" s="2437"/>
      <c r="H20" s="2437"/>
      <c r="I20" s="2437"/>
      <c r="J20" s="2242"/>
      <c r="K20" s="324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2"/>
      <c r="B21" s="2413" t="s">
        <v>2209</v>
      </c>
      <c r="C21" s="2291" t="s">
        <v>1057</v>
      </c>
      <c r="D21" s="1460" t="s">
        <v>2210</v>
      </c>
      <c r="E21" s="2414" t="s">
        <v>1057</v>
      </c>
      <c r="F21" s="2426"/>
      <c r="G21" s="2437"/>
      <c r="H21" s="2437"/>
      <c r="I21" s="2437"/>
      <c r="J21" s="2242"/>
      <c r="K21" s="324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2"/>
      <c r="B22" s="2415" t="s">
        <v>2211</v>
      </c>
      <c r="C22" s="2291" t="s">
        <v>1058</v>
      </c>
      <c r="D22" s="2437"/>
      <c r="E22" s="2437"/>
      <c r="F22" s="2437"/>
      <c r="G22" s="2437"/>
      <c r="H22" s="2437"/>
      <c r="I22" s="2437"/>
      <c r="J22" s="2242"/>
      <c r="K22" s="324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6" t="s">
        <v>2212</v>
      </c>
      <c r="B23" s="2288" t="s">
        <v>2213</v>
      </c>
      <c r="C23" s="2417"/>
      <c r="D23" s="2418" t="s">
        <v>2213</v>
      </c>
      <c r="E23" s="2419"/>
      <c r="F23" s="2437"/>
      <c r="G23" s="2437"/>
      <c r="H23" s="2437"/>
      <c r="I23" s="2437"/>
      <c r="J23" s="2242"/>
      <c r="K23" s="2396"/>
      <c r="L23" s="121"/>
      <c r="M23" s="2394"/>
      <c r="N23" s="2242"/>
      <c r="O23" s="1670"/>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70"/>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70"/>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70"/>
      <c r="P26" s="2242"/>
      <c r="Q26" s="2242"/>
      <c r="R26" s="2242"/>
      <c r="S26" s="2242"/>
      <c r="T26" s="2242"/>
      <c r="U26" s="2242"/>
      <c r="V26" s="2242"/>
    </row>
    <row r="27" spans="1:28" ht="13.8" thickTop="1">
      <c r="A27" s="3232" t="s">
        <v>2214</v>
      </c>
      <c r="B27" s="312" t="s">
        <v>2215</v>
      </c>
      <c r="C27" s="2222" t="s">
        <v>3431</v>
      </c>
      <c r="D27" s="2223"/>
      <c r="E27" s="2437"/>
      <c r="F27" s="2437"/>
      <c r="G27" s="2437"/>
      <c r="H27" s="2437"/>
      <c r="I27" s="2437"/>
      <c r="J27" s="2242"/>
      <c r="K27" s="2398"/>
      <c r="L27" s="1670"/>
      <c r="M27" s="1670"/>
      <c r="N27" s="2242"/>
      <c r="O27" s="1670"/>
      <c r="P27" s="2242"/>
      <c r="Q27" s="2242"/>
      <c r="R27" s="2242"/>
      <c r="S27" s="2242"/>
      <c r="T27" s="2242"/>
      <c r="U27" s="2242"/>
      <c r="V27" s="2242"/>
    </row>
    <row r="28" spans="1:28">
      <c r="A28" s="3232"/>
      <c r="B28" s="294" t="s">
        <v>2216</v>
      </c>
      <c r="C28" s="2224"/>
      <c r="D28" s="2225"/>
      <c r="E28" s="2437"/>
      <c r="F28" s="2437"/>
      <c r="G28" s="2437"/>
      <c r="H28" s="2437"/>
      <c r="I28" s="2437"/>
      <c r="J28" s="2242"/>
      <c r="K28" s="2397"/>
      <c r="L28" s="2394"/>
      <c r="M28" s="2394"/>
      <c r="N28" s="2242"/>
      <c r="O28" s="1670"/>
      <c r="P28" s="2242"/>
      <c r="Q28" s="2242"/>
      <c r="R28" s="2242"/>
      <c r="S28" s="2242"/>
      <c r="T28" s="2242"/>
      <c r="U28" s="2242"/>
      <c r="V28" s="2242"/>
    </row>
    <row r="29" spans="1:28">
      <c r="A29" s="3232"/>
      <c r="B29" s="294" t="s">
        <v>2217</v>
      </c>
      <c r="C29" s="2226"/>
      <c r="D29" s="2227"/>
      <c r="E29" s="2437"/>
      <c r="F29" s="2437"/>
      <c r="G29" s="2437"/>
      <c r="H29" s="2437"/>
      <c r="I29" s="2437"/>
      <c r="J29" s="2242"/>
      <c r="K29" s="2397"/>
      <c r="L29" s="2394"/>
      <c r="M29" s="2394"/>
      <c r="N29" s="2242"/>
      <c r="O29" s="1670"/>
      <c r="P29" s="2242"/>
      <c r="Q29" s="2242"/>
      <c r="R29" s="2242"/>
      <c r="S29" s="2242"/>
      <c r="T29" s="2242"/>
      <c r="U29" s="2242"/>
      <c r="V29" s="2242"/>
    </row>
    <row r="30" spans="1:28">
      <c r="A30" s="3233"/>
      <c r="B30" s="294" t="s">
        <v>2218</v>
      </c>
      <c r="C30" s="3234"/>
      <c r="D30" s="3235"/>
      <c r="E30" s="2437"/>
      <c r="F30" s="2437"/>
      <c r="G30" s="2437"/>
      <c r="H30" s="2437"/>
      <c r="I30" s="2437"/>
      <c r="J30" s="2242"/>
      <c r="K30" s="2397"/>
      <c r="L30" s="2394"/>
      <c r="M30" s="2394"/>
      <c r="N30" s="2242"/>
      <c r="O30" s="1670"/>
      <c r="P30" s="2242"/>
      <c r="Q30" s="2242"/>
      <c r="R30" s="2242"/>
      <c r="S30" s="2242"/>
      <c r="T30" s="2242"/>
      <c r="U30" s="2242"/>
      <c r="V30" s="2242"/>
    </row>
    <row r="31" spans="1:28">
      <c r="A31" s="3236" t="s">
        <v>2219</v>
      </c>
      <c r="B31" s="2228" t="s">
        <v>3430</v>
      </c>
      <c r="C31" s="12" t="str">
        <f>IF(B31="现房","成新及维护状况正常否",IF(B31="在建","工程状态是否正常",IF(B31="土地","是否闲置","-")))</f>
        <v>成新及维护状况正常否</v>
      </c>
      <c r="D31" s="1281"/>
      <c r="E31" s="2229"/>
      <c r="F31" s="2437"/>
      <c r="G31" s="2437"/>
      <c r="H31" s="2437"/>
      <c r="I31" s="2437"/>
      <c r="J31" s="2242"/>
      <c r="K31" s="2396"/>
      <c r="L31" s="2394"/>
      <c r="M31" s="2394"/>
      <c r="N31" s="2242"/>
      <c r="O31" s="1670"/>
      <c r="P31" s="2242"/>
      <c r="Q31" s="2242"/>
      <c r="R31" s="2242"/>
      <c r="S31" s="2242"/>
      <c r="T31" s="2242"/>
      <c r="U31" s="2242"/>
      <c r="V31" s="2242"/>
    </row>
    <row r="32" spans="1:28">
      <c r="A32" s="3237"/>
      <c r="B32" s="2228"/>
      <c r="C32" s="12" t="str">
        <f>IF(B32="现房","成新及维护状况是否正常",IF(B32="在建","工程状态是否正常",IF(B32="土地","是否闲置","-")))</f>
        <v>-</v>
      </c>
      <c r="D32" s="1281"/>
      <c r="E32" s="2229"/>
      <c r="F32" s="2437"/>
      <c r="G32" s="2437"/>
      <c r="H32" s="2437"/>
      <c r="I32" s="2437"/>
      <c r="J32" s="2242"/>
      <c r="K32" s="2397"/>
      <c r="L32" s="2394"/>
      <c r="M32" s="2394"/>
      <c r="N32" s="2242"/>
      <c r="O32" s="1670"/>
      <c r="P32" s="2242"/>
      <c r="Q32" s="2242"/>
      <c r="R32" s="2242"/>
      <c r="S32" s="2242"/>
      <c r="T32" s="2242"/>
      <c r="U32" s="2242"/>
      <c r="V32" s="2242"/>
    </row>
    <row r="33" spans="1:30">
      <c r="A33" s="3237"/>
      <c r="B33" s="2231"/>
      <c r="C33" s="1478" t="str">
        <f>IF(B33="现房","成新及维护状况是否正常",IF(B33="在建","工程状态是否正常",IF(B33="土地","是否闲置","-")))</f>
        <v>-</v>
      </c>
      <c r="D33" s="1274"/>
      <c r="E33" s="2232"/>
      <c r="F33" s="2437"/>
      <c r="G33" s="2437"/>
      <c r="H33" s="2437"/>
      <c r="I33" s="2437"/>
      <c r="J33" s="2242"/>
      <c r="K33" s="2397"/>
      <c r="L33" s="2394"/>
      <c r="M33" s="2394"/>
      <c r="N33" s="2242"/>
      <c r="O33" s="1670"/>
      <c r="P33" s="2242"/>
      <c r="Q33" s="2242"/>
      <c r="R33" s="2242"/>
      <c r="S33" s="2242"/>
      <c r="T33" s="2242"/>
      <c r="U33" s="2242"/>
      <c r="V33" s="2242"/>
    </row>
    <row r="34" spans="1:30">
      <c r="A34" s="294" t="s">
        <v>2220</v>
      </c>
      <c r="B34" s="1869"/>
      <c r="C34" s="1869"/>
      <c r="D34" s="1869"/>
      <c r="E34" s="1869"/>
      <c r="F34" s="1869"/>
      <c r="G34" s="1869"/>
      <c r="H34" s="1869"/>
      <c r="I34" s="2437"/>
      <c r="J34" s="2242"/>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2"/>
      <c r="V34" s="2242"/>
    </row>
    <row r="35" spans="1:30">
      <c r="A35" s="2233"/>
      <c r="B35" s="3231" t="s">
        <v>2229</v>
      </c>
      <c r="C35" s="3231"/>
      <c r="D35" s="3231"/>
      <c r="E35" s="3231"/>
      <c r="F35" s="8">
        <f>C10</f>
        <v>0</v>
      </c>
      <c r="G35" s="2437"/>
      <c r="H35" s="2437"/>
      <c r="I35" s="2437"/>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2"/>
      <c r="V35" s="2242"/>
    </row>
    <row r="36" spans="1:30">
      <c r="A36" s="2182"/>
      <c r="B36" s="8" t="s">
        <v>2185</v>
      </c>
      <c r="C36" s="8" t="s">
        <v>2186</v>
      </c>
      <c r="D36" s="8" t="s">
        <v>2184</v>
      </c>
      <c r="E36" s="8" t="s">
        <v>2189</v>
      </c>
      <c r="F36" s="2795" t="s">
        <v>2579</v>
      </c>
      <c r="G36" s="2437"/>
      <c r="H36" s="2437"/>
      <c r="I36" s="2437"/>
      <c r="J36" s="2242"/>
      <c r="K36" s="2397"/>
      <c r="L36" s="2394"/>
      <c r="M36" s="2394"/>
      <c r="N36" s="2242"/>
      <c r="O36" s="1670"/>
      <c r="P36" s="2242"/>
      <c r="Q36" s="2242"/>
      <c r="R36" s="2242"/>
      <c r="S36" s="2242"/>
      <c r="T36" s="2242"/>
      <c r="U36" s="2242"/>
      <c r="V36" s="2242"/>
    </row>
    <row r="37" spans="1:30">
      <c r="A37" s="2410" t="s">
        <v>2230</v>
      </c>
      <c r="B37" s="2234"/>
      <c r="C37" s="2234"/>
      <c r="D37" s="2234"/>
      <c r="E37" s="2234"/>
      <c r="F37" s="2234"/>
      <c r="G37" s="2437"/>
      <c r="H37" s="2437"/>
      <c r="I37" s="2437"/>
      <c r="J37" s="2242"/>
      <c r="K37" s="2397"/>
      <c r="L37" s="2394"/>
      <c r="M37" s="2394"/>
      <c r="N37" s="2242"/>
      <c r="O37" s="1670"/>
      <c r="P37" s="2242"/>
      <c r="Q37" s="2242"/>
      <c r="R37" s="2242"/>
      <c r="S37" s="2242"/>
      <c r="T37" s="2242"/>
      <c r="U37" s="2242"/>
      <c r="V37" s="2242"/>
    </row>
    <row r="38" spans="1:30" ht="13.8" thickBot="1">
      <c r="A38" s="2411" t="s">
        <v>2231</v>
      </c>
      <c r="B38" s="2235"/>
      <c r="C38" s="2235"/>
      <c r="D38" s="2235"/>
      <c r="E38" s="2235"/>
      <c r="F38" s="2235"/>
      <c r="G38" s="2438"/>
      <c r="H38" s="2438"/>
      <c r="I38" s="2438"/>
      <c r="J38" s="2242"/>
      <c r="K38" s="2397"/>
      <c r="L38" s="2394"/>
      <c r="M38" s="2394"/>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1"/>
      <c r="B40" s="2181"/>
      <c r="C40" s="2181"/>
      <c r="D40" s="2181"/>
      <c r="E40" s="2181"/>
      <c r="F40" s="2181"/>
      <c r="G40" s="2181"/>
      <c r="H40" s="2181"/>
      <c r="I40" s="1466"/>
      <c r="J40" s="2242"/>
      <c r="K40" s="2396"/>
      <c r="L40" s="1670"/>
      <c r="M40" s="1670"/>
      <c r="N40" s="2242"/>
      <c r="O40" s="1670"/>
      <c r="P40" s="2242"/>
      <c r="Q40" s="2242"/>
      <c r="R40" s="2242"/>
      <c r="S40" s="2242"/>
      <c r="T40" s="2242"/>
      <c r="U40" s="2242"/>
      <c r="V40" s="2242"/>
    </row>
    <row r="41" spans="1:30">
      <c r="A41" s="2239" t="s">
        <v>2233</v>
      </c>
      <c r="B41" s="1627"/>
      <c r="C41" s="1281"/>
      <c r="D41" s="2181"/>
      <c r="E41" s="2181"/>
      <c r="F41" s="2181"/>
      <c r="G41" s="2181"/>
      <c r="H41" s="2181"/>
      <c r="I41" s="1466"/>
      <c r="J41" s="2242"/>
      <c r="K41" s="2397"/>
      <c r="L41" s="2394"/>
      <c r="M41" s="2394"/>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15" sqref="M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估价对象信息!G2</f>
        <v>24593</v>
      </c>
      <c r="B3" s="11">
        <f>IF(C3="否",G5-AT5,G5)</f>
        <v>29587.64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29587.64</v>
      </c>
      <c r="H5" s="13">
        <f t="shared" ref="H5:AT5" si="0">SUM(H13:H656)</f>
        <v>29587.64</v>
      </c>
      <c r="I5" s="13">
        <f t="shared" si="0"/>
        <v>24933.45</v>
      </c>
      <c r="J5" s="13">
        <f t="shared" si="0"/>
        <v>0</v>
      </c>
      <c r="K5" s="13">
        <f t="shared" si="0"/>
        <v>4654.1899999999996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29587.64</v>
      </c>
      <c r="BA5" s="15">
        <f t="shared" si="1"/>
        <v>29587.64</v>
      </c>
      <c r="BB5" s="15">
        <f t="shared" si="1"/>
        <v>24933.45</v>
      </c>
      <c r="BC5" s="15">
        <f t="shared" si="1"/>
        <v>4654.1899999999996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24593</v>
      </c>
      <c r="F6" s="13" t="s">
        <v>0</v>
      </c>
      <c r="G6" s="13" t="s">
        <v>1</v>
      </c>
      <c r="H6" s="17">
        <f>SUMIF(I$12:AB$12,"总值",I6:AB6)</f>
        <v>24593</v>
      </c>
      <c r="I6" s="13">
        <f t="shared" ref="I6:AB6" si="2">ROUND($A$3*I5/$B$3,2)</f>
        <v>20724.48</v>
      </c>
      <c r="J6" s="13">
        <f t="shared" si="2"/>
        <v>0</v>
      </c>
      <c r="K6" s="13">
        <f t="shared" si="2"/>
        <v>3868.52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24593</v>
      </c>
      <c r="AZ6" s="13" t="s">
        <v>2</v>
      </c>
      <c r="BA6" s="13">
        <f>ROUND($AY$6*BA5/$AZ$5,2)</f>
        <v>24593</v>
      </c>
      <c r="BB6" s="13">
        <f>ROUND($AY$6*BB5/$AZ$5,2)</f>
        <v>20724.48</v>
      </c>
      <c r="BC6" s="13">
        <f t="shared" ref="BC6:BH6" si="4">ROUND($AY$6*BC5/$AZ$5,2)</f>
        <v>3868.52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3432</v>
      </c>
      <c r="J9" s="761"/>
      <c r="K9" s="1491" t="s">
        <v>3432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3433</v>
      </c>
      <c r="J11" s="1503"/>
      <c r="K11" s="1502" t="s">
        <v>3434</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标准厂房</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估价对象信息!N2</f>
        <v>组装车间</v>
      </c>
      <c r="D13" s="1513" t="s">
        <v>3429</v>
      </c>
      <c r="E13" s="13">
        <f>IF($C$3="是",ROUND($A$3*G13/$B$3,2),ROUND($A$3*(G13-AT13)/$B$3,2))</f>
        <v>2083.2199999999998</v>
      </c>
      <c r="F13" s="29"/>
      <c r="G13" s="30">
        <f>H13+AC13+AT13</f>
        <v>2506.31</v>
      </c>
      <c r="H13" s="17">
        <f>SUMIF(I$12:AB$12,"总值",I13:AB13)</f>
        <v>2506.31</v>
      </c>
      <c r="I13" s="1514">
        <f>估价对象信息!H2</f>
        <v>2506.31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组装车间</v>
      </c>
      <c r="AY13" s="1260">
        <f>ROUND($AY$6*AZ13/$AZ$5,2)</f>
        <v>2083.2199999999998</v>
      </c>
      <c r="AZ13" s="13">
        <f>BA13+BL13</f>
        <v>2506.31</v>
      </c>
      <c r="BA13" s="13">
        <f>SUM(BB13:BK13)</f>
        <v>2506.31</v>
      </c>
      <c r="BB13" s="13">
        <f>IF($D13="是",I13-J13,0)</f>
        <v>2506.31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tr">
        <f>估价对象信息!N4</f>
        <v>钣金车间</v>
      </c>
      <c r="D14" s="1513" t="s">
        <v>3429</v>
      </c>
      <c r="E14" s="13">
        <f>IF($C$3="是",ROUND($A$3*G14/$B$3,2),ROUND($A$3*(G14-AT14)/$B$3,2))</f>
        <v>5744.83</v>
      </c>
      <c r="F14" s="29"/>
      <c r="G14" s="30">
        <f>H14+AC14+AT14</f>
        <v>6911.56</v>
      </c>
      <c r="H14" s="17">
        <f>SUMIF(I$12:AB$12,"总值",I14:AB14)</f>
        <v>6911.56</v>
      </c>
      <c r="I14" s="1514">
        <f>估价对象信息!H4</f>
        <v>6911.56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钣金车间</v>
      </c>
      <c r="AY14" s="1260">
        <f>ROUND($AY$6*AZ14/$AZ$5,2)</f>
        <v>5744.83</v>
      </c>
      <c r="AZ14" s="13">
        <f>BA14+BL14</f>
        <v>6911.56</v>
      </c>
      <c r="BA14" s="13">
        <f>SUM(BB14:BK14)</f>
        <v>6911.56</v>
      </c>
      <c r="BB14" s="13">
        <f>IF($D14="是",I14-J14,0)</f>
        <v>6911.56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t="str">
        <f>估价对象信息!N5</f>
        <v>生产车间</v>
      </c>
      <c r="D15" s="1513" t="s">
        <v>3429</v>
      </c>
      <c r="E15" s="13">
        <f>IF($C$3="是",ROUND($A$3*G15/$B$3,2),ROUND($A$3*(G15-AT15)/$B$3,2))</f>
        <v>12896.42</v>
      </c>
      <c r="F15" s="29"/>
      <c r="G15" s="30">
        <f>H15+AC15+AT15</f>
        <v>15515.58</v>
      </c>
      <c r="H15" s="17">
        <f>SUMIF(I$12:AB$12,"总值",I15:AB15)</f>
        <v>15515.58</v>
      </c>
      <c r="I15" s="1514">
        <f>估价对象信息!H5</f>
        <v>15515.58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生产车间</v>
      </c>
      <c r="AY15" s="1260">
        <f>ROUND($AY$6*AZ15/$AZ$5,2)</f>
        <v>12896.42</v>
      </c>
      <c r="AZ15" s="13">
        <f>BA15+BL15</f>
        <v>15515.58</v>
      </c>
      <c r="BA15" s="13">
        <f>SUM(BB15:BK15)</f>
        <v>15515.58</v>
      </c>
      <c r="BB15" s="13">
        <f>IF($D15="是",I15-J15,0)</f>
        <v>15515.58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t="str">
        <f>估价对象信息!N6</f>
        <v>办公楼</v>
      </c>
      <c r="D16" s="1513" t="s">
        <v>3429</v>
      </c>
      <c r="E16" s="13">
        <f>IF($C$3="是",ROUND($A$3*G16/$B$3,2),ROUND($A$3*(G16-AT16)/$B$3,2))</f>
        <v>3868.52</v>
      </c>
      <c r="F16" s="29"/>
      <c r="G16" s="30">
        <f>H16+AC16+AT16</f>
        <v>4654.1899999999996</v>
      </c>
      <c r="H16" s="17">
        <f>SUMIF(I$12:AB$12,"总值",I16:AB16)</f>
        <v>4654.1899999999996</v>
      </c>
      <c r="I16" s="1514"/>
      <c r="J16" s="1514"/>
      <c r="K16" s="1514">
        <f>估价对象信息!H6</f>
        <v>4654.1899999999996</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办公楼</v>
      </c>
      <c r="AY16" s="1260">
        <f>ROUND($AY$6*AZ16/$AZ$5,2)</f>
        <v>3868.52</v>
      </c>
      <c r="AZ16" s="13">
        <f>BA16+BL16</f>
        <v>4654.1899999999996</v>
      </c>
      <c r="BA16" s="13">
        <f>SUM(BB16:BK16)</f>
        <v>4654.1899999999996</v>
      </c>
      <c r="BB16" s="13">
        <f>IF($D16="是",I16-J16,0)</f>
        <v>0</v>
      </c>
      <c r="BC16" s="13">
        <f>IF($D16="是",K16-L16,0)</f>
        <v>4654.1899999999996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9" t="s">
        <v>1131</v>
      </c>
      <c r="B2" s="3269"/>
      <c r="C2" s="3269"/>
      <c r="D2" s="748" t="s">
        <v>1107</v>
      </c>
      <c r="E2" s="1523" t="s">
        <v>1108</v>
      </c>
      <c r="F2" s="2434"/>
      <c r="G2" s="2427"/>
      <c r="H2" s="2428"/>
      <c r="I2" s="2145" t="s">
        <v>1132</v>
      </c>
      <c r="J2" s="2434"/>
      <c r="K2" s="2434"/>
      <c r="L2" s="2434"/>
      <c r="M2" s="2434"/>
      <c r="N2" s="2435"/>
      <c r="O2" s="2434"/>
      <c r="P2" s="2434"/>
    </row>
    <row r="3" spans="1:16" ht="15" thickBot="1">
      <c r="A3" s="3270" t="s">
        <v>1105</v>
      </c>
      <c r="B3" s="3270"/>
      <c r="C3" s="3270"/>
      <c r="D3" s="41">
        <f>'数据-基础表'!AY6</f>
        <v>24593</v>
      </c>
      <c r="E3" s="41">
        <f>'数据-基础表'!AZ5</f>
        <v>29587.64</v>
      </c>
      <c r="F3" s="2434"/>
      <c r="G3" s="42"/>
      <c r="H3" s="43" t="s">
        <v>1106</v>
      </c>
      <c r="I3" s="802">
        <f>ROUND('数据-基础表'!B3/'数据-基础表'!A3,2)</f>
        <v>1.2</v>
      </c>
      <c r="J3" s="2434"/>
      <c r="K3" s="2434"/>
      <c r="L3" s="2434"/>
      <c r="M3" s="2434"/>
      <c r="N3" s="2435"/>
      <c r="O3" s="2434"/>
      <c r="P3" s="2434"/>
    </row>
    <row r="4" spans="1:16" ht="14.4">
      <c r="A4" s="3271"/>
      <c r="B4" s="3272"/>
      <c r="C4" s="3273"/>
      <c r="D4" s="1524" t="s">
        <v>1107</v>
      </c>
      <c r="E4" s="1525" t="s">
        <v>1108</v>
      </c>
      <c r="F4" s="2434"/>
      <c r="G4" s="2429" t="s">
        <v>1133</v>
      </c>
      <c r="H4" s="43" t="s">
        <v>1113</v>
      </c>
      <c r="I4" s="802">
        <f>ROUND(SUMIF('数据-基础表'!I9:AS9,"地上",'数据-基础表'!I5:AS5)/'数据-基础表'!A3,2)</f>
        <v>1.2</v>
      </c>
      <c r="J4" s="2434"/>
      <c r="K4" s="2434"/>
      <c r="L4" s="2434"/>
      <c r="M4" s="2434"/>
      <c r="N4" s="2435"/>
      <c r="O4" s="2434"/>
      <c r="P4" s="2434"/>
    </row>
    <row r="5" spans="1:16" ht="14.4">
      <c r="A5" s="42" t="s">
        <v>1109</v>
      </c>
      <c r="B5" s="3274" t="s">
        <v>1110</v>
      </c>
      <c r="C5" s="3274"/>
      <c r="D5" s="43">
        <f>ROUND($D$3*E5/$E$3,2)</f>
        <v>0</v>
      </c>
      <c r="E5" s="44">
        <f>SUMIF('数据-基础表'!$11:$11,"住宅",'数据-基础表'!$5:$5)</f>
        <v>0</v>
      </c>
      <c r="F5" s="2434"/>
      <c r="G5" s="42"/>
      <c r="H5" s="43" t="s">
        <v>1106</v>
      </c>
      <c r="I5" s="802">
        <f>ROUND(E31/D31,2)</f>
        <v>1.2</v>
      </c>
      <c r="J5" s="2434"/>
      <c r="K5" s="2434"/>
      <c r="L5" s="2434"/>
      <c r="M5" s="2434"/>
      <c r="N5" s="2434"/>
      <c r="O5" s="2434"/>
      <c r="P5" s="2434"/>
    </row>
    <row r="6" spans="1:16" ht="15" thickBot="1">
      <c r="A6" s="1527"/>
      <c r="B6" s="3274" t="s">
        <v>1111</v>
      </c>
      <c r="C6" s="3274"/>
      <c r="D6" s="43">
        <f>ROUND($D$3*E6/$E$3,2)</f>
        <v>24593</v>
      </c>
      <c r="E6" s="44">
        <f>E3-E5</f>
        <v>29587.64</v>
      </c>
      <c r="F6" s="2434"/>
      <c r="G6" s="1529" t="s">
        <v>1112</v>
      </c>
      <c r="H6" s="45" t="s">
        <v>1113</v>
      </c>
      <c r="I6" s="2430">
        <f>ROUND(F31/D31,2)</f>
        <v>1.2</v>
      </c>
      <c r="J6" s="2434"/>
      <c r="K6" s="2434"/>
      <c r="L6" s="2434"/>
      <c r="M6" s="2434"/>
      <c r="N6" s="2434"/>
      <c r="O6" s="2434"/>
      <c r="P6" s="2434"/>
    </row>
    <row r="7" spans="1:16" ht="15" thickBot="1">
      <c r="A7" s="3266"/>
      <c r="B7" s="3267"/>
      <c r="C7" s="3268"/>
      <c r="D7" s="1524" t="s">
        <v>1107</v>
      </c>
      <c r="E7" s="1528" t="s">
        <v>1114</v>
      </c>
      <c r="F7" s="2434"/>
      <c r="G7" s="2431" t="s">
        <v>1115</v>
      </c>
      <c r="H7" s="95"/>
      <c r="I7" s="2432"/>
      <c r="J7" s="2434"/>
      <c r="K7" s="2434"/>
      <c r="L7" s="2434"/>
      <c r="M7" s="2434"/>
      <c r="N7" s="2434"/>
      <c r="O7" s="2434"/>
      <c r="P7" s="2434"/>
    </row>
    <row r="8" spans="1:16" ht="14.4">
      <c r="A8" s="42" t="s">
        <v>1116</v>
      </c>
      <c r="B8" s="45" t="s">
        <v>1117</v>
      </c>
      <c r="C8" s="43" t="s">
        <v>1118</v>
      </c>
      <c r="D8" s="43">
        <f t="shared" ref="D8:D15" si="0">ROUND($D$3*E8/$E$3,2)</f>
        <v>24593</v>
      </c>
      <c r="E8" s="46">
        <f>SUMIF('数据-基础表'!BB10:BK10,"地上",'数据-基础表'!BB5:BK5)</f>
        <v>29587.64</v>
      </c>
      <c r="F8" s="2434"/>
      <c r="G8" s="2434"/>
      <c r="H8" s="2434"/>
      <c r="I8" s="2434"/>
      <c r="J8" s="2434"/>
      <c r="K8" s="2434"/>
      <c r="L8" s="2434"/>
      <c r="M8" s="2434"/>
      <c r="N8" s="2434"/>
      <c r="O8" s="2434"/>
      <c r="P8" s="2434"/>
    </row>
    <row r="9" spans="1:16" ht="14.4">
      <c r="A9" s="1529"/>
      <c r="B9" s="1530"/>
      <c r="C9" s="43" t="s">
        <v>1119</v>
      </c>
      <c r="D9" s="43">
        <f t="shared" si="0"/>
        <v>0</v>
      </c>
      <c r="E9" s="47">
        <v>0</v>
      </c>
      <c r="F9" s="2434"/>
      <c r="G9" s="2434"/>
      <c r="H9" s="2434"/>
      <c r="I9" s="2434"/>
      <c r="J9" s="2434"/>
      <c r="K9" s="2434"/>
      <c r="L9" s="2434"/>
      <c r="M9" s="2434"/>
      <c r="N9" s="2434"/>
      <c r="O9" s="2434"/>
      <c r="P9" s="2434"/>
    </row>
    <row r="10" spans="1:16" ht="14.4">
      <c r="A10" s="1529"/>
      <c r="B10" s="1530"/>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9"/>
      <c r="B11" s="1530"/>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9"/>
      <c r="B12" s="1530"/>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9"/>
      <c r="B13" s="1530"/>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9"/>
      <c r="B14" s="1530"/>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9"/>
      <c r="B15" s="1530"/>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7"/>
      <c r="B16" s="1530"/>
      <c r="C16" s="45" t="s">
        <v>1123</v>
      </c>
      <c r="D16" s="45">
        <f>SUM(D8:D15)</f>
        <v>24593</v>
      </c>
      <c r="E16" s="48">
        <f>SUM(E8:E15)</f>
        <v>29587.64</v>
      </c>
      <c r="F16" s="2434"/>
      <c r="G16" s="2434"/>
      <c r="H16" s="1531" t="s">
        <v>1135</v>
      </c>
      <c r="I16" s="1532"/>
      <c r="J16" s="1071"/>
      <c r="K16" s="3263" t="s">
        <v>1135</v>
      </c>
      <c r="L16" s="3264"/>
      <c r="M16" s="3264"/>
      <c r="N16" s="3264"/>
      <c r="O16" s="3264"/>
      <c r="P16" s="3265"/>
    </row>
    <row r="17" spans="1:19" ht="14.4">
      <c r="A17" s="1533" t="s">
        <v>1136</v>
      </c>
      <c r="B17" s="1534" t="s">
        <v>1137</v>
      </c>
      <c r="C17" s="1535" t="s">
        <v>1138</v>
      </c>
      <c r="D17" s="1536" t="s">
        <v>1126</v>
      </c>
      <c r="E17" s="1537" t="s">
        <v>1127</v>
      </c>
      <c r="F17" s="1538"/>
      <c r="G17" s="1539"/>
      <c r="H17" s="1540" t="s">
        <v>1139</v>
      </c>
      <c r="I17" s="1541" t="s">
        <v>1124</v>
      </c>
      <c r="J17" s="1071"/>
      <c r="K17" s="3260" t="s">
        <v>1140</v>
      </c>
      <c r="L17" s="3261"/>
      <c r="M17" s="3262"/>
      <c r="N17" s="3260" t="s">
        <v>1141</v>
      </c>
      <c r="O17" s="3261"/>
      <c r="P17" s="326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0" t="s">
        <v>3435</v>
      </c>
      <c r="D19" s="43">
        <f>ROUND($D$3*E19/$E$3,2)</f>
        <v>24593</v>
      </c>
      <c r="E19" s="51">
        <f t="shared" ref="E19:E26" si="1">SUM(F19:G19)</f>
        <v>29587.64</v>
      </c>
      <c r="F19" s="2552">
        <f>'数据-基础表'!B3</f>
        <v>29587.64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24593</v>
      </c>
      <c r="S19" s="51">
        <f t="shared" si="5"/>
        <v>29587.64</v>
      </c>
    </row>
    <row r="20" spans="1:19" ht="14.4">
      <c r="A20" s="1549"/>
      <c r="B20" s="45" t="s">
        <v>1153</v>
      </c>
      <c r="C20" s="3110"/>
      <c r="D20" s="43">
        <f t="shared" ref="D20:D26" si="6">ROUND($D$3*E20/$E$3,2)</f>
        <v>0</v>
      </c>
      <c r="E20" s="51">
        <f t="shared" si="1"/>
        <v>0</v>
      </c>
      <c r="F20" s="2552"/>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0"/>
      <c r="D21" s="43">
        <f t="shared" si="6"/>
        <v>0</v>
      </c>
      <c r="E21" s="51">
        <f t="shared" si="1"/>
        <v>0</v>
      </c>
      <c r="F21" s="2552"/>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24593</v>
      </c>
      <c r="E27" s="1073">
        <f>IF(SUM(E19:E26)='数据-基础表'!BA5,SUM(E19:E26),IF(F27="地上面积有误","面积有误","地下面积有误"))</f>
        <v>29587.64</v>
      </c>
      <c r="F27" s="1072">
        <f>IF(SUM(F19:F26)=E8,SUM(F19:F26),"地上面积有误")</f>
        <v>29587.64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24593</v>
      </c>
      <c r="S27" s="43">
        <f>IF(SUM(S19:S26)=$E$3,SUM(S19:S26),SUM(S19:S26)&amp;"误差"&amp;ROUND(SUM(S19:S26)-E3,2))</f>
        <v>29587.64</v>
      </c>
    </row>
    <row r="28" spans="1:19" ht="14.4">
      <c r="A28" s="1549"/>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9"/>
      <c r="B29" s="45" t="s">
        <v>1155</v>
      </c>
      <c r="C29" s="1555"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9"/>
      <c r="B30" s="45"/>
      <c r="C30" s="1556" t="s">
        <v>1154</v>
      </c>
      <c r="D30" s="1072">
        <f>SUM(D28:D29)</f>
        <v>0</v>
      </c>
      <c r="E30" s="1072">
        <f>SUM(E28:E29)</f>
        <v>0</v>
      </c>
      <c r="F30" s="1072">
        <f>SUM(F28:F29)</f>
        <v>0</v>
      </c>
      <c r="G30" s="1074">
        <f>SUM(G28:G29)</f>
        <v>0</v>
      </c>
      <c r="H30" s="2434"/>
      <c r="I30" s="2434"/>
      <c r="J30" s="2434"/>
      <c r="K30" s="2434"/>
      <c r="L30" s="2434"/>
      <c r="M30" s="2434"/>
      <c r="N30" s="2434"/>
      <c r="O30" s="2434"/>
      <c r="P30" s="2434"/>
    </row>
    <row r="31" spans="1:19" ht="15" thickBot="1">
      <c r="A31" s="1557"/>
      <c r="B31" s="96"/>
      <c r="C31" s="785" t="s">
        <v>1158</v>
      </c>
      <c r="D31" s="643">
        <f>D27+D30</f>
        <v>24593</v>
      </c>
      <c r="E31" s="643">
        <f>E27+E30</f>
        <v>29587.64</v>
      </c>
      <c r="F31" s="644">
        <f>F27+F30</f>
        <v>29587.64</v>
      </c>
      <c r="G31" s="645">
        <f>G27+G30</f>
        <v>0</v>
      </c>
      <c r="H31" s="2434"/>
      <c r="I31" s="2434"/>
      <c r="J31" s="2434"/>
      <c r="K31" s="2434"/>
      <c r="L31" s="2434"/>
      <c r="M31" s="2434"/>
      <c r="N31" s="2434"/>
      <c r="O31" s="2434"/>
      <c r="P31" s="2434"/>
    </row>
    <row r="32" spans="1:19" ht="14.4">
      <c r="A32" s="1526"/>
      <c r="B32" s="1526" t="s">
        <v>1159</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1" sqref="G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1" customFormat="1" ht="15" thickBot="1">
      <c r="A2" s="1562" t="s">
        <v>1161</v>
      </c>
      <c r="B2" s="984">
        <f>项目基本情况!D3</f>
        <v>45594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3"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57963</v>
      </c>
      <c r="F6" s="61">
        <f>SUMIF(项目基本情况!C$12:I$12,C6,项目基本情况!C$15:I$15)</f>
        <v>33.880000000000003</v>
      </c>
      <c r="G6" s="62">
        <f>IF(ISERROR(ROUND(POWER(1+H6,D6-F6)*(POWER(1+H6,F6)-1)/(POWER(1+H6,D6)-1),3)),0,ROUND(POWER(1+H6,D6-F6)*(POWER(1+H6,F6)-1)/(POWER(1+H6,D6)-1),3))</f>
        <v>0.871</v>
      </c>
      <c r="H6" s="691">
        <v>4.4999999999999998E-2</v>
      </c>
      <c r="I6" s="691">
        <v>0.05</v>
      </c>
      <c r="J6" s="63">
        <v>7.0000000000000007E-2</v>
      </c>
      <c r="K6" s="970">
        <f>SUMIF('数据-汇总表'!C$19:C$33,A6,'数据-汇总表'!E$19:E$33)</f>
        <v>29587.64</v>
      </c>
      <c r="L6" s="692">
        <f>J24</f>
        <v>2466.2180559179442</v>
      </c>
      <c r="M6" s="64">
        <f t="shared" ref="M6:M14" si="0">ROUND(K6*L6/10000,0)</f>
        <v>7297</v>
      </c>
      <c r="N6" s="690">
        <f>K24</f>
        <v>0.86</v>
      </c>
      <c r="O6" s="64" t="str">
        <f>IF($N$5="成新度","——",ROUND(M6*N6,0))</f>
        <v>——</v>
      </c>
      <c r="P6" s="65" t="str">
        <f>IF($N$5="成新度","——",M6-O6)</f>
        <v>——</v>
      </c>
      <c r="Q6" s="693">
        <v>0.05</v>
      </c>
      <c r="R6" s="66">
        <f ca="1">SUMIF('数据-汇总表'!C$19:C$33,A6,'数据-汇总表'!R$19:R$27)</f>
        <v>24593</v>
      </c>
      <c r="S6" s="49">
        <f>IF('数据-汇总表'!$I$17="按面积比例",SUMIF('数据-汇总表'!C$19:C$33,A6,'数据-汇总表'!K$19:K$33),SUMIF('数据-汇总表'!C$19:C$33,A6,'数据-汇总表'!N$19:N$33))</f>
        <v>0</v>
      </c>
      <c r="T6" s="1092">
        <f>ROUND($L$14*S6/10000,0)</f>
        <v>0</v>
      </c>
      <c r="U6" s="3121">
        <f>N24</f>
        <v>0.8</v>
      </c>
      <c r="V6" s="67">
        <v>0.02</v>
      </c>
      <c r="W6" s="67">
        <v>0.1</v>
      </c>
      <c r="X6" s="979"/>
      <c r="Y6" s="68">
        <f>N6</f>
        <v>0.86</v>
      </c>
      <c r="Z6" s="69"/>
      <c r="AA6" s="63"/>
      <c r="AB6" s="63"/>
      <c r="AC6" s="979"/>
      <c r="AD6" s="70"/>
      <c r="AE6" s="980">
        <f ca="1">IF(AN6="",0,SUMIF(INDIRECT("'"&amp;AN6&amp;"'"&amp;"!E:E"),$AE$5,INDIRECT("'"&amp;AN6&amp;"'"&amp;"!F:F")))</f>
        <v>33.880000000000003</v>
      </c>
      <c r="AF6" s="74"/>
      <c r="AG6" s="130">
        <f>IF(AF6="",0,AE6-AF6)</f>
        <v>0</v>
      </c>
      <c r="AH6" s="71"/>
      <c r="AI6" s="73">
        <v>365</v>
      </c>
      <c r="AJ6" s="74"/>
      <c r="AK6" s="75">
        <v>0.01</v>
      </c>
      <c r="AL6" s="76">
        <v>1.5E-3</v>
      </c>
      <c r="AM6" s="77">
        <v>0.01</v>
      </c>
      <c r="AN6" s="1589" t="s">
        <v>3436</v>
      </c>
      <c r="AO6" s="50">
        <f ca="1">SUMIF(INDIRECT("'"&amp;AN6&amp;"'"&amp;"!A:A"),"总价",INDIRECT("'"&amp;AN6&amp;"'"&amp;"!B:B"))</f>
        <v>11092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3"/>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3"/>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0.871</v>
      </c>
      <c r="H16" s="84">
        <f>ROUND(SUMPRODUCT(H6:H13,K6:K13)/SUMPRODUCT((H6:H13&gt;0)*(K6:K13)),3)</f>
        <v>4.4999999999999998E-2</v>
      </c>
      <c r="I16" s="85"/>
      <c r="J16" s="85"/>
      <c r="K16" s="86">
        <f>SUM(K6:K15)</f>
        <v>29587.64</v>
      </c>
      <c r="L16" s="87">
        <f>ROUND(M16*10000/SUM(K6:K14),0)</f>
        <v>2466</v>
      </c>
      <c r="M16" s="87">
        <f>SUM(M6:M14)</f>
        <v>7297</v>
      </c>
      <c r="N16" s="88">
        <f>ROUND(SUMPRODUCT(M6:M14,N6:N14)/M16,3)</f>
        <v>0.86</v>
      </c>
      <c r="O16" s="87">
        <f>SUM(O6:O14)</f>
        <v>0</v>
      </c>
      <c r="P16" s="87">
        <f>SUM(P6:P14)</f>
        <v>0</v>
      </c>
      <c r="Q16" s="89">
        <f>ROUND(SUMPRODUCT(Q6:Q13,K6:K13)/SUMPRODUCT((Q6:Q13&gt;0)*(K6:K13)),2)</f>
        <v>0.05</v>
      </c>
      <c r="R16" s="974">
        <f ca="1">SUM(R6:R13)</f>
        <v>24593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6" t="s">
        <v>1211</v>
      </c>
      <c r="B19" s="97">
        <v>0</v>
      </c>
      <c r="C19" s="2555" t="s">
        <v>2301</v>
      </c>
      <c r="D19" s="2446"/>
      <c r="E19" s="2434"/>
      <c r="F19" s="2434"/>
      <c r="G19" s="2434"/>
      <c r="H19" s="2444"/>
      <c r="I19" s="2444" t="s">
        <v>3560</v>
      </c>
      <c r="J19" s="2443" t="s">
        <v>3561</v>
      </c>
      <c r="K19" s="2443" t="s">
        <v>3437</v>
      </c>
      <c r="L19" s="3147" t="s">
        <v>3570</v>
      </c>
      <c r="M19" s="2443"/>
      <c r="N19" s="3184" t="s">
        <v>3607</v>
      </c>
      <c r="O19" s="3147" t="s">
        <v>3605</v>
      </c>
      <c r="P19" s="2443" t="s">
        <v>3602</v>
      </c>
      <c r="Q19" s="3182" t="s">
        <v>3604</v>
      </c>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7" t="s">
        <v>1212</v>
      </c>
      <c r="B20" s="98">
        <v>1</v>
      </c>
      <c r="C20" s="2556" t="s">
        <v>2299</v>
      </c>
      <c r="D20" s="2446"/>
      <c r="E20" s="2434"/>
      <c r="F20" s="2434"/>
      <c r="G20" s="2434"/>
      <c r="H20" s="2444" t="s">
        <v>3562</v>
      </c>
      <c r="I20" s="2444">
        <v>6911.56</v>
      </c>
      <c r="J20" s="2443">
        <v>2200</v>
      </c>
      <c r="K20" s="3176">
        <f>1-(1-2%)*(2024-L20)/70</f>
        <v>0.80400000000000005</v>
      </c>
      <c r="L20" s="2443">
        <v>2010</v>
      </c>
      <c r="M20" s="2443" t="s">
        <v>3593</v>
      </c>
      <c r="N20" s="2443"/>
      <c r="O20" s="2443"/>
      <c r="P20" s="2443" t="s">
        <v>3603</v>
      </c>
      <c r="Q20" s="3182" t="s">
        <v>3604</v>
      </c>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8" t="s">
        <v>1213</v>
      </c>
      <c r="B21" s="98">
        <v>1</v>
      </c>
      <c r="C21" s="2434"/>
      <c r="D21" s="2446"/>
      <c r="E21" s="2434"/>
      <c r="F21" s="2434"/>
      <c r="G21" s="2434"/>
      <c r="H21" s="2444" t="s">
        <v>3563</v>
      </c>
      <c r="I21" s="2444">
        <v>15515.58</v>
      </c>
      <c r="J21" s="2443">
        <v>2500</v>
      </c>
      <c r="K21" s="3176">
        <f>1-(1-2%)*(2024-L21)/70</f>
        <v>0.874</v>
      </c>
      <c r="L21" s="2443">
        <v>2015</v>
      </c>
      <c r="M21" s="2443" t="s">
        <v>3594</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7" t="s">
        <v>1214</v>
      </c>
      <c r="B22" s="99">
        <f>B19+B20</f>
        <v>1</v>
      </c>
      <c r="C22" s="2434"/>
      <c r="D22" s="2446"/>
      <c r="E22" s="2434"/>
      <c r="F22" s="2434"/>
      <c r="G22" s="2434"/>
      <c r="H22" s="2444" t="s">
        <v>3434</v>
      </c>
      <c r="I22" s="2444">
        <v>4654.1899999999996</v>
      </c>
      <c r="J22" s="2443">
        <v>3000</v>
      </c>
      <c r="K22" s="3176">
        <f>1-(1-0%)*(2024-L22)/60</f>
        <v>0.85</v>
      </c>
      <c r="L22" s="2443">
        <v>2015</v>
      </c>
      <c r="M22" s="2443" t="s">
        <v>3595</v>
      </c>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5" thickBot="1">
      <c r="A23" s="1598" t="s">
        <v>1215</v>
      </c>
      <c r="B23" s="99">
        <f>B19+B21</f>
        <v>1</v>
      </c>
      <c r="C23" s="2434"/>
      <c r="D23" s="2446"/>
      <c r="E23" s="2434"/>
      <c r="F23" s="2434"/>
      <c r="G23" s="2434"/>
      <c r="H23" s="2444" t="s">
        <v>3564</v>
      </c>
      <c r="I23" s="2444">
        <v>2506.31</v>
      </c>
      <c r="J23" s="2443">
        <v>2000</v>
      </c>
      <c r="K23" s="3176">
        <f>1-(1-2%)*(2024-L23)/70</f>
        <v>0.94399999999999995</v>
      </c>
      <c r="L23" s="2443">
        <v>2020</v>
      </c>
      <c r="M23" s="2443" t="s">
        <v>3592</v>
      </c>
      <c r="N23" s="122"/>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9" t="s">
        <v>1216</v>
      </c>
      <c r="B24" s="100">
        <f>B20-B21</f>
        <v>0</v>
      </c>
      <c r="C24" s="2434"/>
      <c r="D24" s="2446"/>
      <c r="E24" s="2434"/>
      <c r="F24" s="2434"/>
      <c r="G24" s="2434"/>
      <c r="H24" s="2444"/>
      <c r="I24" s="3187">
        <v>29587.64</v>
      </c>
      <c r="J24" s="3177">
        <f>(J20*I20+J21*I21+J22*I22+J23*I23)/I24</f>
        <v>2466.2180559179442</v>
      </c>
      <c r="K24" s="3185">
        <f>ROUND((K21*I21+I22*K22+I23*K23+I20*K20)/I24,2)</f>
        <v>0.86</v>
      </c>
      <c r="L24" s="24"/>
      <c r="M24" s="2443"/>
      <c r="N24" s="3186">
        <v>0.8</v>
      </c>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9"/>
      <c r="B25" s="1542"/>
      <c r="C25" s="2434"/>
      <c r="D25" s="2446"/>
      <c r="E25" s="2434"/>
      <c r="F25" s="2434"/>
      <c r="G25" s="2434"/>
      <c r="H25" s="2434"/>
      <c r="I25" s="2434"/>
      <c r="J25" s="122"/>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2" t="s">
        <v>1217</v>
      </c>
      <c r="B26" s="1600" t="s">
        <v>1218</v>
      </c>
      <c r="C26" s="2447" t="s">
        <v>1219</v>
      </c>
      <c r="D26" s="2446"/>
      <c r="E26" s="2434"/>
      <c r="F26" s="2434"/>
      <c r="G26" s="2434"/>
      <c r="H26" s="2434"/>
      <c r="I26" s="2434"/>
      <c r="J26" s="3275" t="s">
        <v>3571</v>
      </c>
      <c r="K26" s="3276"/>
      <c r="L26" s="3276"/>
      <c r="M26" s="3276"/>
      <c r="N26" s="3276"/>
      <c r="O26" s="3277" t="s">
        <v>3572</v>
      </c>
      <c r="P26" s="3277"/>
      <c r="Q26" s="3277"/>
      <c r="R26" s="3277"/>
      <c r="S26" s="3277"/>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43.2">
      <c r="A27" s="1601" t="s">
        <v>1220</v>
      </c>
      <c r="B27" s="101"/>
      <c r="C27" s="2557" t="s">
        <v>2303</v>
      </c>
      <c r="D27" s="2449"/>
      <c r="E27" s="2435"/>
      <c r="F27" s="2435"/>
      <c r="G27" s="2434"/>
      <c r="H27" s="2434"/>
      <c r="I27" s="2434"/>
      <c r="J27" s="3164" t="s">
        <v>3573</v>
      </c>
      <c r="K27" s="3164" t="s">
        <v>3574</v>
      </c>
      <c r="L27" s="3165" t="s">
        <v>3575</v>
      </c>
      <c r="M27" s="3164" t="s">
        <v>3576</v>
      </c>
      <c r="N27" s="3164" t="s">
        <v>3577</v>
      </c>
      <c r="O27" s="3166" t="s">
        <v>3578</v>
      </c>
      <c r="P27" s="3166" t="s">
        <v>3579</v>
      </c>
      <c r="Q27" s="3277" t="s">
        <v>3580</v>
      </c>
      <c r="R27" s="3277"/>
      <c r="S27" s="3166" t="s">
        <v>3581</v>
      </c>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2" t="s">
        <v>1221</v>
      </c>
      <c r="B28" s="103">
        <v>30</v>
      </c>
      <c r="C28" s="2450"/>
      <c r="D28" s="3147" t="s">
        <v>3565</v>
      </c>
      <c r="E28" s="2435"/>
      <c r="F28" s="2435"/>
      <c r="G28" s="2434"/>
      <c r="H28" s="2434"/>
      <c r="I28" s="2434"/>
      <c r="J28" s="3164" t="s">
        <v>3582</v>
      </c>
      <c r="K28" s="3164" t="s">
        <v>3583</v>
      </c>
      <c r="L28" s="3164" t="s">
        <v>3583</v>
      </c>
      <c r="M28" s="3164" t="s">
        <v>3584</v>
      </c>
      <c r="N28" s="3164" t="s">
        <v>3584</v>
      </c>
      <c r="O28" s="3166" t="s">
        <v>3585</v>
      </c>
      <c r="P28" s="3166" t="s">
        <v>3585</v>
      </c>
      <c r="Q28" s="3166" t="s">
        <v>3586</v>
      </c>
      <c r="R28" s="3166" t="s">
        <v>3587</v>
      </c>
      <c r="S28" s="3166" t="s">
        <v>3588</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3" t="s">
        <v>1222</v>
      </c>
      <c r="B29" s="105">
        <f ca="1">成本法!C10</f>
        <v>89</v>
      </c>
      <c r="C29" s="2558" t="s">
        <v>2292</v>
      </c>
      <c r="D29" s="2443"/>
      <c r="E29" s="2435"/>
      <c r="F29" s="2435"/>
      <c r="G29" s="2434"/>
      <c r="H29" s="2434"/>
      <c r="I29" s="2434"/>
      <c r="J29" s="3165">
        <v>45</v>
      </c>
      <c r="K29" s="3165">
        <v>24</v>
      </c>
      <c r="L29" s="3165">
        <v>20</v>
      </c>
      <c r="M29" s="3165">
        <v>5</v>
      </c>
      <c r="N29" s="3165" t="s">
        <v>3589</v>
      </c>
      <c r="O29" s="3167" t="s">
        <v>3590</v>
      </c>
      <c r="P29" s="3167" t="s">
        <v>3590</v>
      </c>
      <c r="Q29" s="3167">
        <v>2</v>
      </c>
      <c r="R29" s="3167">
        <v>1</v>
      </c>
      <c r="S29" s="3167">
        <v>1</v>
      </c>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4" t="s">
        <v>1223</v>
      </c>
      <c r="B30" s="638">
        <v>200</v>
      </c>
      <c r="C30" s="2450"/>
      <c r="D30" s="2449"/>
      <c r="E30" s="2435"/>
      <c r="F30" s="2435"/>
      <c r="G30" s="2434"/>
      <c r="H30" s="2434"/>
      <c r="I30" s="2434"/>
      <c r="J30" s="3165">
        <v>3</v>
      </c>
      <c r="K30" s="3165">
        <v>3</v>
      </c>
      <c r="L30" s="3165">
        <v>2</v>
      </c>
      <c r="M30" s="3165">
        <v>0</v>
      </c>
      <c r="N30" s="3165">
        <v>0</v>
      </c>
      <c r="O30" s="3167">
        <v>0</v>
      </c>
      <c r="P30" s="3167">
        <v>0</v>
      </c>
      <c r="Q30" s="3167">
        <v>1</v>
      </c>
      <c r="R30" s="3167">
        <v>0</v>
      </c>
      <c r="S30" s="3167">
        <v>0</v>
      </c>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2" t="s">
        <v>1224</v>
      </c>
      <c r="B31" s="104">
        <f>B30-B32</f>
        <v>200</v>
      </c>
      <c r="C31" s="2448"/>
      <c r="D31" s="2449"/>
      <c r="E31" s="2435"/>
      <c r="F31" s="2435"/>
      <c r="G31" s="2434"/>
      <c r="H31" s="2434"/>
      <c r="I31" s="2434"/>
      <c r="J31" s="3165">
        <v>124000</v>
      </c>
      <c r="K31" s="3165">
        <v>57000</v>
      </c>
      <c r="L31" s="3165">
        <v>32000</v>
      </c>
      <c r="M31" s="3165">
        <v>22000</v>
      </c>
      <c r="N31" s="3165">
        <v>6400</v>
      </c>
      <c r="O31" s="3167">
        <v>12000</v>
      </c>
      <c r="P31" s="3167">
        <v>15000</v>
      </c>
      <c r="Q31" s="3167"/>
      <c r="R31" s="3167"/>
      <c r="S31" s="3167">
        <v>10825.55</v>
      </c>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5" t="s">
        <v>1225</v>
      </c>
      <c r="B32" s="639"/>
      <c r="C32" s="2450"/>
      <c r="D32" s="2446"/>
      <c r="E32" s="2434"/>
      <c r="F32" s="2434"/>
      <c r="G32" s="2434"/>
      <c r="H32" s="2434"/>
      <c r="I32" s="2434"/>
      <c r="J32" s="3168">
        <v>100000</v>
      </c>
      <c r="K32" s="3168">
        <v>45000</v>
      </c>
      <c r="L32" s="3168">
        <v>26000</v>
      </c>
      <c r="M32" s="3168">
        <v>22000</v>
      </c>
      <c r="N32" s="3168">
        <v>6400</v>
      </c>
      <c r="O32" s="3169">
        <v>12000</v>
      </c>
      <c r="P32" s="3169">
        <v>15000</v>
      </c>
      <c r="Q32" s="3169">
        <v>26992.67</v>
      </c>
      <c r="R32" s="3169">
        <v>48.07</v>
      </c>
      <c r="S32" s="3169">
        <v>10825.55</v>
      </c>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1" t="s">
        <v>1226</v>
      </c>
      <c r="B33" s="640">
        <v>0.03</v>
      </c>
      <c r="C33" s="2559" t="s">
        <v>3376</v>
      </c>
      <c r="D33" s="2446"/>
      <c r="E33" s="2434"/>
      <c r="F33" s="2434"/>
      <c r="G33" s="2434"/>
      <c r="H33" s="2434"/>
      <c r="I33" s="2434"/>
      <c r="J33" s="3168">
        <v>24000</v>
      </c>
      <c r="K33" s="3168">
        <v>12000</v>
      </c>
      <c r="L33" s="3168">
        <v>6000</v>
      </c>
      <c r="M33" s="3168" t="s">
        <v>3591</v>
      </c>
      <c r="N33" s="3168" t="s">
        <v>3591</v>
      </c>
      <c r="O33" s="3169" t="s">
        <v>3591</v>
      </c>
      <c r="P33" s="3169" t="s">
        <v>3591</v>
      </c>
      <c r="Q33" s="3169">
        <v>889.85</v>
      </c>
      <c r="R33" s="3169">
        <v>0</v>
      </c>
      <c r="S33" s="3169" t="s">
        <v>3591</v>
      </c>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2" t="s">
        <v>1227</v>
      </c>
      <c r="B34" s="106">
        <v>0</v>
      </c>
      <c r="C34" s="2559" t="s">
        <v>2293</v>
      </c>
      <c r="D34" s="2454" t="s">
        <v>2300</v>
      </c>
      <c r="E34" s="2452"/>
      <c r="F34" s="2434"/>
      <c r="G34" s="2434"/>
      <c r="H34" s="2434"/>
      <c r="I34" s="2434"/>
      <c r="J34" s="3170">
        <f t="shared" ref="J34:S34" si="12">J35+J39+J38</f>
        <v>8084</v>
      </c>
      <c r="K34" s="3170">
        <f t="shared" si="12"/>
        <v>5893</v>
      </c>
      <c r="L34" s="3170">
        <f t="shared" si="12"/>
        <v>4402</v>
      </c>
      <c r="M34" s="3170">
        <f t="shared" si="12"/>
        <v>5920</v>
      </c>
      <c r="N34" s="3170">
        <f t="shared" si="12"/>
        <v>3380</v>
      </c>
      <c r="O34" s="3170">
        <f t="shared" si="12"/>
        <v>2202</v>
      </c>
      <c r="P34" s="3170">
        <f t="shared" si="12"/>
        <v>2572</v>
      </c>
      <c r="Q34" s="3170">
        <f t="shared" si="12"/>
        <v>2407.0470946371738</v>
      </c>
      <c r="R34" s="3170"/>
      <c r="S34" s="3170">
        <f t="shared" si="12"/>
        <v>2206</v>
      </c>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2" t="s">
        <v>1228</v>
      </c>
      <c r="B35" s="103">
        <v>200</v>
      </c>
      <c r="C35" s="2559" t="s">
        <v>2294</v>
      </c>
      <c r="D35" s="2449"/>
      <c r="E35" s="2435"/>
      <c r="F35" s="2435"/>
      <c r="G35" s="2434"/>
      <c r="H35" s="2434"/>
      <c r="I35" s="2434"/>
      <c r="J35" s="3171">
        <v>3802</v>
      </c>
      <c r="K35" s="3171">
        <v>3061</v>
      </c>
      <c r="L35" s="3171">
        <v>2273</v>
      </c>
      <c r="M35" s="3171">
        <v>1795</v>
      </c>
      <c r="N35" s="3171">
        <v>1595</v>
      </c>
      <c r="O35" s="3171">
        <v>1520</v>
      </c>
      <c r="P35" s="3171">
        <v>1800</v>
      </c>
      <c r="Q35" s="3171">
        <v>1600</v>
      </c>
      <c r="R35" s="3171"/>
      <c r="S35" s="3171">
        <v>1503</v>
      </c>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3" t="s">
        <v>1229</v>
      </c>
      <c r="B36" s="107">
        <v>0.02</v>
      </c>
      <c r="C36" s="2559" t="s">
        <v>3377</v>
      </c>
      <c r="D36" s="2446"/>
      <c r="E36" s="2434"/>
      <c r="F36" s="2434"/>
      <c r="G36" s="2434"/>
      <c r="H36" s="2434"/>
      <c r="I36" s="2434"/>
      <c r="J36" s="3168">
        <v>3375</v>
      </c>
      <c r="K36" s="3168">
        <v>2440</v>
      </c>
      <c r="L36" s="3168">
        <v>1670</v>
      </c>
      <c r="M36" s="3168">
        <v>1795</v>
      </c>
      <c r="N36" s="3168">
        <v>1595</v>
      </c>
      <c r="O36" s="3169">
        <v>1520</v>
      </c>
      <c r="P36" s="3169">
        <v>1800</v>
      </c>
      <c r="Q36" s="3169">
        <v>1600</v>
      </c>
      <c r="R36" s="3169">
        <v>2000</v>
      </c>
      <c r="S36" s="3169">
        <v>1443</v>
      </c>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4" t="s">
        <v>1230</v>
      </c>
      <c r="B37" s="108">
        <v>0.02</v>
      </c>
      <c r="C37" s="2559" t="s">
        <v>2295</v>
      </c>
      <c r="D37" s="2446"/>
      <c r="E37" s="2434"/>
      <c r="F37" s="2434"/>
      <c r="G37" s="2434"/>
      <c r="H37" s="2434"/>
      <c r="I37" s="2434"/>
      <c r="J37" s="3168">
        <v>5582</v>
      </c>
      <c r="K37" s="3168">
        <v>5390</v>
      </c>
      <c r="L37" s="3168">
        <v>4887</v>
      </c>
      <c r="M37" s="3168" t="s">
        <v>3591</v>
      </c>
      <c r="N37" s="3168" t="s">
        <v>3591</v>
      </c>
      <c r="O37" s="3169"/>
      <c r="P37" s="3169"/>
      <c r="Q37" s="3169">
        <v>1600</v>
      </c>
      <c r="R37" s="3169"/>
      <c r="S37" s="3169"/>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2" t="s">
        <v>1231</v>
      </c>
      <c r="B38" s="106">
        <v>0.02</v>
      </c>
      <c r="C38" s="2559" t="s">
        <v>2295</v>
      </c>
      <c r="D38" s="2446"/>
      <c r="E38" s="2434"/>
      <c r="F38" s="2434"/>
      <c r="G38" s="2434"/>
      <c r="H38" s="2434"/>
      <c r="I38" s="2434"/>
      <c r="J38" s="3172">
        <v>1613</v>
      </c>
      <c r="K38" s="3172">
        <v>474</v>
      </c>
      <c r="L38" s="3172">
        <v>569</v>
      </c>
      <c r="M38" s="3172">
        <v>700</v>
      </c>
      <c r="N38" s="3172">
        <v>700</v>
      </c>
      <c r="O38" s="3172">
        <v>100</v>
      </c>
      <c r="P38" s="3172">
        <v>100</v>
      </c>
      <c r="Q38" s="3172">
        <v>350</v>
      </c>
      <c r="R38" s="3172"/>
      <c r="S38" s="3172">
        <v>60</v>
      </c>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5" t="s">
        <v>1232</v>
      </c>
      <c r="B39" s="309">
        <f ca="1">存贷款利率!I1</f>
        <v>1.4999999999999999E-2</v>
      </c>
      <c r="C39" s="2451"/>
      <c r="D39" s="2446"/>
      <c r="E39" s="2434"/>
      <c r="F39" s="2434"/>
      <c r="G39" s="2434"/>
      <c r="H39" s="2434"/>
      <c r="I39" s="2434"/>
      <c r="J39" s="3173">
        <v>2669</v>
      </c>
      <c r="K39" s="3173">
        <v>2358</v>
      </c>
      <c r="L39" s="3173">
        <v>1560</v>
      </c>
      <c r="M39" s="3173">
        <v>3425</v>
      </c>
      <c r="N39" s="3173">
        <v>1085</v>
      </c>
      <c r="O39" s="3173">
        <v>582</v>
      </c>
      <c r="P39" s="3173">
        <v>672</v>
      </c>
      <c r="Q39" s="3173">
        <f>420+1000000/Q32</f>
        <v>457.0470946371737</v>
      </c>
      <c r="R39" s="3173"/>
      <c r="S39" s="3173">
        <v>643</v>
      </c>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2310</v>
      </c>
      <c r="B40" s="1015">
        <f ca="1">IF(A40="利息：取LPR",存贷款利率!G1,存贷款利率!G1+C40)</f>
        <v>3.1E-2</v>
      </c>
      <c r="C40" s="2567">
        <v>5.0000000000000001E-3</v>
      </c>
      <c r="D40" s="2443"/>
      <c r="E40" s="2446"/>
      <c r="F40" s="2434"/>
      <c r="G40" s="2434"/>
      <c r="H40" s="2434"/>
      <c r="I40" s="2434"/>
      <c r="J40" s="3174"/>
      <c r="K40" s="3174"/>
      <c r="L40" s="3174"/>
      <c r="M40" s="3174"/>
      <c r="N40" s="3174"/>
      <c r="O40" s="3174"/>
      <c r="P40" s="3174"/>
      <c r="Q40" s="3174"/>
      <c r="R40" s="3174"/>
      <c r="S40" s="3174"/>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1" t="s">
        <v>1233</v>
      </c>
      <c r="B41" s="109">
        <f>B42+B43</f>
        <v>5.5000000000000007E-2</v>
      </c>
      <c r="C41" s="2448"/>
      <c r="D41" s="2443"/>
      <c r="E41" s="2446"/>
      <c r="F41" s="2434"/>
      <c r="G41" s="2434"/>
      <c r="H41" s="2434"/>
      <c r="I41" s="2434"/>
      <c r="J41" s="3174"/>
      <c r="K41" s="3174"/>
      <c r="L41" s="3174"/>
      <c r="M41" s="3174"/>
      <c r="N41" s="3174"/>
      <c r="O41" s="3174"/>
      <c r="P41" s="3174"/>
      <c r="Q41" s="3174">
        <v>138</v>
      </c>
      <c r="R41" s="3174"/>
      <c r="S41" s="3174"/>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6" t="s">
        <v>1234</v>
      </c>
      <c r="B42" s="110">
        <v>0.05</v>
      </c>
      <c r="C42" s="2453">
        <f>IF(B2&lt;DATE(2016,5,1),0,B42)</f>
        <v>0.05</v>
      </c>
      <c r="D42" s="2446"/>
      <c r="E42" s="2434"/>
      <c r="F42" s="2434"/>
      <c r="G42" s="2434"/>
      <c r="H42" s="2434"/>
      <c r="I42" s="2434"/>
      <c r="J42" s="3174"/>
      <c r="K42" s="3174"/>
      <c r="L42" s="3174"/>
      <c r="M42" s="3174"/>
      <c r="N42" s="3174"/>
      <c r="O42" s="3174"/>
      <c r="P42" s="3174"/>
      <c r="Q42" s="3174"/>
      <c r="R42" s="3174"/>
      <c r="S42" s="3174"/>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6" t="s">
        <v>1235</v>
      </c>
      <c r="B43" s="111">
        <f>B42*(B44+B45+B46)+B47</f>
        <v>5.000000000000001E-3</v>
      </c>
      <c r="C43" s="2448"/>
      <c r="D43" s="2446"/>
      <c r="E43" s="2434"/>
      <c r="F43" s="2434"/>
      <c r="G43" s="2434"/>
      <c r="H43" s="2434"/>
      <c r="I43" s="2434"/>
      <c r="J43" s="3174"/>
      <c r="K43" s="3174"/>
      <c r="L43" s="3174"/>
      <c r="M43" s="3174"/>
      <c r="N43" s="3174"/>
      <c r="O43" s="3174"/>
      <c r="P43" s="3174"/>
      <c r="Q43" s="3174"/>
      <c r="R43" s="3174"/>
      <c r="S43" s="3174"/>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7" t="s">
        <v>1236</v>
      </c>
      <c r="B44" s="112">
        <v>0.05</v>
      </c>
      <c r="C44" s="2559" t="s">
        <v>2304</v>
      </c>
      <c r="D44" s="2446"/>
      <c r="E44" s="2434"/>
      <c r="F44" s="2434"/>
      <c r="G44" s="2434"/>
      <c r="H44" s="2434"/>
      <c r="I44" s="2434"/>
      <c r="J44" s="3175">
        <f t="shared" ref="J44:P44" si="13">J35/J34</f>
        <v>0.47031172686788719</v>
      </c>
      <c r="K44" s="3175">
        <f t="shared" si="13"/>
        <v>0.51942983200407267</v>
      </c>
      <c r="L44" s="3175">
        <f t="shared" si="13"/>
        <v>0.516356201726488</v>
      </c>
      <c r="M44" s="3175">
        <f t="shared" si="13"/>
        <v>0.30320945945945948</v>
      </c>
      <c r="N44" s="3175">
        <f t="shared" si="13"/>
        <v>0.47189349112426038</v>
      </c>
      <c r="O44" s="3175">
        <f t="shared" si="13"/>
        <v>0.6902815622161671</v>
      </c>
      <c r="P44" s="3175">
        <f t="shared" si="13"/>
        <v>0.69984447900466562</v>
      </c>
      <c r="Q44" s="3175"/>
      <c r="R44" s="3175"/>
      <c r="S44" s="3175">
        <f t="shared" ref="S44" si="14">S35/S34</f>
        <v>0.68132366273798728</v>
      </c>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7" t="s">
        <v>1237</v>
      </c>
      <c r="B45" s="110">
        <v>0.03</v>
      </c>
      <c r="C45" s="2558" t="s">
        <v>2296</v>
      </c>
      <c r="D45" s="2446"/>
      <c r="E45" s="2434"/>
      <c r="F45" s="2434"/>
      <c r="G45" s="2434"/>
      <c r="H45" s="2434"/>
      <c r="I45" s="2434"/>
      <c r="J45" s="3175">
        <f t="shared" ref="J45:P45" si="15">J38/J34</f>
        <v>0.19952993567540822</v>
      </c>
      <c r="K45" s="3175">
        <f t="shared" si="15"/>
        <v>8.0434413711182762E-2</v>
      </c>
      <c r="L45" s="3175">
        <f t="shared" si="15"/>
        <v>0.12925942753293956</v>
      </c>
      <c r="M45" s="3175">
        <f t="shared" si="15"/>
        <v>0.11824324324324324</v>
      </c>
      <c r="N45" s="3175">
        <f t="shared" si="15"/>
        <v>0.20710059171597633</v>
      </c>
      <c r="O45" s="3175">
        <f t="shared" si="15"/>
        <v>4.5413260672116255E-2</v>
      </c>
      <c r="P45" s="3175">
        <f t="shared" si="15"/>
        <v>3.8880248833592534E-2</v>
      </c>
      <c r="Q45" s="3175"/>
      <c r="R45" s="3175"/>
      <c r="S45" s="3175">
        <f t="shared" ref="S45" si="16">S38/S34</f>
        <v>2.7198549410698096E-2</v>
      </c>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7" t="s">
        <v>1238</v>
      </c>
      <c r="B46" s="110">
        <v>0.02</v>
      </c>
      <c r="C46" s="2558" t="s">
        <v>2297</v>
      </c>
      <c r="D46" s="2446"/>
      <c r="E46" s="2434"/>
      <c r="F46" s="2434"/>
      <c r="G46" s="2434"/>
      <c r="H46" s="2434"/>
      <c r="I46" s="2434"/>
      <c r="J46" s="3175">
        <f t="shared" ref="J46:P46" si="17">J39/J34</f>
        <v>0.33015833745670459</v>
      </c>
      <c r="K46" s="3175">
        <f t="shared" si="17"/>
        <v>0.40013575428474463</v>
      </c>
      <c r="L46" s="3175">
        <f t="shared" si="17"/>
        <v>0.35438437074057244</v>
      </c>
      <c r="M46" s="3175">
        <f t="shared" si="17"/>
        <v>0.57854729729729726</v>
      </c>
      <c r="N46" s="3175">
        <f t="shared" si="17"/>
        <v>0.32100591715976329</v>
      </c>
      <c r="O46" s="3175">
        <f t="shared" si="17"/>
        <v>0.26430517711171664</v>
      </c>
      <c r="P46" s="3175">
        <f t="shared" si="17"/>
        <v>0.26127527216174184</v>
      </c>
      <c r="Q46" s="3175"/>
      <c r="R46" s="3175"/>
      <c r="S46" s="3175">
        <f t="shared" ref="S46" si="18">S39/S34</f>
        <v>0.29147778785131462</v>
      </c>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8" t="s">
        <v>1239</v>
      </c>
      <c r="B47" s="113"/>
      <c r="C47" s="2561" t="s">
        <v>2305</v>
      </c>
      <c r="D47" s="2446"/>
      <c r="E47" s="2434"/>
      <c r="F47" s="2434"/>
      <c r="G47" s="2434"/>
      <c r="H47" s="2434"/>
      <c r="I47" s="2434"/>
      <c r="J47" s="3174"/>
      <c r="K47" s="3174"/>
      <c r="L47" s="3174"/>
      <c r="M47" s="3174"/>
      <c r="N47" s="3174"/>
      <c r="O47" s="3174"/>
      <c r="P47" s="3174"/>
      <c r="Q47" s="3174">
        <f>Q41/Q34</f>
        <v>5.733165765948648E-2</v>
      </c>
      <c r="R47" s="3174"/>
      <c r="S47" s="3174"/>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9" t="s">
        <v>1240</v>
      </c>
      <c r="B48" s="114">
        <v>0.03</v>
      </c>
      <c r="C48" s="2558" t="s">
        <v>2296</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5" t="s">
        <v>1241</v>
      </c>
      <c r="B49" s="110">
        <v>5.0000000000000001E-4</v>
      </c>
      <c r="C49" s="2558" t="s">
        <v>2298</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10"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3"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10" t="s">
        <v>1244</v>
      </c>
      <c r="B52" s="117">
        <f>SUMIF(A54:A63,B53,B54:B63)</f>
        <v>0</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2" t="s">
        <v>1245</v>
      </c>
      <c r="B53" s="1611"/>
      <c r="C53" s="2435" t="s">
        <v>1246</v>
      </c>
      <c r="D53" s="2560" t="s">
        <v>2302</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2"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2"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2"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2"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2" t="s">
        <v>1251</v>
      </c>
      <c r="B58" s="72"/>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2" t="s">
        <v>1252</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2"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2"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2"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3"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mergeCells count="3">
    <mergeCell ref="J26:N26"/>
    <mergeCell ref="O26:S26"/>
    <mergeCell ref="Q27:R27"/>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51" customWidth="1"/>
    <col min="19" max="29" width="9" style="751"/>
    <col min="30" max="16384" width="9" style="1522"/>
  </cols>
  <sheetData>
    <row r="1" spans="1:29" s="2256" customFormat="1" ht="18" thickBot="1">
      <c r="A1" s="3278" t="s">
        <v>2284</v>
      </c>
      <c r="B1" s="3279"/>
      <c r="C1" s="3279"/>
      <c r="D1" s="3279"/>
      <c r="E1" s="3279"/>
      <c r="F1" s="3279"/>
      <c r="G1" s="327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2280</v>
      </c>
      <c r="D2" s="1595"/>
      <c r="E2" s="2257"/>
      <c r="F2" s="2260"/>
      <c r="G2" s="2259" t="s">
        <v>2281</v>
      </c>
      <c r="H2" s="751"/>
      <c r="I2" s="751"/>
      <c r="J2" s="751"/>
      <c r="K2" s="751"/>
      <c r="L2" s="751"/>
      <c r="M2" s="751"/>
      <c r="N2" s="751"/>
      <c r="O2" s="751"/>
      <c r="P2" s="751"/>
      <c r="Q2" s="751"/>
    </row>
    <row r="3" spans="1:29" ht="120">
      <c r="A3" s="2244" t="s">
        <v>2282</v>
      </c>
      <c r="B3" s="2261" t="s">
        <v>2252</v>
      </c>
      <c r="C3" s="2262" t="s">
        <v>2283</v>
      </c>
      <c r="D3" s="2263"/>
      <c r="E3" s="2245" t="s">
        <v>2282</v>
      </c>
      <c r="F3" s="2264" t="s">
        <v>2253</v>
      </c>
      <c r="G3" s="3155" t="s">
        <v>3568</v>
      </c>
      <c r="H3" s="751"/>
      <c r="I3" s="751"/>
      <c r="J3" s="751"/>
      <c r="K3" s="751"/>
      <c r="L3" s="751"/>
      <c r="M3" s="751"/>
      <c r="N3" s="751"/>
      <c r="O3" s="751"/>
      <c r="P3" s="751"/>
      <c r="Q3" s="751"/>
    </row>
    <row r="4" spans="1:29" ht="132">
      <c r="A4" s="2245"/>
      <c r="B4" s="315" t="s">
        <v>2254</v>
      </c>
      <c r="C4" s="2265" t="s">
        <v>2255</v>
      </c>
      <c r="D4" s="2263"/>
      <c r="E4" s="2266"/>
      <c r="F4" s="1281" t="s">
        <v>2256</v>
      </c>
      <c r="G4" s="3156" t="s">
        <v>3538</v>
      </c>
      <c r="H4" s="751"/>
      <c r="I4" s="751"/>
      <c r="J4" s="751"/>
      <c r="K4" s="751"/>
      <c r="L4" s="751"/>
      <c r="M4" s="751"/>
      <c r="N4" s="751"/>
      <c r="O4" s="751"/>
      <c r="P4" s="751"/>
      <c r="Q4" s="751"/>
    </row>
    <row r="5" spans="1:29" ht="120">
      <c r="A5" s="2245"/>
      <c r="B5" s="315" t="s">
        <v>2258</v>
      </c>
      <c r="C5" s="2265" t="s">
        <v>2259</v>
      </c>
      <c r="D5" s="2263"/>
      <c r="E5" s="2266"/>
      <c r="F5" s="315" t="s">
        <v>2260</v>
      </c>
      <c r="G5" s="3156" t="s">
        <v>3539</v>
      </c>
      <c r="H5" s="751"/>
      <c r="I5" s="751"/>
      <c r="J5" s="751"/>
      <c r="K5" s="751"/>
      <c r="L5" s="751"/>
      <c r="M5" s="751"/>
      <c r="N5" s="751"/>
      <c r="O5" s="751"/>
      <c r="P5" s="751"/>
      <c r="Q5" s="751"/>
    </row>
    <row r="6" spans="1:29" ht="48">
      <c r="A6" s="2245"/>
      <c r="B6" s="315" t="s">
        <v>2262</v>
      </c>
      <c r="C6" s="2267" t="s">
        <v>2257</v>
      </c>
      <c r="D6" s="2263"/>
      <c r="E6" s="2266"/>
      <c r="F6" s="315" t="s">
        <v>2263</v>
      </c>
      <c r="G6" s="3156" t="s">
        <v>3540</v>
      </c>
      <c r="H6" s="751"/>
      <c r="I6" s="751"/>
      <c r="J6" s="751"/>
      <c r="K6" s="751"/>
      <c r="L6" s="751"/>
      <c r="M6" s="751"/>
      <c r="N6" s="751"/>
      <c r="O6" s="751"/>
      <c r="P6" s="751"/>
      <c r="Q6" s="751"/>
    </row>
    <row r="7" spans="1:29" ht="120.6" thickBot="1">
      <c r="A7" s="2245"/>
      <c r="B7" s="315" t="s">
        <v>2260</v>
      </c>
      <c r="C7" s="2267" t="s">
        <v>2261</v>
      </c>
      <c r="D7" s="2242"/>
      <c r="E7" s="2268"/>
      <c r="F7" s="2269" t="s">
        <v>2265</v>
      </c>
      <c r="G7" s="3157" t="s">
        <v>3541</v>
      </c>
      <c r="H7" s="751"/>
      <c r="I7" s="751"/>
      <c r="J7" s="751"/>
      <c r="K7" s="751"/>
      <c r="L7" s="751"/>
      <c r="M7" s="751"/>
      <c r="N7" s="751"/>
      <c r="O7" s="751"/>
      <c r="P7" s="751"/>
      <c r="Q7" s="751"/>
    </row>
    <row r="8" spans="1:29" ht="24">
      <c r="A8" s="2245"/>
      <c r="B8" s="315" t="s">
        <v>2263</v>
      </c>
      <c r="C8" s="2267" t="s">
        <v>2264</v>
      </c>
      <c r="D8" s="2242"/>
      <c r="E8" s="2242"/>
      <c r="F8" s="121"/>
      <c r="G8" s="121"/>
      <c r="H8" s="751"/>
      <c r="I8" s="751"/>
      <c r="J8" s="751"/>
      <c r="K8" s="751"/>
      <c r="L8" s="751"/>
      <c r="M8" s="751"/>
      <c r="N8" s="751"/>
      <c r="O8" s="751"/>
      <c r="P8" s="751"/>
      <c r="Q8" s="751"/>
    </row>
    <row r="9" spans="1:29" ht="24">
      <c r="A9" s="2245"/>
      <c r="B9" s="315" t="s">
        <v>2266</v>
      </c>
      <c r="C9" s="2265" t="s">
        <v>2267</v>
      </c>
      <c r="D9" s="2263"/>
      <c r="E9" s="2242"/>
      <c r="F9" s="121"/>
      <c r="G9" s="121"/>
      <c r="H9" s="751"/>
      <c r="I9" s="751"/>
      <c r="J9" s="751"/>
      <c r="K9" s="751"/>
      <c r="L9" s="751"/>
      <c r="M9" s="751"/>
      <c r="N9" s="751"/>
      <c r="O9" s="751"/>
      <c r="P9" s="751"/>
      <c r="Q9" s="751"/>
    </row>
    <row r="10" spans="1:29" ht="14.4" thickBot="1">
      <c r="A10" s="2246"/>
      <c r="B10" s="2270" t="s">
        <v>2268</v>
      </c>
      <c r="C10" s="2271"/>
      <c r="D10" s="2263"/>
      <c r="E10" s="2263"/>
      <c r="F10" s="121"/>
      <c r="G10" s="121"/>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2285</v>
      </c>
      <c r="B13" s="2275"/>
      <c r="C13" s="2275"/>
      <c r="D13" s="2274"/>
      <c r="E13" s="2275"/>
      <c r="F13" s="2275"/>
      <c r="G13" s="2275"/>
    </row>
    <row r="14" spans="1:29" ht="14.4" thickBot="1">
      <c r="A14" s="2280"/>
      <c r="B14" s="2280"/>
      <c r="C14" s="2281" t="s">
        <v>2269</v>
      </c>
      <c r="D14" s="2263"/>
      <c r="E14" s="2282"/>
      <c r="F14" s="2282"/>
      <c r="G14" s="2259" t="s">
        <v>2270</v>
      </c>
    </row>
    <row r="15" spans="1:29" ht="132">
      <c r="A15" s="2247" t="s">
        <v>2271</v>
      </c>
      <c r="B15" s="2283" t="s">
        <v>2252</v>
      </c>
      <c r="C15" s="2284" t="str">
        <f>C3</f>
        <v>估价对象周边居住用地比例、居住小区规模和社区发展完善程度，综合评价居住社区成熟度一般</v>
      </c>
      <c r="D15" s="2263"/>
      <c r="E15" s="2248" t="s">
        <v>2272</v>
      </c>
      <c r="F15" s="2283" t="s">
        <v>2273</v>
      </c>
      <c r="G15" s="2285" t="str">
        <f>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row>
    <row r="16" spans="1:29" ht="145.19999999999999">
      <c r="A16" s="2249"/>
      <c r="B16" s="2286" t="s">
        <v>2254</v>
      </c>
      <c r="C16" s="2287" t="str">
        <f>C4</f>
        <v>估价对象位于XX商圈，周边商业氛围成熟，人流量大，商业繁华度好</v>
      </c>
      <c r="D16" s="2263"/>
      <c r="E16" s="2250"/>
      <c r="F16" s="2288" t="s">
        <v>2256</v>
      </c>
      <c r="G16" s="2289" t="str">
        <f>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row>
    <row r="17" spans="1:17" ht="39.6">
      <c r="A17" s="2249"/>
      <c r="B17" s="2286" t="s">
        <v>2258</v>
      </c>
      <c r="C17" s="2287" t="str">
        <f>C5</f>
        <v>估价对象位于XX商圈，周边办公楼项目较多，入驻率高，办公集聚程度较好</v>
      </c>
      <c r="D17" s="2242"/>
      <c r="E17" s="2250"/>
      <c r="F17" s="2288" t="s">
        <v>2274</v>
      </c>
      <c r="G17" s="2290"/>
    </row>
    <row r="18" spans="1:17" ht="132">
      <c r="A18" s="2249"/>
      <c r="B18" s="2288" t="s">
        <v>2262</v>
      </c>
      <c r="C18" s="2289" t="str">
        <f>C6</f>
        <v>估价对象周边道路状况、公共交通通达情况、停车便捷程度，综合评价交通便捷度较好</v>
      </c>
      <c r="D18" s="2242"/>
      <c r="E18" s="2250"/>
      <c r="F18" s="2288" t="s">
        <v>2265</v>
      </c>
      <c r="G18" s="2289" t="str">
        <f>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row>
    <row r="19" spans="1:17" ht="132">
      <c r="A19" s="2249"/>
      <c r="B19" s="2288" t="s">
        <v>2275</v>
      </c>
      <c r="C19" s="2290"/>
      <c r="D19" s="2263"/>
      <c r="E19" s="2250"/>
      <c r="F19" s="315" t="s">
        <v>2260</v>
      </c>
      <c r="G19" s="2289" t="str">
        <f>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row>
    <row r="20" spans="1:17" ht="26.4">
      <c r="A20" s="2249"/>
      <c r="B20" s="2288" t="s">
        <v>2276</v>
      </c>
      <c r="C20" s="2287" t="str">
        <f>C9</f>
        <v>区域自然环境：；人文环境；综合评价环境状况一般</v>
      </c>
      <c r="D20" s="2242"/>
      <c r="E20" s="2250"/>
      <c r="F20" s="315" t="s">
        <v>2263</v>
      </c>
      <c r="G20" s="2289" t="str">
        <f>G6</f>
        <v>估价对象所在区域基础设施水平：五通</v>
      </c>
    </row>
    <row r="21" spans="1:17" ht="26.4">
      <c r="A21" s="2249"/>
      <c r="B21" s="315" t="s">
        <v>2260</v>
      </c>
      <c r="C21" s="2289" t="str">
        <f>C7</f>
        <v>估价对象所在区域公共配套设施齐备情况</v>
      </c>
      <c r="D21" s="2263"/>
      <c r="E21" s="2250"/>
      <c r="F21" s="2288" t="s">
        <v>2277</v>
      </c>
      <c r="G21" s="2291"/>
    </row>
    <row r="22" spans="1:17" ht="13.5" customHeight="1">
      <c r="A22" s="2249"/>
      <c r="B22" s="315" t="s">
        <v>2263</v>
      </c>
      <c r="C22" s="2289" t="str">
        <f>C8</f>
        <v>估价对象所在区域基础设施水平</v>
      </c>
      <c r="D22" s="2263"/>
      <c r="E22" s="2250"/>
      <c r="F22" s="2288" t="s">
        <v>2268</v>
      </c>
      <c r="G22" s="2290"/>
    </row>
    <row r="23" spans="1:17" s="751" customFormat="1" ht="14.4" thickBot="1">
      <c r="A23" s="2249"/>
      <c r="B23" s="2288" t="s">
        <v>2277</v>
      </c>
      <c r="C23" s="2291"/>
      <c r="D23" s="1614"/>
      <c r="E23" s="2251"/>
      <c r="F23" s="2292" t="s">
        <v>2278</v>
      </c>
      <c r="G23" s="2293"/>
      <c r="H23" s="2272"/>
      <c r="I23" s="2272"/>
      <c r="J23" s="2272"/>
      <c r="K23" s="2272"/>
      <c r="L23" s="2272"/>
      <c r="M23" s="2272"/>
      <c r="N23" s="2272"/>
      <c r="O23" s="2272"/>
      <c r="P23" s="2272"/>
      <c r="Q23" s="2272"/>
    </row>
    <row r="24" spans="1:17" s="751" customFormat="1" ht="14.4" thickBot="1">
      <c r="A24" s="2252"/>
      <c r="B24" s="2292" t="s">
        <v>2279</v>
      </c>
      <c r="C24" s="2294">
        <f>C10</f>
        <v>0</v>
      </c>
      <c r="D24" s="1614"/>
      <c r="E24" s="2242"/>
      <c r="F24" s="2242"/>
      <c r="G24" s="2242"/>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9" sqref="G9"/>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29587.64</v>
      </c>
      <c r="C1" s="2456"/>
      <c r="D1" s="2456"/>
      <c r="E1" s="2456"/>
      <c r="F1" s="2456"/>
      <c r="G1" s="2457"/>
      <c r="H1" s="2457"/>
      <c r="I1" s="2457"/>
      <c r="J1" s="2457"/>
      <c r="K1" s="2457"/>
    </row>
    <row r="2" spans="1:11" ht="16.2">
      <c r="A2" s="2295" t="s">
        <v>653</v>
      </c>
      <c r="B2" s="2295">
        <f>SUM(C14:C23)</f>
        <v>24593</v>
      </c>
      <c r="C2" s="2456"/>
      <c r="D2" s="2456"/>
      <c r="E2" s="2456"/>
      <c r="F2" s="2456"/>
      <c r="G2" s="2457"/>
      <c r="H2" s="2457"/>
      <c r="I2" s="2457"/>
      <c r="J2" s="2457"/>
      <c r="K2" s="2457"/>
    </row>
    <row r="3" spans="1:11" ht="15.6">
      <c r="A3" s="2295" t="s">
        <v>662</v>
      </c>
      <c r="B3" s="2297">
        <f>项目基本情况!D3</f>
        <v>45594</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11048</v>
      </c>
      <c r="C5" s="2295">
        <f ca="1">IF(B5=D14,结果表!H102,ROUND(B5*10000/$B$1,0))</f>
        <v>3734</v>
      </c>
      <c r="D5" s="2295">
        <f ca="1">ROUND(B5*10000/$B$2,0)</f>
        <v>4492</v>
      </c>
      <c r="E5" s="2456"/>
      <c r="F5" s="2457"/>
      <c r="G5" s="2457"/>
      <c r="H5" s="2457"/>
      <c r="I5" s="2457"/>
      <c r="J5" s="2457"/>
      <c r="K5" s="2457"/>
    </row>
    <row r="6" spans="1:11" ht="15.6">
      <c r="A6" s="2295" t="s">
        <v>656</v>
      </c>
      <c r="B6" s="2295">
        <f>SUM(G14:G23)</f>
        <v>0</v>
      </c>
      <c r="C6" s="2295">
        <f ca="1">IF(B6=G14,结果表!H108,ROUND(B6*10000/$B$1,0))</f>
        <v>3734</v>
      </c>
      <c r="D6" s="2295">
        <f>ROUND(B6*10000/$B$2,0)</f>
        <v>0</v>
      </c>
      <c r="E6" s="2456"/>
      <c r="F6" s="2457"/>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SUM(I14:I23)</f>
        <v>0</v>
      </c>
      <c r="C8" s="2295" t="str">
        <f>IF(B8=I14,结果表!H112,ROUND(B8*10000/$B$1,0))</f>
        <v>——</v>
      </c>
      <c r="D8" s="2295">
        <f>ROUND(B8*10000/$B$2,0)</f>
        <v>0</v>
      </c>
      <c r="E8" s="2456"/>
      <c r="F8" s="2457"/>
      <c r="G8" s="2457"/>
      <c r="H8" s="2457"/>
      <c r="I8" s="2457"/>
      <c r="J8" s="2457"/>
      <c r="K8" s="2457"/>
    </row>
    <row r="9" spans="1:11" ht="15.6">
      <c r="A9" s="2295" t="s">
        <v>655</v>
      </c>
      <c r="B9" s="1244"/>
      <c r="C9" s="2456"/>
      <c r="D9" s="2456"/>
      <c r="E9" s="2456"/>
      <c r="F9" s="2457"/>
      <c r="G9" s="2457"/>
      <c r="H9" s="2457"/>
      <c r="I9" s="2457"/>
      <c r="J9" s="2457"/>
      <c r="K9" s="2457"/>
    </row>
    <row r="10" spans="1:11" ht="15.6">
      <c r="A10" s="2295" t="s">
        <v>654</v>
      </c>
      <c r="B10" s="2295">
        <f>IF(E10="",0,ROUND(B1*(E10*365/G10)/10000,0))</f>
        <v>0</v>
      </c>
      <c r="C10" s="2295" t="s">
        <v>3356</v>
      </c>
      <c r="D10" s="2295" t="s">
        <v>3357</v>
      </c>
      <c r="E10" s="3131"/>
      <c r="F10" s="3135" t="s">
        <v>3358</v>
      </c>
      <c r="G10" s="3132"/>
      <c r="H10" s="2457"/>
      <c r="I10" s="2457"/>
      <c r="J10" s="2457"/>
      <c r="K10" s="2457"/>
    </row>
    <row r="11" spans="1:11" ht="15.6">
      <c r="A11" s="2295" t="s">
        <v>670</v>
      </c>
      <c r="B11" s="1244"/>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'数据-汇总表'!E19</f>
        <v>29587.64</v>
      </c>
      <c r="C14" s="2301">
        <f>'数据-汇总表'!D19</f>
        <v>24593</v>
      </c>
      <c r="D14" s="2301">
        <f ca="1">结果表!H101</f>
        <v>11048</v>
      </c>
      <c r="E14" s="2301">
        <f ca="1">结果表!H102</f>
        <v>3734</v>
      </c>
      <c r="F14" s="2301">
        <f ca="1">ROUND(D14*10000/C14,0)</f>
        <v>4492</v>
      </c>
      <c r="G14" s="2301"/>
      <c r="H14" s="2301"/>
      <c r="I14" s="2301"/>
      <c r="J14" s="2457"/>
      <c r="K14" s="2457"/>
    </row>
    <row r="15" spans="1:11" ht="15.6">
      <c r="A15" s="2300" t="s">
        <v>649</v>
      </c>
      <c r="B15" s="2302"/>
      <c r="C15" s="2302"/>
      <c r="D15" s="2302"/>
      <c r="E15" s="2301" t="e">
        <f t="shared" ref="E15:E23" si="0">ROUND(D15*10000/B15,0)</f>
        <v>#DIV/0!</v>
      </c>
      <c r="F15" s="2301" t="e">
        <f t="shared" ref="F15:F23" si="1">ROUND(D15*10000/C15,0)</f>
        <v>#DIV/0!</v>
      </c>
      <c r="G15" s="1244"/>
      <c r="H15" s="1244"/>
      <c r="I15" s="2302"/>
      <c r="J15" s="2457"/>
      <c r="K15" s="2457"/>
    </row>
    <row r="16" spans="1:11" ht="15.6">
      <c r="A16" s="2300" t="s">
        <v>648</v>
      </c>
      <c r="B16" s="2302"/>
      <c r="C16" s="2302"/>
      <c r="D16" s="2302"/>
      <c r="E16" s="2301" t="e">
        <f t="shared" si="0"/>
        <v>#DIV/0!</v>
      </c>
      <c r="F16" s="2301" t="e">
        <f t="shared" si="1"/>
        <v>#DIV/0!</v>
      </c>
      <c r="G16" s="1244"/>
      <c r="H16" s="1244"/>
      <c r="I16" s="2302"/>
      <c r="J16" s="2457"/>
      <c r="K16" s="2457"/>
    </row>
    <row r="17" spans="1:11" ht="15.6">
      <c r="A17" s="2300" t="s">
        <v>647</v>
      </c>
      <c r="B17" s="2302"/>
      <c r="C17" s="2302"/>
      <c r="D17" s="2302"/>
      <c r="E17" s="2301" t="e">
        <f t="shared" si="0"/>
        <v>#DIV/0!</v>
      </c>
      <c r="F17" s="2301" t="e">
        <f t="shared" si="1"/>
        <v>#DIV/0!</v>
      </c>
      <c r="G17" s="1244"/>
      <c r="H17" s="1244"/>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4" t="e">
        <f t="shared" si="0"/>
        <v>#DIV/0!</v>
      </c>
      <c r="F23" s="1244"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Normal="100" zoomScaleSheetLayoutView="100" zoomScalePageLayoutView="80" workbookViewId="0">
      <selection activeCell="C88" sqref="C88"/>
    </sheetView>
  </sheetViews>
  <sheetFormatPr defaultColWidth="12.6640625" defaultRowHeight="21.75" customHeight="1"/>
  <cols>
    <col min="1" max="2" width="12.6640625" style="1561"/>
    <col min="3" max="4" width="12.6640625" style="1561" customWidth="1"/>
    <col min="5" max="8" width="12.6640625" style="1561"/>
    <col min="9" max="9" width="13.88671875" style="1561" bestFit="1" customWidth="1"/>
    <col min="10" max="11" width="12.6640625" style="684" customWidth="1"/>
    <col min="12" max="12" width="18.5546875" style="684" customWidth="1"/>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v>
      </c>
      <c r="D1" s="646"/>
      <c r="E1" s="646"/>
      <c r="F1" s="1621" t="s">
        <v>1263</v>
      </c>
      <c r="G1" s="1453" t="s">
        <v>3430</v>
      </c>
      <c r="H1" s="1621" t="str">
        <f>IF(G1="现房","——","估价对象范围")</f>
        <v>——</v>
      </c>
      <c r="I1" s="1622"/>
    </row>
    <row r="2" spans="1:12" ht="21.75" customHeight="1" thickBot="1">
      <c r="A2" s="3314" t="str">
        <f>项目基本情况!S2</f>
        <v>河北省廊坊市三河市燕郊开发区燕新大街1号房地产</v>
      </c>
      <c r="B2" s="3315"/>
      <c r="C2" s="3315"/>
      <c r="D2" s="3315"/>
      <c r="E2" s="3315"/>
      <c r="F2" s="3315"/>
      <c r="G2" s="3315"/>
      <c r="H2" s="3315"/>
      <c r="I2" s="3316"/>
    </row>
    <row r="3" spans="1:12" ht="13.2">
      <c r="A3" s="3318" t="s">
        <v>1264</v>
      </c>
      <c r="B3" s="3319"/>
      <c r="C3" s="3319"/>
      <c r="D3" s="3319"/>
      <c r="E3" s="3319"/>
      <c r="F3" s="3319"/>
      <c r="G3" s="3319"/>
      <c r="H3" s="3319"/>
      <c r="I3" s="3319"/>
    </row>
    <row r="4" spans="1:12" ht="14.4">
      <c r="A4" s="1624" t="s">
        <v>1265</v>
      </c>
      <c r="B4" s="1625" t="s">
        <v>1266</v>
      </c>
      <c r="C4" s="1626" t="s">
        <v>3552</v>
      </c>
      <c r="D4" s="1626" t="s">
        <v>3436</v>
      </c>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4" t="s">
        <v>1268</v>
      </c>
      <c r="B5" s="3281">
        <v>25</v>
      </c>
      <c r="C5" s="3297"/>
      <c r="D5" s="3317"/>
      <c r="E5" s="123" t="s">
        <v>1269</v>
      </c>
      <c r="F5" s="1627"/>
      <c r="G5" s="1627"/>
      <c r="H5" s="1627"/>
      <c r="I5" s="1281"/>
    </row>
    <row r="6" spans="1:12" ht="13.2">
      <c r="A6" s="3294"/>
      <c r="B6" s="3281"/>
      <c r="C6" s="3298"/>
      <c r="D6" s="3317"/>
      <c r="E6" s="123" t="s">
        <v>1270</v>
      </c>
      <c r="F6" s="1627"/>
      <c r="G6" s="1627"/>
      <c r="H6" s="1627"/>
      <c r="I6" s="1281"/>
    </row>
    <row r="7" spans="1:12" ht="13.2">
      <c r="A7" s="3294"/>
      <c r="B7" s="3281"/>
      <c r="C7" s="3299"/>
      <c r="D7" s="3317"/>
      <c r="E7" s="123" t="s">
        <v>1271</v>
      </c>
      <c r="F7" s="1627"/>
      <c r="G7" s="1627"/>
      <c r="H7" s="1627"/>
      <c r="I7" s="1281"/>
    </row>
    <row r="8" spans="1:12" ht="13.2">
      <c r="A8" s="3294" t="s">
        <v>1272</v>
      </c>
      <c r="B8" s="3281">
        <v>15</v>
      </c>
      <c r="C8" s="3297"/>
      <c r="D8" s="3317"/>
      <c r="E8" s="123" t="s">
        <v>1273</v>
      </c>
      <c r="F8" s="1627"/>
      <c r="G8" s="1627"/>
      <c r="H8" s="1627"/>
      <c r="I8" s="1281"/>
    </row>
    <row r="9" spans="1:12" ht="13.2">
      <c r="A9" s="3294"/>
      <c r="B9" s="3281"/>
      <c r="C9" s="3299"/>
      <c r="D9" s="3317"/>
      <c r="E9" s="123" t="s">
        <v>1274</v>
      </c>
      <c r="F9" s="1627"/>
      <c r="G9" s="1627"/>
      <c r="H9" s="1627"/>
      <c r="I9" s="1281"/>
    </row>
    <row r="10" spans="1:12" ht="13.2">
      <c r="A10" s="3294" t="s">
        <v>1275</v>
      </c>
      <c r="B10" s="3281">
        <v>15</v>
      </c>
      <c r="C10" s="3297"/>
      <c r="D10" s="3317"/>
      <c r="E10" s="123" t="s">
        <v>1276</v>
      </c>
      <c r="F10" s="1627"/>
      <c r="G10" s="1627"/>
      <c r="H10" s="1627"/>
      <c r="I10" s="1281"/>
    </row>
    <row r="11" spans="1:12" ht="13.2">
      <c r="A11" s="3294"/>
      <c r="B11" s="3281"/>
      <c r="C11" s="3299"/>
      <c r="D11" s="3317"/>
      <c r="E11" s="123" t="s">
        <v>1277</v>
      </c>
      <c r="F11" s="1627"/>
      <c r="G11" s="1627"/>
      <c r="H11" s="1627"/>
      <c r="I11" s="1281"/>
    </row>
    <row r="12" spans="1:12" ht="13.2">
      <c r="A12" s="3294" t="s">
        <v>1278</v>
      </c>
      <c r="B12" s="3281">
        <v>15</v>
      </c>
      <c r="C12" s="3297"/>
      <c r="D12" s="3317"/>
      <c r="E12" s="123" t="s">
        <v>1279</v>
      </c>
      <c r="F12" s="1627"/>
      <c r="G12" s="1627"/>
      <c r="H12" s="1627"/>
      <c r="I12" s="1281"/>
    </row>
    <row r="13" spans="1:12" ht="13.2">
      <c r="A13" s="3294"/>
      <c r="B13" s="3281"/>
      <c r="C13" s="3299"/>
      <c r="D13" s="3317"/>
      <c r="E13" s="123" t="s">
        <v>1280</v>
      </c>
      <c r="F13" s="1627"/>
      <c r="G13" s="1627"/>
      <c r="H13" s="1627"/>
      <c r="I13" s="1281"/>
    </row>
    <row r="14" spans="1:12" ht="13.2">
      <c r="A14" s="3294" t="s">
        <v>1281</v>
      </c>
      <c r="B14" s="3281">
        <v>30</v>
      </c>
      <c r="C14" s="3297">
        <v>5</v>
      </c>
      <c r="D14" s="3317">
        <v>5</v>
      </c>
      <c r="E14" s="123" t="s">
        <v>1282</v>
      </c>
      <c r="F14" s="1627"/>
      <c r="G14" s="1627"/>
      <c r="H14" s="1627"/>
      <c r="I14" s="1281"/>
    </row>
    <row r="15" spans="1:12" ht="13.2">
      <c r="A15" s="3294"/>
      <c r="B15" s="3281"/>
      <c r="C15" s="3298"/>
      <c r="D15" s="3317"/>
      <c r="E15" s="123" t="s">
        <v>1283</v>
      </c>
      <c r="F15" s="1627"/>
      <c r="G15" s="1627"/>
      <c r="H15" s="1627"/>
      <c r="I15" s="1281"/>
    </row>
    <row r="16" spans="1:12" ht="13.2">
      <c r="A16" s="3294"/>
      <c r="B16" s="3281"/>
      <c r="C16" s="3299"/>
      <c r="D16" s="3317"/>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04" t="s">
        <v>2131</v>
      </c>
      <c r="F18" s="3305"/>
      <c r="G18" s="3305"/>
      <c r="H18" s="3305"/>
      <c r="I18" s="3305"/>
      <c r="K18" s="294" t="s">
        <v>1289</v>
      </c>
      <c r="L18" s="294">
        <f>IF(C1="",'数据-汇总表'!E3,SUMIF(项目类型,C1,'数据-汇总表'!E17:E26)+SUMIF(项目类型,C1,'数据-汇总表'!I17:I26))</f>
        <v>29587.64</v>
      </c>
      <c r="M18" s="294">
        <f>IF(C1="",'数据-汇总表'!E3,SUMIF(项目类型,C1,'数据-汇总表'!E17:E26))</f>
        <v>29587.64</v>
      </c>
    </row>
    <row r="19" spans="1:36" ht="14.4">
      <c r="A19" s="1630" t="s">
        <v>1290</v>
      </c>
      <c r="B19" s="1631" t="s">
        <v>1291</v>
      </c>
      <c r="C19" s="126">
        <f ca="1">SUMIF(INDIRECT("'"&amp;C4&amp;"'"&amp;"!A:A"),结果表!B19,INDIRECT("'"&amp;C4&amp;"'"&amp;"!B:B"))</f>
        <v>11003</v>
      </c>
      <c r="D19" s="127">
        <f ca="1">SUMIF(INDIRECT("'"&amp;D4&amp;"'"&amp;"!A:A"),结果表!B19,INDIRECT("'"&amp;D4&amp;"'"&amp;"!B:B"))</f>
        <v>11092</v>
      </c>
      <c r="E19" s="1630" t="s">
        <v>1292</v>
      </c>
      <c r="F19" s="1631" t="s">
        <v>1291</v>
      </c>
      <c r="G19" s="128">
        <f ca="1">ROUND(C19*$C$18+D19*$D$18,0)</f>
        <v>11048</v>
      </c>
      <c r="H19" s="1632" t="s">
        <v>1293</v>
      </c>
      <c r="I19" s="121"/>
      <c r="K19" s="294" t="s">
        <v>1294</v>
      </c>
      <c r="L19" s="294">
        <f>IF(C1="",'数据-汇总表'!D3,SUMIF(项目类型,C1,'数据-汇总表'!D17:D26)+SUMIF(项目类型,C1,'数据-汇总表'!H17:H27))</f>
        <v>24593</v>
      </c>
      <c r="M19" s="294">
        <f>IF(C1="",'数据-汇总表'!D3,SUMIF(项目类型,C1,'数据-汇总表'!D17:D26))</f>
        <v>24593</v>
      </c>
    </row>
    <row r="20" spans="1:36" ht="14.4">
      <c r="A20" s="1633"/>
      <c r="B20" s="43" t="s">
        <v>1295</v>
      </c>
      <c r="C20" s="129">
        <f ca="1">SUMIF(INDIRECT("'"&amp;C4&amp;"'"&amp;"!A:A"),结果表!B20,INDIRECT("'"&amp;C4&amp;"'"&amp;"!B:B"))</f>
        <v>3719</v>
      </c>
      <c r="D20" s="130">
        <f ca="1">SUMIF(INDIRECT("'"&amp;D4&amp;"'"&amp;"!A:A"),结果表!B20,INDIRECT("'"&amp;D4&amp;"'"&amp;"!B:B"))</f>
        <v>3749</v>
      </c>
      <c r="E20" s="1633"/>
      <c r="F20" s="43" t="s">
        <v>1295</v>
      </c>
      <c r="G20" s="131">
        <f ca="1">ROUND(C20*$C$18+D20*$D$18,0)</f>
        <v>3734</v>
      </c>
      <c r="H20" s="760" t="s">
        <v>1296</v>
      </c>
      <c r="I20" s="121"/>
    </row>
    <row r="21" spans="1:36" ht="15" customHeight="1" thickBot="1">
      <c r="A21" s="449"/>
      <c r="B21" s="93" t="s">
        <v>1297</v>
      </c>
      <c r="C21" s="678">
        <f ca="1">ROUND(C19*10000/L19,0)</f>
        <v>4474</v>
      </c>
      <c r="D21" s="679">
        <f ca="1">ROUND(D19*10000/L19,0)</f>
        <v>4510</v>
      </c>
      <c r="E21" s="449"/>
      <c r="F21" s="93" t="s">
        <v>1297</v>
      </c>
      <c r="G21" s="132">
        <f ca="1">ROUND(G19*10000/L19,0)</f>
        <v>4492</v>
      </c>
      <c r="H21" s="1634" t="s">
        <v>1296</v>
      </c>
      <c r="I21" s="121"/>
    </row>
    <row r="22" spans="1:36" ht="15" thickBot="1">
      <c r="A22" s="1564" t="s">
        <v>1298</v>
      </c>
      <c r="B22" s="1635"/>
      <c r="C22" s="1636"/>
      <c r="D22" s="680">
        <f ca="1">IF(C19&lt;D19,D19/C19-1,C19/D19-1)</f>
        <v>8.088703080977977E-3</v>
      </c>
      <c r="E22" s="121"/>
      <c r="F22" s="121"/>
      <c r="G22" s="121"/>
      <c r="H22" s="121"/>
      <c r="I22" s="121"/>
      <c r="M22" s="3178" t="s">
        <v>3597</v>
      </c>
      <c r="N22" s="684" t="s">
        <v>3598</v>
      </c>
    </row>
    <row r="23" spans="1:36" ht="13.8" thickBot="1">
      <c r="A23" s="646"/>
      <c r="B23" s="646"/>
      <c r="C23" s="646"/>
      <c r="D23" s="646"/>
      <c r="E23" s="121"/>
      <c r="F23" s="121"/>
      <c r="G23" s="121"/>
      <c r="H23" s="121"/>
      <c r="I23" s="121"/>
      <c r="L23" s="3179" t="s">
        <v>3599</v>
      </c>
      <c r="M23" s="3178">
        <v>11495</v>
      </c>
      <c r="N23" s="684">
        <v>11514</v>
      </c>
    </row>
    <row r="24" spans="1:36" ht="14.4">
      <c r="A24" s="3288" t="s">
        <v>1299</v>
      </c>
      <c r="B24" s="1631" t="s">
        <v>1291</v>
      </c>
      <c r="C24" s="128">
        <f>IF(B30=0,0,D30)</f>
        <v>0</v>
      </c>
      <c r="D24" s="1637"/>
      <c r="E24" s="121"/>
      <c r="F24" s="121"/>
      <c r="G24" s="121"/>
      <c r="H24" s="121"/>
      <c r="I24" s="121"/>
      <c r="L24" s="3180" t="s">
        <v>3600</v>
      </c>
      <c r="M24" s="3178">
        <v>3885</v>
      </c>
      <c r="N24" s="684">
        <v>3892</v>
      </c>
    </row>
    <row r="25" spans="1:36" ht="14.4">
      <c r="A25" s="3289"/>
      <c r="B25" s="43" t="s">
        <v>1295</v>
      </c>
      <c r="C25" s="133">
        <f>IF(B30=0,0,C30)</f>
        <v>0</v>
      </c>
      <c r="D25" s="1638"/>
      <c r="E25" s="121"/>
      <c r="F25" s="121"/>
      <c r="G25" s="121"/>
      <c r="H25" s="121"/>
      <c r="I25" s="121"/>
      <c r="L25" s="3180" t="s">
        <v>3601</v>
      </c>
      <c r="M25" s="3178">
        <v>4674</v>
      </c>
      <c r="N25" s="684">
        <v>4682</v>
      </c>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11048</v>
      </c>
      <c r="D32" s="1641" t="s">
        <v>3553</v>
      </c>
      <c r="E32" s="121"/>
      <c r="F32" s="121"/>
      <c r="G32" s="121"/>
      <c r="H32" s="121"/>
      <c r="I32" s="121"/>
    </row>
    <row r="33" spans="1:15" ht="14.4">
      <c r="A33" s="740" t="s">
        <v>1306</v>
      </c>
      <c r="B33" s="123"/>
      <c r="C33" s="1642" t="s">
        <v>3554</v>
      </c>
      <c r="D33" s="1643" t="s">
        <v>3552</v>
      </c>
      <c r="E33" s="1644" t="s">
        <v>1307</v>
      </c>
      <c r="F33" s="1645" t="str">
        <f>IF(D32="楼面单价","取值（单价）","取值（总价）")</f>
        <v>取值（总价）</v>
      </c>
      <c r="G33" s="121"/>
      <c r="H33" s="121"/>
      <c r="I33" s="121"/>
    </row>
    <row r="34" spans="1:15" ht="14.4">
      <c r="A34" s="1646"/>
      <c r="B34" s="1647" t="s">
        <v>1308</v>
      </c>
      <c r="C34" s="140">
        <f ca="1">IF(C33="自定义",F34,C32-C35)</f>
        <v>2685</v>
      </c>
      <c r="D34" s="808">
        <f ca="1">IF(C33="自定义",ROUND(C34/C32,3),IF(C33="收益比率",SUMIF(INDIRECT("'"&amp;D33&amp;"'"&amp;"!b:b"),"土地收益比率",INDIRECT("'"&amp;D33&amp;"'"&amp;"!c:c")),SUMIF(INDIRECT("'"&amp;D33&amp;"'"&amp;"!b:b"),"土地成本比率",INDIRECT("'"&amp;D33&amp;"'"&amp;"!c:c"))))</f>
        <v>0.24299999999999999</v>
      </c>
      <c r="E34" s="1648" t="s">
        <v>1309</v>
      </c>
      <c r="F34" s="1243"/>
      <c r="G34" s="121"/>
      <c r="H34" s="121"/>
      <c r="I34" s="121"/>
    </row>
    <row r="35" spans="1:15" ht="15" thickBot="1">
      <c r="A35" s="1649"/>
      <c r="B35" s="1650" t="s">
        <v>1310</v>
      </c>
      <c r="C35" s="1090">
        <f ca="1">IF(C33="自定义",F35,ROUND(C32*D35,0))</f>
        <v>8363</v>
      </c>
      <c r="D35" s="1091">
        <f ca="1">IF(C33="自定义",ROUND(C35/C32,3),IF(C33="收益比率",SUMIF(INDIRECT("'"&amp;D33&amp;"'"&amp;"!b:b"),"建筑物收益比率",INDIRECT("'"&amp;D33&amp;"'"&amp;"!c:c")),SUMIF(INDIRECT("'"&amp;D33&amp;"'"&amp;"!b:b"),"建筑物成本比率",INDIRECT("'"&amp;D33&amp;"'"&amp;"!c:c"))))</f>
        <v>0.75700000000000001</v>
      </c>
      <c r="E35" s="1651" t="s">
        <v>1311</v>
      </c>
      <c r="F35" s="146"/>
      <c r="G35" s="121"/>
      <c r="H35" s="121"/>
      <c r="I35" s="121"/>
    </row>
    <row r="36" spans="1:15" ht="15" thickBot="1">
      <c r="A36" s="3308" t="s">
        <v>1312</v>
      </c>
      <c r="B36" s="1652" t="s">
        <v>1313</v>
      </c>
      <c r="C36" s="137"/>
      <c r="D36" s="1653"/>
      <c r="E36" s="1567"/>
      <c r="F36" s="1654"/>
      <c r="G36" s="121"/>
      <c r="H36" s="121"/>
      <c r="I36" s="121"/>
    </row>
    <row r="37" spans="1:15" ht="15" thickBot="1">
      <c r="A37" s="3309"/>
      <c r="B37" s="1555" t="s">
        <v>1314</v>
      </c>
      <c r="C37" s="139"/>
      <c r="D37" s="1071"/>
      <c r="E37" s="1071"/>
      <c r="F37" s="1654"/>
      <c r="G37" s="121"/>
      <c r="H37" s="121"/>
      <c r="I37" s="121"/>
    </row>
    <row r="38" spans="1:15" ht="15" thickBot="1">
      <c r="A38" s="331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85" t="s">
        <v>1326</v>
      </c>
      <c r="B45" s="3286"/>
      <c r="C45" s="3287"/>
      <c r="D45" s="147">
        <f ca="1">ROUND(H101*F45,0)</f>
        <v>11048</v>
      </c>
      <c r="E45" s="148" t="s">
        <v>1327</v>
      </c>
      <c r="F45" s="149">
        <v>1</v>
      </c>
      <c r="G45" s="150" t="s">
        <v>1328</v>
      </c>
      <c r="H45" s="121"/>
      <c r="I45" s="121"/>
      <c r="J45" s="3363" t="s">
        <v>1329</v>
      </c>
      <c r="K45" s="3363"/>
      <c r="L45" s="3363"/>
      <c r="M45" s="3363"/>
      <c r="N45" s="3363"/>
      <c r="O45" s="3363"/>
    </row>
    <row r="46" spans="1:15" ht="14.25" customHeight="1">
      <c r="A46" s="3282" t="s">
        <v>1330</v>
      </c>
      <c r="B46" s="3283"/>
      <c r="C46" s="3283"/>
      <c r="D46" s="3283"/>
      <c r="E46" s="3283"/>
      <c r="F46" s="3283"/>
      <c r="G46" s="3284"/>
      <c r="H46" s="1668"/>
      <c r="I46" s="151"/>
      <c r="J46" s="2305">
        <v>1</v>
      </c>
      <c r="K46" s="3344" t="s">
        <v>1331</v>
      </c>
      <c r="L46" s="3344"/>
      <c r="M46" s="3364"/>
      <c r="N46" s="3364"/>
      <c r="O46" s="3364"/>
    </row>
    <row r="47" spans="1:15" ht="12" customHeight="1">
      <c r="A47" s="152" t="s">
        <v>1332</v>
      </c>
      <c r="B47" s="153"/>
      <c r="C47" s="154"/>
      <c r="D47" s="1024" t="s">
        <v>1333</v>
      </c>
      <c r="E47" s="294" t="s">
        <v>1334</v>
      </c>
      <c r="F47" s="155" t="s">
        <v>1335</v>
      </c>
      <c r="G47" s="2328" t="s">
        <v>1336</v>
      </c>
      <c r="H47" s="2329"/>
      <c r="I47" s="151"/>
      <c r="J47" s="2305">
        <v>2</v>
      </c>
      <c r="K47" s="3344" t="s">
        <v>1337</v>
      </c>
      <c r="L47" s="3344"/>
      <c r="M47" s="3365">
        <f>'数据-取费表'!B2</f>
        <v>45594</v>
      </c>
      <c r="N47" s="3365"/>
      <c r="O47" s="3365"/>
    </row>
    <row r="48" spans="1:15" ht="26.4">
      <c r="A48" s="3313" t="s">
        <v>1338</v>
      </c>
      <c r="B48" s="3296"/>
      <c r="C48" s="3296"/>
      <c r="D48" s="12">
        <f ca="1">IF(H48="情况1",0,IF(H48="情况2",D52,IF(H48="情况3",D53,IF(H48="情况4",D54))))</f>
        <v>579</v>
      </c>
      <c r="E48" s="1256" t="str">
        <f>IF(H48="情况4","(销售额-原购置价)×税（费）率","销售额×税（费）率")</f>
        <v>销售额×税（费）率</v>
      </c>
      <c r="F48" s="2330">
        <f>IF(H48="情况1","免征",'数据-取费表'!B41)</f>
        <v>5.5000000000000007E-2</v>
      </c>
      <c r="G48" s="2331" t="s">
        <v>1339</v>
      </c>
      <c r="H48" s="2332" t="s">
        <v>3555</v>
      </c>
      <c r="I48" s="1668"/>
      <c r="J48" s="2305">
        <v>3</v>
      </c>
      <c r="K48" s="3344" t="s">
        <v>1340</v>
      </c>
      <c r="L48" s="3344"/>
      <c r="M48" s="3366">
        <f ca="1">H101</f>
        <v>11048</v>
      </c>
      <c r="N48" s="3366"/>
      <c r="O48" s="3366"/>
    </row>
    <row r="49" spans="1:35" ht="25.5" customHeight="1">
      <c r="A49" s="2151" t="s">
        <v>1341</v>
      </c>
      <c r="B49" s="3280" t="s">
        <v>1342</v>
      </c>
      <c r="C49" s="3280"/>
      <c r="D49" s="1478">
        <v>0</v>
      </c>
      <c r="E49" s="316" t="s">
        <v>1343</v>
      </c>
      <c r="F49" s="2230" t="s">
        <v>28</v>
      </c>
      <c r="G49" s="3350"/>
      <c r="H49" s="2133" t="s">
        <v>2134</v>
      </c>
      <c r="I49" s="2134"/>
      <c r="J49" s="2305">
        <v>4</v>
      </c>
      <c r="K49" s="3344" t="str">
        <f>IF(项目基本情况!E8="房地产抵押价值","房地产抵押价值","抵押担保权已注销时的房地产抵押价值")</f>
        <v>房地产抵押价值</v>
      </c>
      <c r="L49" s="3344"/>
      <c r="M49" s="3366">
        <f ca="1">IF(项目基本情况!E8="房地产抵押价值",H107,H109)</f>
        <v>11048</v>
      </c>
      <c r="N49" s="3366"/>
      <c r="O49" s="3366"/>
    </row>
    <row r="50" spans="1:35" ht="25.5" customHeight="1">
      <c r="A50" s="2333"/>
      <c r="B50" s="3280" t="s">
        <v>1344</v>
      </c>
      <c r="C50" s="3280"/>
      <c r="D50" s="2188"/>
      <c r="E50" s="323"/>
      <c r="F50" s="2230"/>
      <c r="G50" s="3351"/>
      <c r="H50" s="2135" t="s">
        <v>2135</v>
      </c>
      <c r="I50" s="2134"/>
      <c r="J50" s="3363" t="s">
        <v>1345</v>
      </c>
      <c r="K50" s="3363"/>
      <c r="L50" s="3363"/>
      <c r="M50" s="3363"/>
      <c r="N50" s="3363"/>
      <c r="O50" s="3363"/>
    </row>
    <row r="51" spans="1:35" ht="20.399999999999999" customHeight="1">
      <c r="A51" s="2334"/>
      <c r="B51" s="3280" t="s">
        <v>1346</v>
      </c>
      <c r="C51" s="3280"/>
      <c r="D51" s="1024"/>
      <c r="E51" s="319"/>
      <c r="F51" s="2230"/>
      <c r="G51" s="3352"/>
      <c r="H51" s="2135" t="s">
        <v>2136</v>
      </c>
      <c r="I51" s="2134"/>
      <c r="J51" s="2306" t="s">
        <v>1347</v>
      </c>
      <c r="K51" s="3344" t="s">
        <v>1348</v>
      </c>
      <c r="L51" s="3344"/>
      <c r="M51" s="2306" t="s">
        <v>1349</v>
      </c>
      <c r="N51" s="2306" t="s">
        <v>1350</v>
      </c>
      <c r="O51" s="2306" t="s">
        <v>1351</v>
      </c>
    </row>
    <row r="52" spans="1:35" ht="24" customHeight="1">
      <c r="A52" s="2152" t="s">
        <v>1352</v>
      </c>
      <c r="B52" s="3280" t="s">
        <v>1353</v>
      </c>
      <c r="C52" s="3280"/>
      <c r="D52" s="1024">
        <f ca="1">ROUND(D45*'数据-取费表'!B41/(1+'数据-取费表'!C42),0)</f>
        <v>579</v>
      </c>
      <c r="E52" s="1256" t="s">
        <v>1354</v>
      </c>
      <c r="F52" s="2335">
        <f>'数据-取费表'!B41</f>
        <v>5.5000000000000007E-2</v>
      </c>
      <c r="G52" s="2336"/>
      <c r="H52" s="2326"/>
      <c r="I52" s="1669"/>
      <c r="J52" s="2305">
        <v>1</v>
      </c>
      <c r="K52" s="3345" t="s">
        <v>1355</v>
      </c>
      <c r="L52" s="3345"/>
      <c r="M52" s="2307">
        <f ca="1">D48</f>
        <v>579</v>
      </c>
      <c r="N52" s="2305" t="str">
        <f>E48</f>
        <v>销售额×税（费）率</v>
      </c>
      <c r="O52" s="2308">
        <f>F48</f>
        <v>5.5000000000000007E-2</v>
      </c>
    </row>
    <row r="53" spans="1:35" ht="12" customHeight="1">
      <c r="A53" s="2152" t="s">
        <v>1356</v>
      </c>
      <c r="B53" s="3306" t="s">
        <v>2289</v>
      </c>
      <c r="C53" s="3307"/>
      <c r="D53" s="1024">
        <f ca="1">ROUND(D45*'数据-取费表'!B41/(1+'数据-取费表'!C42),0)</f>
        <v>579</v>
      </c>
      <c r="E53" s="1256" t="s">
        <v>1354</v>
      </c>
      <c r="F53" s="2335">
        <f>'数据-取费表'!B41</f>
        <v>5.5000000000000007E-2</v>
      </c>
      <c r="G53" s="2336"/>
      <c r="H53" s="2326"/>
      <c r="I53" s="1669"/>
      <c r="J53" s="2305">
        <v>2</v>
      </c>
      <c r="K53" s="3345" t="s">
        <v>1357</v>
      </c>
      <c r="L53" s="3345"/>
      <c r="M53" s="2307">
        <f t="shared" ref="M53:O54" ca="1" si="0">D55</f>
        <v>6</v>
      </c>
      <c r="N53" s="2305" t="str">
        <f t="shared" si="0"/>
        <v>销售额×税（费）率</v>
      </c>
      <c r="O53" s="2308">
        <f t="shared" si="0"/>
        <v>5.0000000000000001E-4</v>
      </c>
    </row>
    <row r="54" spans="1:35" ht="12" customHeight="1">
      <c r="A54" s="2152" t="s">
        <v>1358</v>
      </c>
      <c r="B54" s="3306" t="s">
        <v>2290</v>
      </c>
      <c r="C54" s="3307"/>
      <c r="D54" s="1024">
        <f ca="1">C68</f>
        <v>579</v>
      </c>
      <c r="E54" s="319" t="s">
        <v>1359</v>
      </c>
      <c r="F54" s="2335">
        <f>'数据-取费表'!B41</f>
        <v>5.5000000000000007E-2</v>
      </c>
      <c r="G54" s="2336"/>
      <c r="H54" s="2337"/>
      <c r="I54" s="1669"/>
      <c r="J54" s="2305">
        <v>3</v>
      </c>
      <c r="K54" s="3345" t="s">
        <v>1360</v>
      </c>
      <c r="L54" s="3345"/>
      <c r="M54" s="2307">
        <f t="shared" ca="1" si="0"/>
        <v>783</v>
      </c>
      <c r="N54" s="2305" t="str">
        <f t="shared" si="0"/>
        <v>增值额×税（费）率</v>
      </c>
      <c r="O54" s="2309" t="str">
        <f t="shared" si="0"/>
        <v>——</v>
      </c>
    </row>
    <row r="55" spans="1:35" ht="24" customHeight="1">
      <c r="A55" s="3295" t="s">
        <v>1361</v>
      </c>
      <c r="B55" s="3296"/>
      <c r="C55" s="3296"/>
      <c r="D55" s="12">
        <f ca="1">IF(H55="个人住宅",0,ROUND(D45*I55,0))</f>
        <v>6</v>
      </c>
      <c r="E55" s="1256" t="s">
        <v>1362</v>
      </c>
      <c r="F55" s="2335">
        <f>IF(H55="正常",I55,"免征")</f>
        <v>5.0000000000000001E-4</v>
      </c>
      <c r="G55" s="2336"/>
      <c r="H55" s="2332" t="s">
        <v>3514</v>
      </c>
      <c r="I55" s="157">
        <f>'数据-取费表'!B49</f>
        <v>5.0000000000000001E-4</v>
      </c>
      <c r="J55" s="2305" t="str">
        <f>IF(H59="非个人房产","",4)</f>
        <v/>
      </c>
      <c r="K55" s="3345" t="str">
        <f>IF(H59="非个人房产","——","个人所得税")</f>
        <v>——</v>
      </c>
      <c r="L55" s="3345"/>
      <c r="M55" s="2310" t="str">
        <f>D59</f>
        <v>——</v>
      </c>
      <c r="N55" s="1882" t="str">
        <f>E59</f>
        <v>——</v>
      </c>
      <c r="O55" s="2311" t="str">
        <f>F59</f>
        <v>——</v>
      </c>
    </row>
    <row r="56" spans="1:35" ht="25.2">
      <c r="A56" s="3295" t="s">
        <v>1363</v>
      </c>
      <c r="B56" s="3296"/>
      <c r="C56" s="3296"/>
      <c r="D56" s="12">
        <f ca="1">IF(H56="个人住宅",D57,D58)</f>
        <v>783</v>
      </c>
      <c r="E56" s="1256" t="s">
        <v>1364</v>
      </c>
      <c r="F56" s="2335" t="str">
        <f>IF(H56="正常",F58,"免征")</f>
        <v>——</v>
      </c>
      <c r="G56" s="2338" t="s">
        <v>1365</v>
      </c>
      <c r="H56" s="2339" t="s">
        <v>3514</v>
      </c>
      <c r="I56" s="1670"/>
      <c r="J56" s="2305" t="str">
        <f>IF(项目基本情况!K6="上海银行",IF(J55="",4,J55+1),"")</f>
        <v/>
      </c>
      <c r="K56" s="3368" t="str">
        <f>IF(项目基本情况!K6="上海银行","其他处置费用","")</f>
        <v/>
      </c>
      <c r="L56" s="3369"/>
      <c r="M56" s="2307" t="str">
        <f>IF(项目基本情况!K6="上海银行",M69,"")</f>
        <v/>
      </c>
      <c r="N56" s="3368" t="str">
        <f>IF(项目基本情况!K6="上海银行","包含处置中涉及的律师、诉讼、拍卖、评估等费用","")</f>
        <v/>
      </c>
      <c r="O56" s="3371"/>
    </row>
    <row r="57" spans="1:35" ht="13.2">
      <c r="A57" s="2152" t="s">
        <v>1341</v>
      </c>
      <c r="B57" s="3306" t="s">
        <v>1366</v>
      </c>
      <c r="C57" s="3307"/>
      <c r="D57" s="1478">
        <v>0</v>
      </c>
      <c r="E57" s="316" t="s">
        <v>1343</v>
      </c>
      <c r="F57" s="294"/>
      <c r="G57" s="2336"/>
      <c r="H57" s="2340"/>
      <c r="I57" s="1670"/>
      <c r="J57" s="3345">
        <f>IF(AND(J55="",J56=""),4,IF(项目基本情况!K6="上海银行",结果表!J56+1,结果表!J55+1))</f>
        <v>4</v>
      </c>
      <c r="K57" s="3345" t="s">
        <v>1367</v>
      </c>
      <c r="L57" s="2312" t="s">
        <v>1368</v>
      </c>
      <c r="M57" s="2313"/>
      <c r="N57" s="2314">
        <f ca="1">SUMIF(M52:M56,"&lt;9e307")</f>
        <v>1368</v>
      </c>
      <c r="O57" s="2315"/>
      <c r="P57" s="2459">
        <f ca="1">N57/M49</f>
        <v>0.12382331643736423</v>
      </c>
    </row>
    <row r="58" spans="1:35" ht="25.2">
      <c r="A58" s="2152" t="s">
        <v>1352</v>
      </c>
      <c r="B58" s="3306" t="s">
        <v>1369</v>
      </c>
      <c r="C58" s="3280"/>
      <c r="D58" s="12">
        <f ca="1">IF(H58="转让取得",C81,C97)</f>
        <v>783</v>
      </c>
      <c r="E58" s="1256" t="s">
        <v>1364</v>
      </c>
      <c r="F58" s="294" t="s">
        <v>28</v>
      </c>
      <c r="G58" s="2336"/>
      <c r="H58" s="2339" t="s">
        <v>3556</v>
      </c>
      <c r="I58" s="1670"/>
      <c r="J58" s="3345"/>
      <c r="K58" s="3345"/>
      <c r="L58" s="2312" t="s">
        <v>1370</v>
      </c>
      <c r="M58" s="2316"/>
      <c r="N58" s="2317" t="str">
        <f ca="1">NUMBERSTRING(INT(N57*10000),2)&amp;"元整"</f>
        <v>壹仟叁佰陆拾捌万元整</v>
      </c>
      <c r="O58" s="2318"/>
    </row>
    <row r="59" spans="1:35" ht="24.6" thickBot="1">
      <c r="A59" s="3348" t="s">
        <v>1371</v>
      </c>
      <c r="B59" s="3349"/>
      <c r="C59" s="3349"/>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7" t="s">
        <v>3557</v>
      </c>
      <c r="I59" s="2136" t="s">
        <v>2137</v>
      </c>
      <c r="J59" s="3346">
        <f>J57+1</f>
        <v>5</v>
      </c>
      <c r="K59" s="3345" t="s">
        <v>1372</v>
      </c>
      <c r="L59" s="2305" t="s">
        <v>1368</v>
      </c>
      <c r="M59" s="2319"/>
      <c r="N59" s="2320">
        <f ca="1">M49-N57</f>
        <v>9680</v>
      </c>
      <c r="O59" s="2321"/>
    </row>
    <row r="60" spans="1:35" ht="12" customHeight="1">
      <c r="A60" s="1671"/>
      <c r="B60" s="646"/>
      <c r="C60" s="646"/>
      <c r="D60" s="646"/>
      <c r="E60" s="1466"/>
      <c r="F60" s="1670"/>
      <c r="G60" s="1670"/>
      <c r="H60" s="151"/>
      <c r="I60" s="121"/>
      <c r="J60" s="3347"/>
      <c r="K60" s="3345"/>
      <c r="L60" s="2312" t="s">
        <v>1370</v>
      </c>
      <c r="M60" s="2316"/>
      <c r="N60" s="2317" t="str">
        <f ca="1">NUMBERSTRING(INT(N59*10000),2)&amp;"元整"</f>
        <v>玖仟陆佰捌拾万元整</v>
      </c>
      <c r="O60" s="2318"/>
    </row>
    <row r="61" spans="1:35" ht="13.8" thickBot="1">
      <c r="A61" s="3293" t="s">
        <v>1373</v>
      </c>
      <c r="B61" s="3293"/>
      <c r="C61" s="3293"/>
      <c r="D61" s="3293"/>
      <c r="E61" s="3293"/>
      <c r="F61" s="1670"/>
      <c r="G61" s="1670"/>
      <c r="H61" s="151"/>
      <c r="I61" s="121"/>
      <c r="J61" s="2305">
        <f>J59+1</f>
        <v>6</v>
      </c>
      <c r="K61" s="3345" t="s">
        <v>1374</v>
      </c>
      <c r="L61" s="3345"/>
      <c r="M61" s="2322"/>
      <c r="N61" s="2323">
        <f ca="1">ROUND(N59*10000/'数据-汇总表'!E3,0)</f>
        <v>3272</v>
      </c>
      <c r="O61" s="2324"/>
    </row>
    <row r="62" spans="1:35" ht="13.2">
      <c r="A62" s="3311" t="s">
        <v>1375</v>
      </c>
      <c r="B62" s="3312"/>
      <c r="C62" s="1864"/>
      <c r="D62" s="1864" t="s">
        <v>1376</v>
      </c>
      <c r="E62" s="158" t="s">
        <v>1377</v>
      </c>
      <c r="F62" s="1670"/>
      <c r="G62" s="1670"/>
      <c r="H62" s="151"/>
      <c r="I62" s="121"/>
    </row>
    <row r="63" spans="1:35" ht="13.2">
      <c r="A63" s="165" t="s">
        <v>330</v>
      </c>
      <c r="B63" s="159" t="s">
        <v>1378</v>
      </c>
      <c r="C63" s="2345">
        <f ca="1">ROUND((C64+C65)/(1+'数据-取费表'!C42),0)</f>
        <v>10522</v>
      </c>
      <c r="D63" s="159"/>
      <c r="E63" s="160"/>
      <c r="F63" s="1670"/>
      <c r="G63" s="1670"/>
      <c r="H63" s="151"/>
      <c r="I63" s="121"/>
      <c r="J63" s="3370" t="s">
        <v>1379</v>
      </c>
      <c r="K63" s="1245" t="s">
        <v>1380</v>
      </c>
      <c r="L63" s="1245">
        <f ca="1">IF(M49&gt;10000,M49*0.5%,IF(AND(M49&gt;1000,M49&lt;=10000),M49*1%,IF(AND(M49&gt;100,M49&lt;=1000),M49*3%,IF(AND(M49&gt;10,M49&lt;=100),M49*5%,M49*8%))))</f>
        <v>55.24</v>
      </c>
      <c r="M63" s="294">
        <f ca="1">ROUND(L63,1)</f>
        <v>55.2</v>
      </c>
      <c r="N63" s="2325"/>
      <c r="Z63" s="1623"/>
      <c r="AI63" s="1561"/>
    </row>
    <row r="64" spans="1:35" ht="14.25" customHeight="1">
      <c r="A64" s="161" t="s">
        <v>325</v>
      </c>
      <c r="B64" s="162" t="s">
        <v>1381</v>
      </c>
      <c r="C64" s="2346">
        <f ca="1">D45</f>
        <v>11048</v>
      </c>
      <c r="D64" s="162" t="s">
        <v>26</v>
      </c>
      <c r="E64" s="164"/>
      <c r="F64" s="1670"/>
      <c r="G64" s="1670"/>
      <c r="H64" s="151"/>
      <c r="I64" s="121"/>
      <c r="J64" s="3370"/>
      <c r="K64" s="1245" t="s">
        <v>1382</v>
      </c>
      <c r="L64" s="1245">
        <f ca="1">IF(M49&gt;2000,M49*0.5%,IF(AND(M49&gt;1000,M49&lt;=2000),M49*0.6%,IF(AND(M49&gt;500,M49&lt;=1000),M49*0.7%,IF(AND(M49&gt;200,M49&lt;=500),M49*0.8%,IF(AND(M49&gt;100,M49&lt;=200),M49*0.9%,IF(AND(M49&gt;50,M49&lt;=100),M49*1%,IF(AND(M49&gt;20,M49&lt;=50),M49*1.5%,IF(AND(M49&gt;10,M49&lt;=20),M49*2%,IF(AND(M49&gt;1,M49&lt;=10),M49*2.5%)))))))))</f>
        <v>55.24</v>
      </c>
      <c r="M64" s="294">
        <f t="shared" ref="M64:M65" ca="1" si="1">ROUND(L64,1)</f>
        <v>55.2</v>
      </c>
      <c r="N64" s="2326" t="s">
        <v>1383</v>
      </c>
      <c r="Z64" s="1623"/>
      <c r="AI64" s="1561"/>
    </row>
    <row r="65" spans="1:35" ht="14.25" customHeight="1">
      <c r="A65" s="161" t="s">
        <v>326</v>
      </c>
      <c r="B65" s="162" t="s">
        <v>1384</v>
      </c>
      <c r="C65" s="2347"/>
      <c r="D65" s="162"/>
      <c r="E65" s="164"/>
      <c r="F65" s="1670"/>
      <c r="G65" s="1670"/>
      <c r="H65" s="151"/>
      <c r="I65" s="121"/>
      <c r="J65" s="3370"/>
      <c r="K65" s="1245" t="s">
        <v>1385</v>
      </c>
      <c r="L65" s="1245">
        <f ca="1">IF(M49&gt;1000,M49*0.1%,IF(AND(M49&gt;500,M49&lt;=1000),M49*0.5%,IF(AND(M49&gt;50,M49&lt;=500),M49*1%,IF(AND(M49&gt;1,M49&lt;=50),M49*1.5%))))</f>
        <v>11.048</v>
      </c>
      <c r="M65" s="294">
        <f t="shared" ca="1" si="1"/>
        <v>11</v>
      </c>
      <c r="N65" s="2326" t="s">
        <v>1383</v>
      </c>
      <c r="Z65" s="1623"/>
      <c r="AI65" s="1561"/>
    </row>
    <row r="66" spans="1:35" ht="14.25" customHeight="1">
      <c r="A66" s="165" t="s">
        <v>327</v>
      </c>
      <c r="B66" s="166" t="s">
        <v>1386</v>
      </c>
      <c r="C66" s="2348"/>
      <c r="D66" s="166" t="s">
        <v>26</v>
      </c>
      <c r="E66" s="1251" t="s">
        <v>671</v>
      </c>
      <c r="F66" s="1670"/>
      <c r="G66" s="1670"/>
      <c r="H66" s="151"/>
      <c r="I66" s="121"/>
      <c r="J66" s="3370"/>
      <c r="K66" s="1245" t="s">
        <v>1387</v>
      </c>
      <c r="L66" s="1245">
        <f ca="1">M49*0.5%</f>
        <v>55.24</v>
      </c>
      <c r="M66" s="294">
        <f ca="1">IF(L66&gt;0.5,0.5,ROUND(L66,0))</f>
        <v>0.5</v>
      </c>
      <c r="N66" s="2326" t="s">
        <v>1388</v>
      </c>
      <c r="Z66" s="1623"/>
      <c r="AI66" s="1561"/>
    </row>
    <row r="67" spans="1:35" ht="14.25" customHeight="1">
      <c r="A67" s="165" t="s">
        <v>328</v>
      </c>
      <c r="B67" s="166" t="s">
        <v>1389</v>
      </c>
      <c r="C67" s="2349">
        <f ca="1">C63-C66</f>
        <v>10522</v>
      </c>
      <c r="D67" s="162" t="s">
        <v>26</v>
      </c>
      <c r="E67" s="164"/>
      <c r="F67" s="1670"/>
      <c r="G67" s="1670"/>
      <c r="H67" s="151"/>
      <c r="I67" s="121"/>
      <c r="J67" s="3370"/>
      <c r="K67" s="1245" t="s">
        <v>1390</v>
      </c>
      <c r="L67" s="1245">
        <f ca="1">IF(M49&gt;=10000,(8.25+(M49-10000)*0.01%),IF(AND(M49&gt;=8000,M49&lt;10000),(7.85+(M49-8000)*0.02%),IF(AND(M49&gt;=5000,M49&lt;8000),(6.65+(M49-5000)*0.04%),IF(AND(M49&gt;=2000,M49&lt;5000),(4.25+(PM49-2000)*0.08%),IF(AND(M49&gt;=1000,M49&lt;2000),(2.75+(M49-1000)*0.15%),IF(AND(M49&gt;=100,M49&lt;1000),(0.5+(M49-100)*0.25%),IF(AND(M49&gt;0,M49&lt;100),M49*0.5%)))))))</f>
        <v>8.3548000000000009</v>
      </c>
      <c r="M67" s="294">
        <f ca="1">ROUND(L67*0.9,1)</f>
        <v>7.5</v>
      </c>
      <c r="N67" s="2325"/>
      <c r="Z67" s="1623"/>
      <c r="AI67" s="1561"/>
    </row>
    <row r="68" spans="1:35" ht="14.25" customHeight="1" thickBot="1">
      <c r="A68" s="168" t="s">
        <v>329</v>
      </c>
      <c r="B68" s="169" t="s">
        <v>1391</v>
      </c>
      <c r="C68" s="2350">
        <f ca="1">IF(C67&lt;=0,0,ROUND(C67*D68,0))</f>
        <v>579</v>
      </c>
      <c r="D68" s="2351">
        <f>'数据-取费表'!B41</f>
        <v>5.5000000000000007E-2</v>
      </c>
      <c r="E68" s="170"/>
      <c r="F68" s="1670"/>
      <c r="G68" s="1670"/>
      <c r="H68" s="151"/>
      <c r="I68" s="121"/>
      <c r="J68" s="3370"/>
      <c r="K68" s="1245" t="s">
        <v>1392</v>
      </c>
      <c r="L68" s="1245">
        <f ca="1">IF(M49&gt;10000,M49*0.5%,IF(AND(M49&gt;5000,M49&lt;=10000),M49*1%,IF(AND(M49&gt;1000,M49&lt;=5000),M49*2%,IF(AND(M49&gt;200,M49&lt;=1000),M49*3%,M49*5%))))</f>
        <v>55.24</v>
      </c>
      <c r="M68" s="294">
        <f ca="1">ROUND(L68,1)</f>
        <v>55.2</v>
      </c>
      <c r="N68" s="2325"/>
      <c r="Z68" s="1623"/>
      <c r="AI68" s="1561"/>
    </row>
    <row r="69" spans="1:35" ht="16.5" customHeight="1">
      <c r="A69" s="1672"/>
      <c r="B69" s="1673"/>
      <c r="C69" s="1674"/>
      <c r="D69" s="1675"/>
      <c r="E69" s="1676"/>
      <c r="F69" s="1466"/>
      <c r="G69" s="1466"/>
      <c r="H69" s="1467"/>
      <c r="I69" s="646"/>
      <c r="J69" s="3370"/>
      <c r="K69" s="1245" t="s">
        <v>1393</v>
      </c>
      <c r="L69" s="1245"/>
      <c r="M69" s="294">
        <f ca="1">ROUND(SUM(M63:M68),0)</f>
        <v>185</v>
      </c>
      <c r="N69" s="2327">
        <f ca="1">M69/M49</f>
        <v>1.674511223750905E-2</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1" t="s">
        <v>1375</v>
      </c>
      <c r="B71" s="3312"/>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49">
        <f ca="1">ROUND(D45/(1+'数据-取费表'!C42),0)</f>
        <v>10522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49">
        <f ca="1">C74+C78</f>
        <v>53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2"/>
      <c r="D75" s="162" t="s">
        <v>26</v>
      </c>
      <c r="E75" s="176" t="s">
        <v>1399</v>
      </c>
      <c r="F75" s="2353"/>
      <c r="G75" s="176" t="s">
        <v>1400</v>
      </c>
      <c r="H75" s="2354"/>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5">
        <v>0.05</v>
      </c>
      <c r="E76" s="3306" t="s">
        <v>1402</v>
      </c>
      <c r="F76" s="3280"/>
      <c r="G76" s="3280"/>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7">
        <f ca="1">ROUND(D45*D78/(1+'数据-取费表'!C42),0)</f>
        <v>53</v>
      </c>
      <c r="D78" s="2358">
        <f>'数据-取费表'!B43</f>
        <v>5.000000000000001E-3</v>
      </c>
      <c r="E78" s="3290" t="s">
        <v>1406</v>
      </c>
      <c r="F78" s="3291"/>
      <c r="G78" s="3291"/>
      <c r="H78" s="33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49">
        <f ca="1">C72-C73</f>
        <v>10469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9">
        <f ca="1">IF(C79&lt;=0,0,C79/C73)</f>
        <v>197.52830188679246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0">
        <f ca="1">ROUND(IF(C79&lt;=0,0,IF(C80&gt;=200%,C79*60%-C73*35%,IF(C80&gt;=100%,C79*50%-C73*15%,IF(C80&gt;=50%,C79*40%-C73*5%,IF(C80&lt;50%,C79*30%,0))))),0)</f>
        <v>6263</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1" t="s">
        <v>1375</v>
      </c>
      <c r="B84" s="3312"/>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4">
      <c r="A85" s="165" t="s">
        <v>330</v>
      </c>
      <c r="B85" s="166" t="s">
        <v>1395</v>
      </c>
      <c r="C85" s="2349">
        <f ca="1">ROUND(D45/(1+'数据-取费表'!C42),0)</f>
        <v>10522</v>
      </c>
      <c r="D85" s="162" t="s">
        <v>26</v>
      </c>
      <c r="E85" s="1257"/>
      <c r="F85" s="1255"/>
      <c r="G85" s="1255"/>
      <c r="H85" s="184"/>
      <c r="I85" s="1681"/>
      <c r="J85" s="3188" t="s">
        <v>3612</v>
      </c>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49">
        <f ca="1">IF(H88="仅含出让金",C87+C90+C91+C92+C93+C94,C87+C91+C92+C93+C94)</f>
        <v>7911.0633040000002</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7">
        <f>C88+C89</f>
        <v>541.04</v>
      </c>
      <c r="D87" s="2358"/>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3163">
        <f>估价对象信息!F30/10000</f>
        <v>525.04</v>
      </c>
      <c r="D88" s="2358"/>
      <c r="E88" s="185" t="s">
        <v>1413</v>
      </c>
      <c r="F88" s="2147"/>
      <c r="G88" s="186" t="s">
        <v>1414</v>
      </c>
      <c r="H88" s="1684" t="s">
        <v>3558</v>
      </c>
      <c r="I88" s="1681"/>
      <c r="J88" s="2303"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7">
        <f>ROUND(C88*D89,0)</f>
        <v>16</v>
      </c>
      <c r="D89" s="2358">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3"/>
      <c r="D90" s="2358"/>
      <c r="E90" s="185" t="str">
        <f>IF(H88="-","土地取得成本中已包含该笔费用"," ")</f>
        <v xml:space="preserve"> </v>
      </c>
      <c r="F90" s="2147"/>
      <c r="G90" s="3372" t="s">
        <v>2129</v>
      </c>
      <c r="H90" s="3373"/>
      <c r="I90" s="1681"/>
      <c r="J90" s="2303"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7">
        <f>IF(H91="——",成本法!C33,I91)</f>
        <v>6603.0233040000003</v>
      </c>
      <c r="D91" s="2358"/>
      <c r="E91" s="3290" t="s">
        <v>1419</v>
      </c>
      <c r="F91" s="3291"/>
      <c r="G91" s="3291"/>
      <c r="H91" s="1685" t="s">
        <v>3559</v>
      </c>
      <c r="I91" s="3162">
        <f>估价对象信息!C30/10000</f>
        <v>6603.0233040000003</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7">
        <f>ROUND((C87+C90+C91)*D92,0)</f>
        <v>714</v>
      </c>
      <c r="D92" s="2364">
        <v>0.1</v>
      </c>
      <c r="E92" s="3290" t="s">
        <v>1422</v>
      </c>
      <c r="F92" s="3291"/>
      <c r="G92" s="3291"/>
      <c r="H92" s="3300"/>
      <c r="I92" s="1681"/>
      <c r="J92" s="2304"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7">
        <f ca="1">ROUND(D45*D93/(1+'数据-取费表'!C42),0)</f>
        <v>53</v>
      </c>
      <c r="D93" s="2358">
        <f>'数据-取费表'!B43</f>
        <v>5.000000000000001E-3</v>
      </c>
      <c r="E93" s="3290" t="s">
        <v>1406</v>
      </c>
      <c r="F93" s="3291"/>
      <c r="G93" s="3291"/>
      <c r="H93" s="33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3">
        <v>0</v>
      </c>
      <c r="D94" s="2358">
        <v>0.2</v>
      </c>
      <c r="E94" s="3301" t="s">
        <v>1426</v>
      </c>
      <c r="F94" s="3302"/>
      <c r="G94" s="3302"/>
      <c r="H94" s="3303"/>
      <c r="I94" s="1681">
        <f>ROUND((C87+C90+C91)*D94,0)</f>
        <v>1429</v>
      </c>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49">
        <f ca="1">ROUND(C85-C86,0)</f>
        <v>2611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9">
        <f ca="1">IF(C95&lt;=0,0,C95/C86)</f>
        <v>0.33004412929925908</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0">
        <f ca="1">ROUND(IF(C95&lt;=0,0,IF(C96&gt;=200%,C95*60%-C86*35%,IF(C96&gt;=100%,C95*50%-C86*15%,IF(C96&gt;=50%,C95*40%-C86*5%,IF(C96&lt;50%,C95*30%,0))))),0)</f>
        <v>783</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292"/>
      <c r="E100" s="3272" t="s">
        <v>1429</v>
      </c>
      <c r="F100" s="3272"/>
      <c r="G100" s="3272"/>
      <c r="H100" s="3292"/>
      <c r="I100" s="121"/>
    </row>
    <row r="101" spans="1:35" ht="18.75" customHeight="1">
      <c r="A101" s="3353" t="s">
        <v>1430</v>
      </c>
      <c r="B101" s="3354"/>
      <c r="C101" s="2366" t="str">
        <f>C4</f>
        <v>成本法</v>
      </c>
      <c r="D101" s="2367" t="str">
        <f>D4</f>
        <v>收益法</v>
      </c>
      <c r="E101" s="3367" t="s">
        <v>1431</v>
      </c>
      <c r="F101" s="3324"/>
      <c r="G101" s="1686" t="s">
        <v>1432</v>
      </c>
      <c r="H101" s="2376">
        <f ca="1">H118</f>
        <v>11048</v>
      </c>
      <c r="I101" s="121"/>
    </row>
    <row r="102" spans="1:35" ht="18.75" customHeight="1">
      <c r="A102" s="3326" t="s">
        <v>1433</v>
      </c>
      <c r="B102" s="2365" t="s">
        <v>1432</v>
      </c>
      <c r="C102" s="2366">
        <f ca="1">IF(D32="楼面单价",ROUND(C19,0),C19)</f>
        <v>11003</v>
      </c>
      <c r="D102" s="2367">
        <f ca="1">IF(D32="楼面单价",ROUND(D19,0),D19)</f>
        <v>11092</v>
      </c>
      <c r="E102" s="3367"/>
      <c r="F102" s="3324"/>
      <c r="G102" s="1686" t="s">
        <v>1434</v>
      </c>
      <c r="H102" s="2336">
        <f ca="1">I118</f>
        <v>3734</v>
      </c>
      <c r="I102" s="121"/>
    </row>
    <row r="103" spans="1:35" ht="42.75" customHeight="1">
      <c r="A103" s="3326"/>
      <c r="B103" s="2365" t="s">
        <v>1434</v>
      </c>
      <c r="C103" s="2368">
        <f ca="1">C20</f>
        <v>3719</v>
      </c>
      <c r="D103" s="2369">
        <f ca="1">D20</f>
        <v>3749</v>
      </c>
      <c r="E103" s="3361" t="s">
        <v>1435</v>
      </c>
      <c r="F103" s="3362"/>
      <c r="G103" s="1687" t="s">
        <v>1436</v>
      </c>
      <c r="H103" s="2376">
        <f>IF(D36="正常操作",H104+H105+H106,H105+H106)</f>
        <v>0</v>
      </c>
      <c r="I103" s="121"/>
    </row>
    <row r="104" spans="1:35" ht="18.75" customHeight="1">
      <c r="A104" s="3326" t="s">
        <v>1437</v>
      </c>
      <c r="B104" s="2370" t="s">
        <v>1432</v>
      </c>
      <c r="C104" s="2371">
        <f ca="1">H118</f>
        <v>11048</v>
      </c>
      <c r="D104" s="2372"/>
      <c r="E104" s="1555" t="s">
        <v>1438</v>
      </c>
      <c r="F104" s="1548"/>
      <c r="G104" s="1687" t="s">
        <v>1436</v>
      </c>
      <c r="H104" s="2377">
        <f>IF(D36="同一抵押权人同一抵押物续贷",C36&amp;"（续贷，未扣减，详见特别提示）",C36)</f>
        <v>0</v>
      </c>
      <c r="I104" s="121"/>
    </row>
    <row r="105" spans="1:35" ht="18.75" customHeight="1" thickBot="1">
      <c r="A105" s="3327"/>
      <c r="B105" s="2373" t="s">
        <v>1434</v>
      </c>
      <c r="C105" s="2374">
        <f ca="1">I118</f>
        <v>3734</v>
      </c>
      <c r="D105" s="2375"/>
      <c r="E105" s="1555" t="s">
        <v>1439</v>
      </c>
      <c r="F105" s="1548"/>
      <c r="G105" s="1687" t="s">
        <v>1436</v>
      </c>
      <c r="H105" s="2378">
        <f>C37</f>
        <v>0</v>
      </c>
      <c r="I105" s="121"/>
    </row>
    <row r="106" spans="1:35" ht="18.75" customHeight="1">
      <c r="A106" s="646" t="s">
        <v>1440</v>
      </c>
      <c r="B106" s="646"/>
      <c r="C106" s="646"/>
      <c r="D106" s="646"/>
      <c r="E106" s="1688" t="s">
        <v>1441</v>
      </c>
      <c r="F106" s="1548"/>
      <c r="G106" s="1687" t="s">
        <v>1436</v>
      </c>
      <c r="H106" s="2378">
        <f>C38</f>
        <v>0</v>
      </c>
      <c r="I106" s="121"/>
    </row>
    <row r="107" spans="1:35" ht="18.75" customHeight="1">
      <c r="A107" s="121"/>
      <c r="B107" s="121"/>
      <c r="C107" s="121"/>
      <c r="D107" s="121"/>
      <c r="E107" s="3323" t="str">
        <f>IF(项目基本情况!E8="已注销","——","3.房地产抵押价值")</f>
        <v>3.房地产抵押价值</v>
      </c>
      <c r="F107" s="3324"/>
      <c r="G107" s="1686" t="s">
        <v>1432</v>
      </c>
      <c r="H107" s="2376">
        <f ca="1">IF(E107="——","——",H101-H103)</f>
        <v>11048</v>
      </c>
      <c r="I107" s="121"/>
    </row>
    <row r="108" spans="1:35" ht="18.75" customHeight="1">
      <c r="A108" s="121"/>
      <c r="B108" s="121"/>
      <c r="C108" s="121"/>
      <c r="D108" s="121"/>
      <c r="E108" s="3323"/>
      <c r="F108" s="3324"/>
      <c r="G108" s="1686" t="s">
        <v>1434</v>
      </c>
      <c r="H108" s="2336">
        <f ca="1">IF(H107=H101,H102,ROUND(H107*10000/'数据-汇总表'!E3,0))</f>
        <v>3734</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324"/>
      <c r="G109" s="1686" t="s">
        <v>1432</v>
      </c>
      <c r="H109" s="2379" t="str">
        <f>IF(E109="——","——",H101-H105-H106)</f>
        <v>——</v>
      </c>
      <c r="I109" s="121"/>
    </row>
    <row r="110" spans="1:35" ht="18.75" customHeight="1">
      <c r="A110" s="121"/>
      <c r="B110" s="121"/>
      <c r="C110" s="121"/>
      <c r="D110" s="121"/>
      <c r="E110" s="3323"/>
      <c r="F110" s="3324"/>
      <c r="G110" s="1686" t="s">
        <v>1434</v>
      </c>
      <c r="H110" s="2336" t="str">
        <f>IF(H109="——","——",ROUND(H109*10000/'数据-汇总表'!E3,0))</f>
        <v>——</v>
      </c>
      <c r="I110" s="121"/>
    </row>
    <row r="111" spans="1:35" ht="18.75" customHeight="1">
      <c r="A111" s="121"/>
      <c r="B111" s="121"/>
      <c r="C111" s="121"/>
      <c r="D111" s="121"/>
      <c r="E111" s="3355" t="str">
        <f>IF(项目基本情况!E9="抵押净值",IF(OR(项目基本情况!E8="已注销",项目基本情况!E8="房地产抵押价值"),"4.抵押净值","5.抵押净值"),"——")</f>
        <v>——</v>
      </c>
      <c r="F111" s="3325"/>
      <c r="G111" s="1686" t="s">
        <v>1432</v>
      </c>
      <c r="H111" s="2376" t="str">
        <f>IF(E111="——","——",N59)</f>
        <v>——</v>
      </c>
      <c r="I111" s="121"/>
    </row>
    <row r="112" spans="1:35" ht="18.75" customHeight="1" thickBot="1">
      <c r="A112" s="121"/>
      <c r="B112" s="121"/>
      <c r="C112" s="121"/>
      <c r="D112" s="121"/>
      <c r="E112" s="3356"/>
      <c r="F112" s="3357"/>
      <c r="G112" s="1689" t="s">
        <v>1434</v>
      </c>
      <c r="H112" s="2380" t="str">
        <f>IF(E111="——","——",N61)</f>
        <v>——</v>
      </c>
      <c r="I112" s="121"/>
    </row>
    <row r="113" spans="1:27" ht="18.75" customHeight="1">
      <c r="A113" s="121"/>
      <c r="B113" s="121"/>
      <c r="C113" s="121"/>
      <c r="D113" s="121"/>
      <c r="E113" s="3328" t="s">
        <v>1440</v>
      </c>
      <c r="F113" s="3328"/>
      <c r="G113" s="3328"/>
      <c r="H113" s="3328"/>
      <c r="I113" s="121"/>
    </row>
    <row r="114" spans="1:27" ht="3.75" customHeight="1">
      <c r="A114" s="646"/>
      <c r="B114" s="646"/>
      <c r="C114" s="646"/>
      <c r="D114" s="646"/>
      <c r="E114" s="1671"/>
      <c r="F114" s="1671"/>
      <c r="G114" s="1671"/>
      <c r="H114" s="1671"/>
      <c r="I114" s="646"/>
    </row>
    <row r="115" spans="1:27" ht="18.75" customHeight="1">
      <c r="A115" s="3338" t="s">
        <v>1442</v>
      </c>
      <c r="B115" s="3339"/>
      <c r="C115" s="3339"/>
      <c r="D115" s="3339"/>
      <c r="E115" s="3339"/>
      <c r="F115" s="3339"/>
      <c r="G115" s="3339"/>
      <c r="H115" s="3339"/>
      <c r="I115" s="3340"/>
    </row>
    <row r="116" spans="1:27" ht="27" customHeight="1">
      <c r="A116" s="3294" t="s">
        <v>1443</v>
      </c>
      <c r="B116" s="3329" t="s">
        <v>1444</v>
      </c>
      <c r="C116" s="3329" t="s">
        <v>1445</v>
      </c>
      <c r="D116" s="3342" t="s">
        <v>1446</v>
      </c>
      <c r="E116" s="3343"/>
      <c r="F116" s="3337" t="s">
        <v>1447</v>
      </c>
      <c r="G116" s="3337"/>
      <c r="H116" s="3294" t="s">
        <v>1448</v>
      </c>
      <c r="I116" s="3294"/>
    </row>
    <row r="117" spans="1:27" ht="18.75" customHeight="1">
      <c r="A117" s="3294"/>
      <c r="B117" s="3330"/>
      <c r="C117" s="3330"/>
      <c r="D117" s="2149" t="s">
        <v>1449</v>
      </c>
      <c r="E117" s="2149" t="s">
        <v>1450</v>
      </c>
      <c r="F117" s="2149" t="s">
        <v>1449</v>
      </c>
      <c r="G117" s="2149" t="s">
        <v>1451</v>
      </c>
      <c r="H117" s="2149" t="s">
        <v>1449</v>
      </c>
      <c r="I117" s="2149" t="s">
        <v>1451</v>
      </c>
    </row>
    <row r="118" spans="1:27" ht="24.75" customHeight="1">
      <c r="A118" s="2381" t="str">
        <f>项目基本情况!S2</f>
        <v>河北省廊坊市三河市燕郊开发区燕新大街1号房地产</v>
      </c>
      <c r="B118" s="2149">
        <f>M18</f>
        <v>29587.64</v>
      </c>
      <c r="C118" s="2149">
        <f>M19</f>
        <v>24593</v>
      </c>
      <c r="D118" s="2149">
        <f ca="1">ROUND(IF(D32="总价",C34,E118*B118/10000),0)</f>
        <v>2685</v>
      </c>
      <c r="E118" s="2149">
        <f ca="1">ROUND(IF(C33="自定义",IF(D32="楼面单价",C34,D118*10000/B118),I118-G118),0)</f>
        <v>907</v>
      </c>
      <c r="F118" s="2149">
        <f ca="1">ROUND(IF(D32="总价",C35,G118*B118/10000),0)</f>
        <v>8363</v>
      </c>
      <c r="G118" s="2149">
        <f ca="1">ROUND(IF(D32="楼面单价",C35,F118*10000/B118),0)</f>
        <v>2827</v>
      </c>
      <c r="H118" s="2149">
        <f ca="1">ROUND(IF(D32="总价",C32,I118*B118/10000),0)</f>
        <v>11048</v>
      </c>
      <c r="I118" s="2149">
        <f ca="1">ROUND(IF(D32="楼面单价",C32,H118*10000/B118),0)</f>
        <v>3734</v>
      </c>
    </row>
    <row r="119" spans="1:27" ht="18.75" customHeight="1">
      <c r="A119" s="3294" t="s">
        <v>1452</v>
      </c>
      <c r="B119" s="3294"/>
      <c r="C119" s="3294"/>
      <c r="D119" s="3334" t="str">
        <f ca="1">NUMBERSTRING(INT(D118*10000),2)&amp;"元整"</f>
        <v>贰仟陆佰捌拾伍万元整</v>
      </c>
      <c r="E119" s="3336"/>
      <c r="F119" s="3334" t="str">
        <f ca="1">NUMBERSTRING(INT(F118*10000),2)&amp;"元整"</f>
        <v>捌仟叁佰陆拾叁万元整</v>
      </c>
      <c r="G119" s="3336"/>
      <c r="H119" s="3334" t="str">
        <f ca="1">NUMBERSTRING(INT(H118*10000),2)&amp;"元整"</f>
        <v>壹亿壹仟零肆拾捌万元整</v>
      </c>
      <c r="I119" s="3336"/>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4" t="s">
        <v>1452</v>
      </c>
      <c r="B121" s="3335"/>
      <c r="C121" s="3336"/>
      <c r="D121" s="3334" t="str">
        <f>IF(D120=0,"零元整",NUMBERSTRING(INT(D120*10000),2)&amp;"元整")</f>
        <v>零元整</v>
      </c>
      <c r="E121" s="3335"/>
      <c r="F121" s="3335"/>
      <c r="G121" s="3335"/>
      <c r="H121" s="3335"/>
      <c r="I121" s="3336"/>
      <c r="AA121" s="684"/>
    </row>
    <row r="122" spans="1:27" ht="18.75" customHeight="1">
      <c r="A122" s="3325" t="str">
        <f>IF(项目基本情况!B9="房地产市场价值","",MID(E107,3,LEN(E107)-2))</f>
        <v>房地产抵押价值</v>
      </c>
      <c r="B122" s="3325"/>
      <c r="C122" s="3325"/>
      <c r="D122" s="3358">
        <f ca="1">H107</f>
        <v>11048</v>
      </c>
      <c r="E122" s="3359"/>
      <c r="F122" s="3359"/>
      <c r="G122" s="3359"/>
      <c r="H122" s="3359"/>
      <c r="I122" s="3360"/>
      <c r="AA122" s="684"/>
    </row>
    <row r="123" spans="1:27" ht="18.75" customHeight="1">
      <c r="A123" s="3294" t="s">
        <v>1452</v>
      </c>
      <c r="B123" s="3294"/>
      <c r="C123" s="3294"/>
      <c r="D123" s="3334" t="str">
        <f ca="1">NUMBERSTRING(INT(D122*10000),2)&amp;"元整"</f>
        <v>壹亿壹仟零肆拾捌万元整</v>
      </c>
      <c r="E123" s="3335"/>
      <c r="F123" s="3335"/>
      <c r="G123" s="3335"/>
      <c r="H123" s="3335"/>
      <c r="I123" s="3336"/>
      <c r="AA123" s="684"/>
    </row>
    <row r="124" spans="1:27" ht="18.75" customHeight="1">
      <c r="A124" s="3325" t="str">
        <f>IF(项目基本情况!B9="房地产市场价值","",MID(E109,3,LEN(E109)-2))</f>
        <v/>
      </c>
      <c r="B124" s="3325"/>
      <c r="C124" s="3325"/>
      <c r="D124" s="3358" t="str">
        <f>H109</f>
        <v>——</v>
      </c>
      <c r="E124" s="3359"/>
      <c r="F124" s="3359"/>
      <c r="G124" s="3359"/>
      <c r="H124" s="3359"/>
      <c r="I124" s="3360"/>
      <c r="AA124" s="684"/>
    </row>
    <row r="125" spans="1:27" ht="18.75" customHeight="1">
      <c r="A125" s="3294" t="s">
        <v>1452</v>
      </c>
      <c r="B125" s="3294"/>
      <c r="C125" s="3294"/>
      <c r="D125" s="3334" t="e">
        <f>NUMBERSTRING(INT(D124*10000),2)&amp;"元整"</f>
        <v>#VALUE!</v>
      </c>
      <c r="E125" s="3335"/>
      <c r="F125" s="3335"/>
      <c r="G125" s="3335"/>
      <c r="H125" s="3335"/>
      <c r="I125" s="3336"/>
      <c r="AA125" s="684"/>
    </row>
    <row r="126" spans="1:27" ht="18.75" customHeight="1">
      <c r="A126" s="3325" t="str">
        <f>IF(项目基本情况!B9="房地产市场价值","",MID(E111,3,LEN(E111)-2))</f>
        <v/>
      </c>
      <c r="B126" s="3325"/>
      <c r="C126" s="3325"/>
      <c r="D126" s="3358" t="str">
        <f>H111</f>
        <v>——</v>
      </c>
      <c r="E126" s="3359"/>
      <c r="F126" s="3359"/>
      <c r="G126" s="3359"/>
      <c r="H126" s="3359"/>
      <c r="I126" s="3360"/>
      <c r="AA126" s="684"/>
    </row>
    <row r="127" spans="1:27" ht="18.75" customHeight="1">
      <c r="A127" s="3294" t="s">
        <v>1452</v>
      </c>
      <c r="B127" s="3294"/>
      <c r="C127" s="3294"/>
      <c r="D127" s="3334" t="e">
        <f>NUMBERSTRING(INT(D126*10000),2)&amp;"元整"</f>
        <v>#VALUE!</v>
      </c>
      <c r="E127" s="3335"/>
      <c r="F127" s="3335"/>
      <c r="G127" s="3335"/>
      <c r="H127" s="3335"/>
      <c r="I127" s="3336"/>
      <c r="AA127" s="684"/>
    </row>
    <row r="128" spans="1:27" ht="21.75" customHeight="1">
      <c r="A128" s="3341" t="s">
        <v>1453</v>
      </c>
      <c r="B128" s="3341"/>
      <c r="C128" s="3341"/>
      <c r="D128" s="3341"/>
      <c r="E128" s="3341"/>
      <c r="F128" s="3341"/>
      <c r="G128" s="3341"/>
      <c r="H128" s="3341"/>
      <c r="I128" s="334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11003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3719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2246</v>
      </c>
      <c r="D5" s="203" t="s">
        <v>1469</v>
      </c>
      <c r="E5" s="204" t="s">
        <v>1470</v>
      </c>
      <c r="F5" s="204" t="s">
        <v>1471</v>
      </c>
      <c r="G5" s="205"/>
    </row>
    <row r="6" spans="1:9" s="206" customFormat="1" ht="13.5" customHeight="1">
      <c r="A6" s="732" t="s">
        <v>1472</v>
      </c>
      <c r="B6" s="207" t="s">
        <v>1473</v>
      </c>
      <c r="C6" s="208">
        <f>'土地比较法-工业'!B2</f>
        <v>2093</v>
      </c>
      <c r="D6" s="209"/>
      <c r="E6" s="210"/>
      <c r="F6" s="210"/>
      <c r="G6" s="211"/>
    </row>
    <row r="7" spans="1:9" s="206" customFormat="1" ht="13.5" customHeight="1">
      <c r="A7" s="732" t="s">
        <v>1474</v>
      </c>
      <c r="B7" s="207" t="s">
        <v>1475</v>
      </c>
      <c r="C7" s="212">
        <f>ROUND(C6*F7,0)</f>
        <v>64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89</v>
      </c>
      <c r="D8" s="214"/>
      <c r="E8" s="212"/>
      <c r="F8" s="213"/>
      <c r="G8" s="1713" t="s">
        <v>3438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3440</v>
      </c>
      <c r="H9" s="1070"/>
      <c r="I9" s="1715" t="s">
        <v>1479</v>
      </c>
    </row>
    <row r="10" spans="1:9" s="206" customFormat="1" ht="13.5" customHeight="1">
      <c r="A10" s="733" t="s">
        <v>356</v>
      </c>
      <c r="B10" s="216" t="s">
        <v>1480</v>
      </c>
      <c r="C10" s="217">
        <f ca="1">ROUND(D10*E10/10000,0)</f>
        <v>89</v>
      </c>
      <c r="D10" s="795">
        <f ca="1">IF(B1="",'数据-汇总表'!E6,IF(INDIRECT("'数据-取费表'!c"&amp;$G$1)="住宅",INDIRECT("'数据-取费表'!s"&amp;$G$1),INDIRECT("'数据-取费表'!k"&amp;$G$1)+INDIRECT("'数据-取费表'!s"&amp;$G$1)))</f>
        <v>29587.64</v>
      </c>
      <c r="E10" s="217">
        <f>'数据-取费表'!B28</f>
        <v>30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29587.64</v>
      </c>
      <c r="E19" s="203">
        <f>'数据-取费表'!B31</f>
        <v>200</v>
      </c>
      <c r="F19" s="223"/>
      <c r="G19" s="1713" t="s">
        <v>3439</v>
      </c>
    </row>
    <row r="20" spans="1:7" s="206" customFormat="1" ht="13.5" customHeight="1">
      <c r="A20" s="247" t="s">
        <v>1493</v>
      </c>
      <c r="B20" s="202" t="s">
        <v>1494</v>
      </c>
      <c r="C20" s="224">
        <f ca="1">ROUND((C5+C19)*F20,0)</f>
        <v>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71</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70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115</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115</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2674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8254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7297</v>
      </c>
      <c r="D34" s="209"/>
      <c r="E34" s="212"/>
      <c r="F34" s="249">
        <f ca="1">IF('数据-取费表'!B24=0,1,IF(B1="",'数据-取费表'!N16,INDIRECT("'数据-取费表'!n"&amp;$G$1)))</f>
        <v>1</v>
      </c>
      <c r="G34" s="211" t="s">
        <v>1526</v>
      </c>
    </row>
    <row r="35" spans="1:7" ht="13.5" customHeight="1">
      <c r="A35" s="734" t="s">
        <v>351</v>
      </c>
      <c r="B35" s="207" t="s">
        <v>1527</v>
      </c>
      <c r="C35" s="212">
        <f ca="1">ROUND(C34*F35,0)</f>
        <v>219</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592</v>
      </c>
      <c r="D37" s="209">
        <f ca="1">D19</f>
        <v>29587.64</v>
      </c>
      <c r="E37" s="241">
        <f>'数据-取费表'!B35</f>
        <v>200</v>
      </c>
      <c r="F37" s="251"/>
      <c r="G37" s="253" t="s">
        <v>1532</v>
      </c>
    </row>
    <row r="38" spans="1:7" ht="13.5" customHeight="1">
      <c r="A38" s="734" t="s">
        <v>354</v>
      </c>
      <c r="B38" s="207" t="s">
        <v>1533</v>
      </c>
      <c r="C38" s="212">
        <f ca="1">ROUND(C34*F38,0)</f>
        <v>146</v>
      </c>
      <c r="D38" s="212"/>
      <c r="E38" s="212"/>
      <c r="F38" s="251">
        <f>'数据-取费表'!B36</f>
        <v>0.02</v>
      </c>
      <c r="G38" s="211" t="s">
        <v>1528</v>
      </c>
    </row>
    <row r="39" spans="1:7" s="206" customFormat="1" ht="13.5" customHeight="1">
      <c r="A39" s="247" t="s">
        <v>1534</v>
      </c>
      <c r="B39" s="202" t="s">
        <v>1535</v>
      </c>
      <c r="C39" s="224">
        <f ca="1">ROUND(C33*F20,0)</f>
        <v>165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128</v>
      </c>
      <c r="D42" s="230"/>
      <c r="E42" s="230"/>
      <c r="F42" s="231"/>
      <c r="G42" s="3374" t="s">
        <v>1544</v>
      </c>
    </row>
    <row r="43" spans="1:7" ht="13.5" customHeight="1">
      <c r="A43" s="734" t="s">
        <v>347</v>
      </c>
      <c r="B43" s="207" t="s">
        <v>1545</v>
      </c>
      <c r="C43" s="230">
        <f ca="1">ROUND(IF('数据-取费表'!B22&lt;=1,C39*F22*'数据-取费表'!B21/2,C39*(POWER((1+F22),'数据-取费表'!B21/2)-1)),0)</f>
        <v>3</v>
      </c>
      <c r="D43" s="230"/>
      <c r="E43" s="230"/>
      <c r="F43" s="231"/>
      <c r="G43" s="3375"/>
    </row>
    <row r="44" spans="1:7" ht="13.5" customHeight="1">
      <c r="A44" s="734" t="s">
        <v>348</v>
      </c>
      <c r="B44" s="207" t="s">
        <v>1546</v>
      </c>
      <c r="C44" s="230">
        <f ca="1">ROUND(IF('数据-取费表'!B22&lt;=1,C40*F22*'数据-取费表'!B21/2,C40*(POWER((1+F22),'数据-取费表'!B21/2)-1)),4)</f>
        <v>2.9999999999999997E-4</v>
      </c>
      <c r="D44" s="230"/>
      <c r="E44" s="230"/>
      <c r="F44" s="231"/>
      <c r="G44" s="3376"/>
    </row>
    <row r="45" spans="1:7" s="206" customFormat="1" ht="13.5" customHeight="1">
      <c r="A45" s="247" t="s">
        <v>1547</v>
      </c>
      <c r="B45" s="236" t="s">
        <v>1513</v>
      </c>
      <c r="C45" s="237">
        <f ca="1">C46</f>
        <v>421</v>
      </c>
      <c r="D45" s="227">
        <f ca="1">C47</f>
        <v>1E-3</v>
      </c>
      <c r="E45" s="228" t="s">
        <v>1539</v>
      </c>
      <c r="F45" s="238">
        <f ca="1">F27</f>
        <v>0.05</v>
      </c>
      <c r="G45" s="239" t="s">
        <v>1548</v>
      </c>
    </row>
    <row r="46" spans="1:7" s="206" customFormat="1" ht="13.5" customHeight="1">
      <c r="A46" s="734" t="s">
        <v>346</v>
      </c>
      <c r="B46" s="240" t="s">
        <v>1549</v>
      </c>
      <c r="C46" s="241">
        <f ca="1">ROUND((C33+C39)*F27,0)</f>
        <v>421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9685</v>
      </c>
      <c r="D49" s="224"/>
      <c r="E49" s="224"/>
      <c r="F49" s="256"/>
      <c r="G49" s="226" t="s">
        <v>1554</v>
      </c>
    </row>
    <row r="50" spans="1:7" s="250" customFormat="1" ht="24">
      <c r="A50" s="247" t="s">
        <v>1555</v>
      </c>
      <c r="B50" s="202" t="s">
        <v>1556</v>
      </c>
      <c r="C50" s="224"/>
      <c r="D50" s="224"/>
      <c r="E50" s="224"/>
      <c r="F50" s="256">
        <f>IF('数据-取费表'!B24=0,'数据-取费表'!N16,1)</f>
        <v>0.86</v>
      </c>
      <c r="G50" s="239" t="s">
        <v>1557</v>
      </c>
    </row>
    <row r="51" spans="1:7" ht="16.5" customHeight="1">
      <c r="A51" s="247" t="s">
        <v>1558</v>
      </c>
      <c r="B51" s="202" t="s">
        <v>1559</v>
      </c>
      <c r="C51" s="224">
        <f ca="1">ROUND(C49*F50,0)</f>
        <v>8329</v>
      </c>
      <c r="D51" s="224"/>
      <c r="E51" s="224"/>
      <c r="F51" s="256"/>
      <c r="G51" s="226" t="s">
        <v>1560</v>
      </c>
    </row>
    <row r="52" spans="1:7" s="200" customFormat="1" ht="16.8" thickBot="1">
      <c r="A52" s="257" t="s">
        <v>1561</v>
      </c>
      <c r="B52" s="258"/>
      <c r="C52" s="259">
        <f ca="1">C31+C51</f>
        <v>11003</v>
      </c>
      <c r="D52" s="258"/>
      <c r="E52" s="258"/>
      <c r="F52" s="258"/>
      <c r="G52" s="260"/>
    </row>
    <row r="55" spans="1:7" ht="15">
      <c r="B55" s="262" t="s">
        <v>1562</v>
      </c>
      <c r="C55" s="263"/>
    </row>
    <row r="56" spans="1:7">
      <c r="B56" s="265" t="s">
        <v>802</v>
      </c>
      <c r="C56" s="267">
        <f ca="1">1-C57</f>
        <v>0.24299999999999999</v>
      </c>
    </row>
    <row r="57" spans="1:7">
      <c r="B57" s="265" t="s">
        <v>803</v>
      </c>
      <c r="C57" s="266">
        <f ca="1">ROUND(C51/C52,3)</f>
        <v>0.75700000000000001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9" t="str">
        <f>项目基本情况!B1</f>
        <v>河北省廊坊市三河市燕郊开发区燕新大街1号房地产抵押价值预评估</v>
      </c>
      <c r="C37" s="3189"/>
      <c r="D37" s="3189"/>
      <c r="E37" s="3189"/>
      <c r="F37" s="3189"/>
      <c r="G37" s="3189"/>
      <c r="H37" s="3189"/>
      <c r="I37" s="318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17">
        <f ca="1">ROUND(IF(D2="——",C52/10000,C52/10000-E2),4)</f>
        <v>9137.8403999999991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3088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887629</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887629</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887629</v>
      </c>
      <c r="D10" s="795">
        <f ca="1">IF(B1="",'数据-汇总表'!E6,IF(INDIRECT("'数据-取费表'!c"&amp;$G$1)="住宅",INDIRECT("'数据-取费表'!s"&amp;$G$1),INDIRECT("'数据-取费表'!k"&amp;$G$1)+INDIRECT("'数据-取费表'!s"&amp;$G$1)))</f>
        <v>29587.64</v>
      </c>
      <c r="E10" s="217">
        <f>'数据-取费表'!B28</f>
        <v>30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5917528</v>
      </c>
      <c r="D19" s="204">
        <f ca="1">D9+D10</f>
        <v>29587.64</v>
      </c>
      <c r="E19" s="203">
        <f>'数据-取费表'!B31</f>
        <v>200</v>
      </c>
      <c r="F19" s="223"/>
      <c r="G19" s="1713"/>
    </row>
    <row r="20" spans="1:7" s="206" customFormat="1" ht="13.5" customHeight="1">
      <c r="A20" s="247" t="s">
        <v>1574</v>
      </c>
      <c r="B20" s="202" t="s">
        <v>1575</v>
      </c>
      <c r="C20" s="224">
        <f ca="1">ROUND((C5+C19)*F20,0)</f>
        <v>136103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213069</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27516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183443</v>
      </c>
      <c r="D24" s="230"/>
      <c r="E24" s="230"/>
      <c r="F24" s="231"/>
      <c r="G24" s="232" t="s">
        <v>1586</v>
      </c>
    </row>
    <row r="25" spans="1:7" s="206" customFormat="1" ht="24">
      <c r="A25" s="734" t="s">
        <v>1476</v>
      </c>
      <c r="B25" s="207" t="s">
        <v>1587</v>
      </c>
      <c r="C25" s="230">
        <f ca="1">ROUND(IF('数据-取费表'!B22&lt;=1,C20*F22*'数据-取费表'!B22/2,C20*(POWER((1+F22),'数据-取费表'!B22/2)-1)),0)</f>
        <v>2110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347063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347063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8098232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82535578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72969572</v>
      </c>
      <c r="D34" s="209"/>
      <c r="E34" s="212"/>
      <c r="F34" s="249"/>
      <c r="G34" s="211"/>
    </row>
    <row r="35" spans="1:7" ht="13.5" customHeight="1">
      <c r="A35" s="734" t="s">
        <v>351</v>
      </c>
      <c r="B35" s="207" t="s">
        <v>1527</v>
      </c>
      <c r="C35" s="212">
        <f ca="1">ROUND(C34*F35,0)</f>
        <v>2189087</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5917528</v>
      </c>
      <c r="D37" s="209">
        <f ca="1">D19</f>
        <v>29587.64</v>
      </c>
      <c r="E37" s="241">
        <f>'数据-取费表'!B35</f>
        <v>200</v>
      </c>
      <c r="F37" s="251"/>
      <c r="G37" s="253"/>
    </row>
    <row r="38" spans="1:7" ht="13.5" customHeight="1">
      <c r="A38" s="734" t="s">
        <v>354</v>
      </c>
      <c r="B38" s="207" t="s">
        <v>1533</v>
      </c>
      <c r="C38" s="212">
        <f ca="1">ROUND(C34*F38,0)</f>
        <v>1459391</v>
      </c>
      <c r="D38" s="212"/>
      <c r="E38" s="212"/>
      <c r="F38" s="251">
        <f>'数据-取费表'!B36</f>
        <v>0.02</v>
      </c>
      <c r="G38" s="211" t="s">
        <v>1528</v>
      </c>
    </row>
    <row r="39" spans="1:7" s="206" customFormat="1" ht="13.5" customHeight="1">
      <c r="A39" s="247" t="s">
        <v>1534</v>
      </c>
      <c r="B39" s="202" t="s">
        <v>1535</v>
      </c>
      <c r="C39" s="224">
        <f ca="1">ROUND(C33*F20,0)</f>
        <v>1650712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1304887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1279301</v>
      </c>
      <c r="D42" s="230"/>
      <c r="E42" s="230"/>
      <c r="F42" s="231"/>
      <c r="G42" s="3374" t="s">
        <v>1591</v>
      </c>
    </row>
    <row r="43" spans="1:7" ht="13.5" customHeight="1">
      <c r="A43" s="734" t="s">
        <v>347</v>
      </c>
      <c r="B43" s="207" t="s">
        <v>1545</v>
      </c>
      <c r="C43" s="230">
        <f ca="1">ROUND(IF('数据-取费表'!B22&lt;=1,C39*F22*'数据-取费表'!B20/2,C39*(POWER((1+F22),'数据-取费表'!B20/2)-1)),0)</f>
        <v>25586</v>
      </c>
      <c r="D43" s="230"/>
      <c r="E43" s="230"/>
      <c r="F43" s="231"/>
      <c r="G43" s="3375"/>
    </row>
    <row r="44" spans="1:7" ht="13.5" customHeight="1">
      <c r="A44" s="734" t="s">
        <v>348</v>
      </c>
      <c r="B44" s="207" t="s">
        <v>1546</v>
      </c>
      <c r="C44" s="230">
        <f ca="1">ROUND(IF('数据-取费表'!B22&lt;=1,C40*F22*'数据-取费表'!B20/2,C40*(POWER((1+F22),'数据-取费表'!B20/2)-1)),4)</f>
        <v>2.9999999999999997E-4</v>
      </c>
      <c r="D44" s="230"/>
      <c r="E44" s="230"/>
      <c r="F44" s="231"/>
      <c r="G44" s="3376"/>
    </row>
    <row r="45" spans="1:7" s="206" customFormat="1" ht="13.5" customHeight="1">
      <c r="A45" s="247" t="s">
        <v>1547</v>
      </c>
      <c r="B45" s="236" t="s">
        <v>1513</v>
      </c>
      <c r="C45" s="237">
        <f ca="1">C46</f>
        <v>4209315</v>
      </c>
      <c r="D45" s="227">
        <f ca="1">C47</f>
        <v>1E-3</v>
      </c>
      <c r="E45" s="228" t="s">
        <v>1539</v>
      </c>
      <c r="F45" s="238">
        <f ca="1">F27</f>
        <v>0.05</v>
      </c>
      <c r="G45" s="239" t="s">
        <v>1548</v>
      </c>
    </row>
    <row r="46" spans="1:7" s="206" customFormat="1" ht="13.5" customHeight="1">
      <c r="A46" s="734" t="s">
        <v>346</v>
      </c>
      <c r="B46" s="240" t="s">
        <v>1549</v>
      </c>
      <c r="C46" s="241">
        <f ca="1">ROUND((C33+C39)*F27,0)</f>
        <v>4209315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96837409</v>
      </c>
      <c r="D49" s="224"/>
      <c r="E49" s="224"/>
      <c r="F49" s="256"/>
      <c r="G49" s="226" t="s">
        <v>1554</v>
      </c>
    </row>
    <row r="50" spans="1:7" s="250" customFormat="1">
      <c r="A50" s="247" t="s">
        <v>1555</v>
      </c>
      <c r="B50" s="202" t="s">
        <v>1556</v>
      </c>
      <c r="C50" s="224"/>
      <c r="D50" s="224"/>
      <c r="E50" s="224"/>
      <c r="F50" s="256">
        <f>IF('数据-取费表'!B24=0,'数据-取费表'!N16,1)</f>
        <v>0.86</v>
      </c>
      <c r="G50" s="239"/>
    </row>
    <row r="51" spans="1:7" ht="16.5" customHeight="1">
      <c r="A51" s="247" t="s">
        <v>1558</v>
      </c>
      <c r="B51" s="202" t="s">
        <v>1593</v>
      </c>
      <c r="C51" s="224">
        <f ca="1">ROUND(C49*F50,0)</f>
        <v>83280172</v>
      </c>
      <c r="D51" s="224"/>
      <c r="E51" s="224"/>
      <c r="F51" s="256"/>
      <c r="G51" s="226" t="s">
        <v>1560</v>
      </c>
    </row>
    <row r="52" spans="1:7" s="200" customFormat="1" ht="16.8" thickBot="1">
      <c r="A52" s="257" t="s">
        <v>1561</v>
      </c>
      <c r="B52" s="258"/>
      <c r="C52" s="259">
        <f ca="1">C31+C51</f>
        <v>91378404</v>
      </c>
      <c r="D52" s="258"/>
      <c r="E52" s="258"/>
      <c r="F52" s="258"/>
      <c r="G52" s="260"/>
    </row>
    <row r="55" spans="1:7" ht="15">
      <c r="B55" s="262" t="s">
        <v>1562</v>
      </c>
      <c r="C55" s="263"/>
    </row>
    <row r="56" spans="1:7">
      <c r="B56" s="265" t="s">
        <v>802</v>
      </c>
      <c r="C56" s="267">
        <f ca="1">1-C57</f>
        <v>8.8999999999999968E-2</v>
      </c>
    </row>
    <row r="57" spans="1:7">
      <c r="B57" s="265" t="s">
        <v>803</v>
      </c>
      <c r="C57" s="266">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2"/>
      <c r="F1" s="2562"/>
      <c r="G1" s="2443"/>
      <c r="H1" s="2562"/>
      <c r="I1" s="2562"/>
      <c r="J1" s="2562"/>
      <c r="K1" s="2563">
        <f>MATCH(C1,'数据-取费表'!A6:A16,0)+5</f>
        <v>7</v>
      </c>
    </row>
    <row r="2" spans="1:33" ht="18" customHeight="1">
      <c r="A2" s="193" t="s">
        <v>1462</v>
      </c>
      <c r="B2" s="196">
        <f ca="1">C32</f>
        <v>0</v>
      </c>
      <c r="C2" s="268" t="s">
        <v>1595</v>
      </c>
      <c r="D2" s="268"/>
      <c r="E2" s="2562"/>
      <c r="F2" s="2562"/>
      <c r="G2" s="2562"/>
      <c r="H2" s="2562"/>
      <c r="I2" s="2562"/>
      <c r="J2" s="2562"/>
      <c r="K2" s="2562"/>
    </row>
    <row r="3" spans="1:33" ht="18" customHeight="1" thickBot="1">
      <c r="A3" s="195" t="s">
        <v>1464</v>
      </c>
      <c r="B3" s="196">
        <f ca="1">ROUND(B2*10000/IF(C1="",'数据-汇总表'!E3,INDIRECT("'数据-取费表'!K"&amp;$K$1)),0)</f>
        <v>0</v>
      </c>
      <c r="C3" s="268" t="s">
        <v>1596</v>
      </c>
      <c r="D3" s="268"/>
      <c r="E3" s="2562"/>
      <c r="F3" s="2562"/>
      <c r="G3" s="2562"/>
      <c r="H3" s="2562"/>
      <c r="I3" s="2562"/>
      <c r="J3" s="2562"/>
      <c r="K3" s="2562"/>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29587.64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29587.64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89</v>
      </c>
      <c r="D20" s="796">
        <f ca="1">IF(C1="",'数据-汇总表'!E6,IF(INDIRECT("'数据-取费表'!c"&amp;$K$1)="住宅",INDIRECT("'数据-取费表'!s"&amp;$K$1),INDIRECT("'数据-取费表'!k"&amp;$K$1)+INDIRECT("'数据-取费表'!s"&amp;$K$1)))</f>
        <v>29587.64</v>
      </c>
      <c r="E20" s="21">
        <f>'数据-取费表'!B28</f>
        <v>30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33.880000000000003</v>
      </c>
      <c r="G1" s="1286">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11092</v>
      </c>
      <c r="C2" s="1289" t="s">
        <v>805</v>
      </c>
      <c r="D2" s="1289"/>
      <c r="E2" s="1295"/>
      <c r="F2" s="1296"/>
      <c r="G2" s="2473"/>
      <c r="H2" s="2463"/>
      <c r="I2" s="2463"/>
      <c r="J2" s="2463"/>
      <c r="K2" s="2464"/>
      <c r="L2" s="2463"/>
      <c r="M2" s="2463"/>
    </row>
    <row r="3" spans="1:37" ht="18" customHeight="1" thickBot="1">
      <c r="A3" s="1297" t="s">
        <v>806</v>
      </c>
      <c r="B3" s="1298">
        <f ca="1">IF(ISERROR(B2*10000/F43),0,ROUND(B2*10000/F43,0))</f>
        <v>3749</v>
      </c>
      <c r="C3" s="1289" t="s">
        <v>807</v>
      </c>
      <c r="D3" s="1289"/>
      <c r="E3" s="1295"/>
      <c r="F3" s="1296"/>
      <c r="G3" s="2473"/>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779</v>
      </c>
      <c r="D5" s="1273" t="s">
        <v>693</v>
      </c>
      <c r="E5" s="1008"/>
      <c r="F5" s="1009"/>
      <c r="G5" s="1292"/>
      <c r="H5" s="291">
        <v>1</v>
      </c>
      <c r="I5" s="292" t="s">
        <v>692</v>
      </c>
      <c r="J5" s="1007">
        <f ca="1">J6+J10+J12</f>
        <v>0</v>
      </c>
      <c r="K5" s="1273" t="s">
        <v>693</v>
      </c>
      <c r="L5" s="1008"/>
      <c r="M5" s="1009"/>
    </row>
    <row r="6" spans="1:37" ht="18" customHeight="1">
      <c r="A6" s="1006" t="s">
        <v>398</v>
      </c>
      <c r="B6" s="3379" t="s">
        <v>694</v>
      </c>
      <c r="C6" s="1011">
        <f ca="1">ROUND(F6*F8*F7*(1-F9)/10000,0)</f>
        <v>778</v>
      </c>
      <c r="D6" s="147" t="s">
        <v>2109</v>
      </c>
      <c r="E6" s="294" t="s">
        <v>696</v>
      </c>
      <c r="F6" s="295">
        <f ca="1">INDIRECT("'数据-取费表'!u"&amp;$G$1)</f>
        <v>0.8</v>
      </c>
      <c r="G6" s="1292"/>
      <c r="H6" s="1006" t="s">
        <v>398</v>
      </c>
      <c r="I6" s="3379" t="s">
        <v>694</v>
      </c>
      <c r="J6" s="293">
        <f ca="1">ROUND(M6*M8*M7*(1-M9)/10000,0)</f>
        <v>0</v>
      </c>
      <c r="K6" s="147" t="s">
        <v>2108</v>
      </c>
      <c r="L6" s="294" t="s">
        <v>696</v>
      </c>
      <c r="M6" s="295">
        <f ca="1">INDIRECT("'数据-取费表'!z"&amp;$G$1)</f>
        <v>0</v>
      </c>
    </row>
    <row r="7" spans="1:37" ht="18" customHeight="1">
      <c r="A7" s="1010"/>
      <c r="B7" s="3380"/>
      <c r="C7" s="1012"/>
      <c r="D7" s="299"/>
      <c r="E7" s="1013" t="s">
        <v>697</v>
      </c>
      <c r="F7" s="295">
        <f ca="1">IF(INDIRECT("'数据-取费表'!ah"&amp;$G$1)="",INDIRECT("'数据-取费表'!k"&amp;$G$1),INDIRECT("'数据-取费表'!ah"&amp;$G$1))</f>
        <v>29587.64</v>
      </c>
      <c r="G7" s="1292"/>
      <c r="H7" s="296"/>
      <c r="I7" s="3380"/>
      <c r="J7" s="298"/>
      <c r="K7" s="299"/>
      <c r="L7" s="294" t="s">
        <v>697</v>
      </c>
      <c r="M7" s="295">
        <f ca="1">F7</f>
        <v>29587.64</v>
      </c>
    </row>
    <row r="8" spans="1:37" ht="18" customHeight="1">
      <c r="A8" s="296"/>
      <c r="B8" s="3380"/>
      <c r="C8" s="298"/>
      <c r="D8" s="299"/>
      <c r="E8" s="294" t="s">
        <v>698</v>
      </c>
      <c r="F8" s="295">
        <f ca="1">INDIRECT("'数据-取费表'!ai"&amp;$G$1)</f>
        <v>365</v>
      </c>
      <c r="G8" s="1292"/>
      <c r="H8" s="296"/>
      <c r="I8" s="3380"/>
      <c r="J8" s="298"/>
      <c r="K8" s="299"/>
      <c r="L8" s="294" t="s">
        <v>698</v>
      </c>
      <c r="M8" s="295">
        <f ca="1">INDIRECT("'数据-取费表'!ai"&amp;$G$1)</f>
        <v>365</v>
      </c>
    </row>
    <row r="9" spans="1:37" ht="18" customHeight="1">
      <c r="A9" s="296"/>
      <c r="B9" s="3381"/>
      <c r="C9" s="298"/>
      <c r="D9" s="299"/>
      <c r="E9" s="294" t="s">
        <v>699</v>
      </c>
      <c r="F9" s="304">
        <f ca="1">INDIRECT("'数据-取费表'!w"&amp;$G$1)</f>
        <v>0.1</v>
      </c>
      <c r="G9" s="1292"/>
      <c r="H9" s="296"/>
      <c r="I9" s="3381"/>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3536</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8329</v>
      </c>
      <c r="D13" s="1018" t="s">
        <v>705</v>
      </c>
      <c r="E13" s="1018" t="s">
        <v>706</v>
      </c>
      <c r="F13" s="1019">
        <f ca="1">INDIRECT("'数据-取费表'!y"&amp;$G$1)</f>
        <v>0.86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7297</v>
      </c>
      <c r="D14" s="1257" t="s">
        <v>708</v>
      </c>
      <c r="E14" s="1255"/>
      <c r="F14" s="311"/>
      <c r="G14" s="1292"/>
      <c r="H14" s="928" t="s">
        <v>398</v>
      </c>
      <c r="I14" s="294" t="s">
        <v>709</v>
      </c>
      <c r="J14" s="21">
        <f ca="1">C29</f>
        <v>9685</v>
      </c>
      <c r="K14" s="12"/>
      <c r="L14" s="759"/>
      <c r="M14" s="760"/>
    </row>
    <row r="15" spans="1:37" s="1304" customFormat="1" ht="18" customHeight="1" thickBot="1">
      <c r="A15" s="928" t="s">
        <v>399</v>
      </c>
      <c r="B15" s="294" t="s">
        <v>710</v>
      </c>
      <c r="C15" s="21">
        <f ca="1">ROUND(C14*F15,0)</f>
        <v>219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97</v>
      </c>
      <c r="K16" s="1024" t="s">
        <v>715</v>
      </c>
      <c r="L16" s="1025"/>
      <c r="M16" s="1009"/>
    </row>
    <row r="17" spans="1:37" s="1304" customFormat="1" ht="18" customHeight="1">
      <c r="A17" s="928" t="s">
        <v>681</v>
      </c>
      <c r="B17" s="294" t="s">
        <v>716</v>
      </c>
      <c r="C17" s="21">
        <f ca="1">ROUND(F17*(F43+INDIRECT("'数据-取费表'!S"&amp;$G$1))/10000,0)</f>
        <v>592</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8254</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165</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24593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96.85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131</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-97</v>
      </c>
      <c r="K25" s="1032" t="s">
        <v>753</v>
      </c>
      <c r="L25" s="1033"/>
      <c r="M25" s="1034"/>
    </row>
    <row r="26" spans="1:37">
      <c r="A26" s="928" t="s">
        <v>397</v>
      </c>
      <c r="B26" s="294" t="s">
        <v>754</v>
      </c>
      <c r="C26" s="21">
        <f ca="1">ROUND((C19+C20)*F26,0)</f>
        <v>421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9685</v>
      </c>
      <c r="D29" s="1029"/>
      <c r="E29" s="1027"/>
      <c r="F29" s="1030"/>
      <c r="G29" s="1303"/>
      <c r="H29" s="325" t="s">
        <v>396</v>
      </c>
      <c r="I29" s="326" t="s">
        <v>768</v>
      </c>
      <c r="J29" s="327">
        <f ca="1">ROUND(J26/(1+F40)^F41,0)</f>
        <v>0</v>
      </c>
      <c r="K29" s="328" t="s">
        <v>769</v>
      </c>
      <c r="L29" s="329"/>
      <c r="M29" s="330">
        <f ca="1">INDIRECT("'数据-取费表'!k"&amp;$G$1)</f>
        <v>29587.64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247</v>
      </c>
      <c r="D30" s="1024" t="s">
        <v>715</v>
      </c>
      <c r="E30" s="1025"/>
      <c r="F30" s="1009"/>
      <c r="G30" s="1292"/>
      <c r="H30" s="2465"/>
      <c r="I30" s="1305"/>
      <c r="J30" s="1306"/>
      <c r="K30" s="121"/>
      <c r="L30" s="2466"/>
      <c r="M30" s="2467"/>
    </row>
    <row r="31" spans="1:37" ht="18" customHeight="1">
      <c r="A31" s="928" t="s">
        <v>398</v>
      </c>
      <c r="B31" s="294" t="s">
        <v>719</v>
      </c>
      <c r="C31" s="2139">
        <f ca="1">ROUND(IF(AND(项目基本情况!B11="自然人",项目基本情况!B10="北京市"),C6*F31/(1+'数据-取费表'!C42),C32+C33+C34),2)</f>
        <v>129.66</v>
      </c>
      <c r="D31" s="1257" t="s">
        <v>720</v>
      </c>
      <c r="E31" s="1256" t="s">
        <v>770</v>
      </c>
      <c r="F31" s="2138" t="str">
        <f>IF(项目基本情况!B11="企业","——",IF(M47="住宅",IF(F6*F7*F8/12/(1+'数据-取费表'!F30)&gt;100000,4%,2.5%),IF(F6*F7*F8/12/(1+'数据-取费表'!F30)&gt;100000,12%,7%)))</f>
        <v>——</v>
      </c>
      <c r="G31" s="1292"/>
      <c r="H31" s="2564" t="s">
        <v>2306</v>
      </c>
      <c r="I31" s="1305"/>
      <c r="J31" s="1306"/>
      <c r="K31" s="121"/>
      <c r="L31" s="2466"/>
      <c r="M31" s="2467"/>
    </row>
    <row r="32" spans="1:37" ht="18" customHeight="1">
      <c r="A32" s="928" t="s">
        <v>397</v>
      </c>
      <c r="B32" s="294" t="s">
        <v>723</v>
      </c>
      <c r="C32" s="21">
        <f ca="1">IF(项目基本情况!B11="自然人","——",ROUND(C6*F32/(1+'数据-取费表'!C42),2))</f>
        <v>40.75</v>
      </c>
      <c r="D32" s="1256" t="s">
        <v>724</v>
      </c>
      <c r="E32" s="294" t="s">
        <v>712</v>
      </c>
      <c r="F32" s="322">
        <f>'数据-取费表'!B41</f>
        <v>5.5000000000000007E-2</v>
      </c>
      <c r="G32" s="1292"/>
      <c r="H32" s="2465"/>
      <c r="I32" s="1305"/>
      <c r="J32" s="1306"/>
      <c r="K32" s="121"/>
      <c r="L32" s="2466"/>
      <c r="M32" s="2467"/>
    </row>
    <row r="33" spans="1:18" ht="18" customHeight="1">
      <c r="A33" s="928" t="s">
        <v>399</v>
      </c>
      <c r="B33" s="294" t="s">
        <v>727</v>
      </c>
      <c r="C33" s="21">
        <f ca="1">IF(项目基本情况!B11="自然人","——",IF(D33="按租金收入计税",ROUND(C6*F33/(1+'数据-取费表'!C42),2),IF(D33="按房产原值计税",ROUND(C29*F33*0.7,2),INDIRECT("'数据-取费表'!Aj"&amp;$G$1))))</f>
        <v>88.91</v>
      </c>
      <c r="D33" s="1278" t="s">
        <v>3336</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f ca="1">IF(项目基本情况!B11="自然人","——",ROUND(F34*F35/10000,2))</f>
        <v>0</v>
      </c>
      <c r="D34" s="316" t="s">
        <v>731</v>
      </c>
      <c r="E34" s="294" t="s">
        <v>732</v>
      </c>
      <c r="F34" s="317">
        <f>'数据-取费表'!B52</f>
        <v>0</v>
      </c>
      <c r="G34" s="1292"/>
      <c r="H34" s="2465"/>
      <c r="I34" s="1305"/>
      <c r="J34" s="1306"/>
      <c r="K34" s="2470"/>
      <c r="L34" s="2471"/>
      <c r="M34" s="2471"/>
    </row>
    <row r="35" spans="1:18" ht="18" customHeight="1">
      <c r="A35" s="1040"/>
      <c r="B35" s="1038"/>
      <c r="C35" s="26"/>
      <c r="D35" s="319"/>
      <c r="E35" s="294" t="s">
        <v>736</v>
      </c>
      <c r="F35" s="295">
        <f ca="1">INDIRECT("'数据-取费表'!r"&amp;$G$1)</f>
        <v>24593</v>
      </c>
      <c r="G35" s="1292"/>
      <c r="H35" s="2465"/>
      <c r="I35" s="1305"/>
      <c r="J35" s="1306"/>
      <c r="K35" s="2469"/>
      <c r="L35" s="2468"/>
      <c r="M35" s="2468"/>
    </row>
    <row r="36" spans="1:18" ht="18" customHeight="1">
      <c r="A36" s="1039" t="s">
        <v>402</v>
      </c>
      <c r="B36" s="294" t="s">
        <v>738</v>
      </c>
      <c r="C36" s="21">
        <f ca="1">ROUND(C29*F36,2)</f>
        <v>96.85</v>
      </c>
      <c r="D36" s="1256" t="s">
        <v>771</v>
      </c>
      <c r="E36" s="294" t="s">
        <v>712</v>
      </c>
      <c r="F36" s="320">
        <f ca="1">INDIRECT("'数据-取费表'!Ak"&amp;$G$1)</f>
        <v>0.01</v>
      </c>
      <c r="G36" s="1292"/>
      <c r="H36" s="2468"/>
      <c r="I36" s="1305"/>
      <c r="J36" s="1306"/>
      <c r="K36" s="2326"/>
      <c r="L36" s="2468"/>
      <c r="M36" s="2468"/>
    </row>
    <row r="37" spans="1:18" ht="18" customHeight="1">
      <c r="A37" s="928" t="s">
        <v>437</v>
      </c>
      <c r="B37" s="294" t="s">
        <v>742</v>
      </c>
      <c r="C37" s="21">
        <f ca="1">ROUND(C13*F37,2)</f>
        <v>12.49</v>
      </c>
      <c r="D37" s="1256" t="s">
        <v>743</v>
      </c>
      <c r="E37" s="294" t="s">
        <v>744</v>
      </c>
      <c r="F37" s="321">
        <f ca="1">INDIRECT("'数据-取费表'!Al"&amp;$G$1)</f>
        <v>1.5E-3</v>
      </c>
      <c r="G37" s="1292"/>
      <c r="H37" s="2468"/>
      <c r="I37" s="1305"/>
      <c r="J37" s="1306"/>
      <c r="K37" s="2326"/>
      <c r="L37" s="2468"/>
      <c r="M37" s="2468"/>
    </row>
    <row r="38" spans="1:18" ht="18" customHeight="1" thickBot="1">
      <c r="A38" s="1026" t="s">
        <v>684</v>
      </c>
      <c r="B38" s="1027" t="s">
        <v>728</v>
      </c>
      <c r="C38" s="1028">
        <f ca="1">ROUND(C5*F38,2)</f>
        <v>7.79</v>
      </c>
      <c r="D38" s="1029" t="s">
        <v>748</v>
      </c>
      <c r="E38" s="1027" t="s">
        <v>744</v>
      </c>
      <c r="F38" s="1023">
        <f ca="1">INDIRECT("'数据-取费表'!Am"&amp;$G$1)</f>
        <v>0.01</v>
      </c>
      <c r="G38" s="1292"/>
      <c r="H38" s="2468"/>
      <c r="I38" s="1305"/>
      <c r="J38" s="1306"/>
      <c r="K38" s="2466"/>
      <c r="L38" s="2468"/>
      <c r="M38" s="2468"/>
    </row>
    <row r="39" spans="1:18" ht="24.6" customHeight="1" thickTop="1">
      <c r="A39" s="1016" t="s">
        <v>394</v>
      </c>
      <c r="B39" s="1031" t="s">
        <v>772</v>
      </c>
      <c r="C39" s="302">
        <f ca="1">C5-C30</f>
        <v>532</v>
      </c>
      <c r="D39" s="1032" t="s">
        <v>773</v>
      </c>
      <c r="E39" s="1033"/>
      <c r="F39" s="1034"/>
      <c r="G39" s="1292"/>
      <c r="H39" s="2468"/>
      <c r="I39" s="1305"/>
      <c r="J39" s="1306"/>
      <c r="K39" s="2466"/>
      <c r="L39" s="2468"/>
      <c r="M39" s="2468"/>
    </row>
    <row r="40" spans="1:18" ht="18" customHeight="1">
      <c r="A40" s="291" t="s">
        <v>395</v>
      </c>
      <c r="B40" s="292" t="s">
        <v>774</v>
      </c>
      <c r="C40" s="293">
        <f ca="1">ROUND(C39*(1-((1+F42)/(1+F40))^F41)/(F40-F42),0)</f>
        <v>11092</v>
      </c>
      <c r="D40" s="316" t="s">
        <v>758</v>
      </c>
      <c r="E40" s="294" t="s">
        <v>759</v>
      </c>
      <c r="F40" s="304">
        <f ca="1">INDIRECT("'数据-取费表'!I"&amp;$G$1)</f>
        <v>0.05</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33.880000000000003</v>
      </c>
      <c r="G41" s="1292"/>
      <c r="H41" s="121"/>
      <c r="I41" s="1305"/>
      <c r="J41" s="1306"/>
      <c r="K41" s="2326"/>
      <c r="L41" s="121"/>
      <c r="M41" s="121"/>
    </row>
    <row r="42" spans="1:18" ht="18" customHeight="1">
      <c r="A42" s="300"/>
      <c r="B42" s="301"/>
      <c r="C42" s="302"/>
      <c r="D42" s="319"/>
      <c r="E42" s="294" t="s">
        <v>766</v>
      </c>
      <c r="F42" s="304">
        <f ca="1">INDIRECT("'数据-取费表'!v"&amp;$G$1)</f>
        <v>0.02</v>
      </c>
      <c r="G42" s="1292"/>
      <c r="H42" s="121"/>
      <c r="I42" s="1305"/>
      <c r="J42" s="1306"/>
      <c r="K42" s="2326"/>
      <c r="L42" s="121"/>
      <c r="M42" s="121"/>
    </row>
    <row r="43" spans="1:18" ht="18" customHeight="1" thickBot="1">
      <c r="A43" s="325" t="s">
        <v>396</v>
      </c>
      <c r="B43" s="326" t="s">
        <v>776</v>
      </c>
      <c r="C43" s="327">
        <f ca="1">ROUND(C40*10000/F43,0)</f>
        <v>3749</v>
      </c>
      <c r="D43" s="328" t="s">
        <v>777</v>
      </c>
      <c r="E43" s="329" t="s">
        <v>778</v>
      </c>
      <c r="F43" s="330">
        <f ca="1">INDIRECT("'数据-取费表'!k"&amp;$G$1)</f>
        <v>29587.64</v>
      </c>
      <c r="G43" s="1292"/>
      <c r="H43" s="121"/>
      <c r="I43" s="121"/>
      <c r="J43" s="121"/>
      <c r="K43" s="2326"/>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2" t="s">
        <v>808</v>
      </c>
      <c r="P45" s="1366"/>
      <c r="Q45" s="1366"/>
      <c r="R45" s="1366"/>
    </row>
    <row r="46" spans="1:18" s="1292" customFormat="1" ht="13.8" thickBot="1">
      <c r="A46" s="1311" t="s">
        <v>809</v>
      </c>
      <c r="C46" s="1312">
        <f ca="1">C68-C40</f>
        <v>-12855</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3596</v>
      </c>
      <c r="K47" s="1323" t="s">
        <v>816</v>
      </c>
      <c r="L47" s="1324">
        <f ca="1">INDIRECT("'数据-取费表'!d"&amp;$G$1)</f>
        <v>50</v>
      </c>
      <c r="M47" s="1288" t="str">
        <f>IF(ISNUMBER(FIND("住宅",C1)),"住宅","非住宅")</f>
        <v>非住宅</v>
      </c>
      <c r="O47" s="1325" t="s">
        <v>403</v>
      </c>
      <c r="P47" s="1326" t="s">
        <v>817</v>
      </c>
      <c r="Q47" s="1327">
        <f ca="1">C40+J29</f>
        <v>11092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3537</v>
      </c>
      <c r="K48" s="1330" t="s">
        <v>820</v>
      </c>
      <c r="L48" s="1331">
        <f ca="1">INDIRECT("'数据-取费表'!f"&amp;$G$1)</f>
        <v>33.880000000000003</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'数据-取费表'!L20</f>
        <v>2010</v>
      </c>
      <c r="K49" s="1330" t="s">
        <v>824</v>
      </c>
      <c r="L49" s="1333"/>
      <c r="O49" s="1334" t="s">
        <v>405</v>
      </c>
      <c r="P49" s="1326" t="s">
        <v>825</v>
      </c>
      <c r="Q49" s="1327">
        <f ca="1">C29</f>
        <v>9685</v>
      </c>
      <c r="R49" s="1327" t="s">
        <v>818</v>
      </c>
    </row>
    <row r="50" spans="1:18" s="1292" customFormat="1" ht="13.8" thickBot="1">
      <c r="A50" s="922"/>
      <c r="B50" s="925"/>
      <c r="C50" s="1055"/>
      <c r="D50" s="899"/>
      <c r="E50" s="993" t="s">
        <v>697</v>
      </c>
      <c r="F50" s="994">
        <f ca="1">F7</f>
        <v>29587.64</v>
      </c>
      <c r="H50" s="682"/>
      <c r="I50" s="1328" t="s">
        <v>826</v>
      </c>
      <c r="J50" s="1335">
        <f>SUMPRODUCT((I63:I65=J47)*(J62:L62=J48)*(J63:L65))</f>
        <v>70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-1038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33.880000000000003</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33.880000000000003</v>
      </c>
      <c r="K53" s="3377" t="s">
        <v>837</v>
      </c>
      <c r="L53" s="3378"/>
      <c r="O53" s="1325" t="s">
        <v>409</v>
      </c>
      <c r="P53" s="1326" t="s">
        <v>838</v>
      </c>
      <c r="Q53" s="1327">
        <f ca="1">Q47+Q48</f>
        <v>11092</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8329</v>
      </c>
      <c r="D56" s="1352"/>
      <c r="E56" s="1353"/>
      <c r="F56" s="1345"/>
      <c r="I56" s="1354" t="s">
        <v>842</v>
      </c>
      <c r="J56" s="1355" t="s">
        <v>3429</v>
      </c>
      <c r="K56" s="1328" t="s">
        <v>843</v>
      </c>
      <c r="L56" s="1331" t="str">
        <f ca="1">IF(L48&lt;J51,"——",L48-J53)</f>
        <v>——</v>
      </c>
      <c r="O56" s="1325" t="s">
        <v>403</v>
      </c>
      <c r="P56" s="1326" t="s">
        <v>817</v>
      </c>
      <c r="Q56" s="1327">
        <f ca="1">C40+J29</f>
        <v>11092</v>
      </c>
      <c r="R56" s="1327" t="s">
        <v>818</v>
      </c>
    </row>
    <row r="57" spans="1:18" s="1292" customFormat="1" ht="24.6" thickBot="1">
      <c r="A57" s="1356"/>
      <c r="B57" s="896" t="s">
        <v>767</v>
      </c>
      <c r="C57" s="230">
        <f ca="1">C29</f>
        <v>9685</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109</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11092</v>
      </c>
      <c r="R62" s="1327" t="s">
        <v>410</v>
      </c>
    </row>
    <row r="63" spans="1:18" s="1292" customFormat="1" ht="13.8" thickBot="1">
      <c r="A63" s="318"/>
      <c r="B63" s="902"/>
      <c r="C63" s="26"/>
      <c r="D63" s="912"/>
      <c r="E63" s="896" t="s">
        <v>788</v>
      </c>
      <c r="F63" s="295">
        <f t="shared" ca="1" si="0"/>
        <v>24593</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96.85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12.49</v>
      </c>
      <c r="D65" s="910" t="s">
        <v>743</v>
      </c>
      <c r="E65" s="896" t="s">
        <v>744</v>
      </c>
      <c r="F65" s="321">
        <f t="shared" ca="1" si="0"/>
        <v>1.5E-3</v>
      </c>
      <c r="I65" s="1367" t="s">
        <v>867</v>
      </c>
      <c r="J65" s="610">
        <v>40</v>
      </c>
      <c r="K65" s="610">
        <v>30</v>
      </c>
      <c r="L65" s="610">
        <v>50</v>
      </c>
      <c r="M65" s="1369">
        <v>0.02</v>
      </c>
      <c r="O65" s="1325" t="s">
        <v>403</v>
      </c>
      <c r="P65" s="1326" t="s">
        <v>868</v>
      </c>
      <c r="Q65" s="1327">
        <f ca="1">C40+J29</f>
        <v>11092</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-109</v>
      </c>
      <c r="D67" s="909" t="s">
        <v>753</v>
      </c>
      <c r="E67" s="914"/>
      <c r="F67" s="915"/>
      <c r="O67" s="1334" t="s">
        <v>405</v>
      </c>
      <c r="P67" s="1326" t="s">
        <v>850</v>
      </c>
      <c r="Q67" s="1370">
        <f ca="1">L51</f>
        <v>-1038</v>
      </c>
      <c r="R67" s="1327" t="s">
        <v>870</v>
      </c>
    </row>
    <row r="68" spans="1:18" s="1292" customFormat="1" ht="16.2" thickBot="1">
      <c r="A68" s="893" t="s">
        <v>395</v>
      </c>
      <c r="B68" s="894" t="s">
        <v>774</v>
      </c>
      <c r="C68" s="293">
        <f ca="1">ROUND(C67*(1-((1+F70)/(1+F68))^F69)/(F68-F70),0)</f>
        <v>-1763</v>
      </c>
      <c r="D68" s="911" t="s">
        <v>758</v>
      </c>
      <c r="E68" s="896" t="s">
        <v>759</v>
      </c>
      <c r="F68" s="304">
        <f ca="1">F40</f>
        <v>0.05</v>
      </c>
      <c r="O68" s="1334" t="s">
        <v>406</v>
      </c>
      <c r="P68" s="1371" t="s">
        <v>871</v>
      </c>
      <c r="Q68" s="1327">
        <f ca="1">ROUND(Q69-Q70*Q71,0)</f>
        <v>-51</v>
      </c>
      <c r="R68" s="1327" t="s">
        <v>414</v>
      </c>
    </row>
    <row r="69" spans="1:18" s="1292" customFormat="1" ht="13.8" thickBot="1">
      <c r="A69" s="897"/>
      <c r="B69" s="898"/>
      <c r="C69" s="298"/>
      <c r="D69" s="916" t="s">
        <v>762</v>
      </c>
      <c r="E69" s="896" t="s">
        <v>763</v>
      </c>
      <c r="F69" s="324">
        <f ca="1">F41</f>
        <v>33.880000000000003</v>
      </c>
      <c r="O69" s="1334" t="s">
        <v>411</v>
      </c>
      <c r="P69" s="1371" t="s">
        <v>872</v>
      </c>
      <c r="Q69" s="1327">
        <f ca="1">C39</f>
        <v>532</v>
      </c>
      <c r="R69" s="1327" t="s">
        <v>818</v>
      </c>
    </row>
    <row r="70" spans="1:18" s="1292" customFormat="1" ht="13.8" thickBot="1">
      <c r="A70" s="900"/>
      <c r="B70" s="901"/>
      <c r="C70" s="302"/>
      <c r="D70" s="912"/>
      <c r="E70" s="896" t="s">
        <v>766</v>
      </c>
      <c r="F70" s="991"/>
      <c r="O70" s="1334" t="s">
        <v>412</v>
      </c>
      <c r="P70" s="1371" t="s">
        <v>873</v>
      </c>
      <c r="Q70" s="1327">
        <f ca="1">C13</f>
        <v>8329</v>
      </c>
      <c r="R70" s="1327" t="s">
        <v>818</v>
      </c>
    </row>
    <row r="71" spans="1:18" s="1292" customFormat="1" ht="13.8" thickBot="1">
      <c r="A71" s="917" t="s">
        <v>396</v>
      </c>
      <c r="B71" s="918" t="s">
        <v>776</v>
      </c>
      <c r="C71" s="327">
        <f ca="1">ROUND(C68*10000/F71,0)</f>
        <v>-596</v>
      </c>
      <c r="D71" s="919" t="s">
        <v>777</v>
      </c>
      <c r="E71" s="920" t="s">
        <v>778</v>
      </c>
      <c r="F71" s="330">
        <f ca="1">F43</f>
        <v>29587.64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583</v>
      </c>
      <c r="D75" s="1292"/>
      <c r="E75" s="1292"/>
      <c r="F75" s="1292"/>
      <c r="K75" s="1309"/>
      <c r="L75" s="1292"/>
      <c r="O75" s="1325" t="s">
        <v>409</v>
      </c>
      <c r="P75" s="1326" t="s">
        <v>838</v>
      </c>
      <c r="Q75" s="1327">
        <f ca="1">Q65+Q66</f>
        <v>11092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-9.6000000000000085E-2</v>
      </c>
    </row>
    <row r="80" spans="1:18">
      <c r="B80" s="331" t="s">
        <v>800</v>
      </c>
      <c r="C80" s="266">
        <f ca="1">ROUND(C75/C39,3)</f>
        <v>1.0960000000000001</v>
      </c>
    </row>
    <row r="81" spans="2:3">
      <c r="B81" s="262" t="s">
        <v>801</v>
      </c>
      <c r="C81" s="230"/>
    </row>
    <row r="82" spans="2:3">
      <c r="B82" s="265" t="s">
        <v>802</v>
      </c>
      <c r="C82" s="267">
        <f ca="1">1-C83</f>
        <v>0.249</v>
      </c>
    </row>
    <row r="83" spans="2:3">
      <c r="B83" s="265" t="s">
        <v>803</v>
      </c>
      <c r="C83" s="266">
        <f ca="1">ROUND(C13/C40,3)</f>
        <v>0.751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8" t="e">
        <f ca="1">ROUND(D2/10000,4)</f>
        <v>#DIV/0!</v>
      </c>
      <c r="C2" s="1289" t="s">
        <v>879</v>
      </c>
      <c r="D2" s="1375" t="e">
        <f ca="1">C40+J29+L46</f>
        <v>#DIV/0!</v>
      </c>
      <c r="E2" s="1295" t="s">
        <v>880</v>
      </c>
      <c r="F2" s="1296"/>
      <c r="G2" s="2473"/>
      <c r="H2" s="2463"/>
      <c r="I2" s="2463"/>
      <c r="J2" s="2463"/>
      <c r="K2" s="2464"/>
      <c r="L2" s="2463"/>
      <c r="M2" s="2463"/>
    </row>
    <row r="3" spans="1:37" ht="18" customHeight="1" thickBot="1">
      <c r="A3" s="1297" t="s">
        <v>881</v>
      </c>
      <c r="B3" s="1298">
        <f ca="1">IF(ISERROR(D2/F43),0,ROUND(D2/F43,0))</f>
        <v>0</v>
      </c>
      <c r="C3" s="1289" t="s">
        <v>882</v>
      </c>
      <c r="D3" s="1289"/>
      <c r="E3" s="1295"/>
      <c r="F3" s="1296"/>
      <c r="G3" s="2473"/>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9" t="s">
        <v>694</v>
      </c>
      <c r="C6" s="1011">
        <f ca="1">ROUND(F6*F8*F7*(1-F9),0)</f>
        <v>0</v>
      </c>
      <c r="D6" s="147" t="s">
        <v>2106</v>
      </c>
      <c r="E6" s="294" t="s">
        <v>696</v>
      </c>
      <c r="F6" s="295">
        <f ca="1">INDIRECT("'数据-取费表'!u"&amp;$G$1)</f>
        <v>0</v>
      </c>
      <c r="G6" s="1292"/>
      <c r="H6" s="1006" t="s">
        <v>398</v>
      </c>
      <c r="I6" s="3379" t="s">
        <v>694</v>
      </c>
      <c r="J6" s="293">
        <f ca="1">ROUND(M6*M8*M7*(1-M9),0)</f>
        <v>0</v>
      </c>
      <c r="K6" s="1284" t="s">
        <v>2107</v>
      </c>
      <c r="L6" s="294" t="s">
        <v>696</v>
      </c>
      <c r="M6" s="295">
        <f ca="1">INDIRECT("'数据-取费表'!z"&amp;$G$1)</f>
        <v>0</v>
      </c>
    </row>
    <row r="7" spans="1:37" ht="18" customHeight="1">
      <c r="A7" s="1010"/>
      <c r="B7" s="3380"/>
      <c r="C7" s="1012"/>
      <c r="D7" s="299"/>
      <c r="E7" s="1013" t="s">
        <v>697</v>
      </c>
      <c r="F7" s="295">
        <f ca="1">IF(INDIRECT("'数据-取费表'!ah"&amp;$G$1)="",INDIRECT("'数据-取费表'!k"&amp;$G$1),INDIRECT("'数据-取费表'!ah"&amp;$G$1))</f>
        <v>0</v>
      </c>
      <c r="G7" s="1292"/>
      <c r="H7" s="296"/>
      <c r="I7" s="3380"/>
      <c r="J7" s="298"/>
      <c r="K7" s="299"/>
      <c r="L7" s="294" t="s">
        <v>697</v>
      </c>
      <c r="M7" s="295">
        <f ca="1">F7</f>
        <v>0</v>
      </c>
    </row>
    <row r="8" spans="1:37" ht="18" customHeight="1">
      <c r="A8" s="296"/>
      <c r="B8" s="3380"/>
      <c r="C8" s="298"/>
      <c r="D8" s="299"/>
      <c r="E8" s="294" t="s">
        <v>698</v>
      </c>
      <c r="F8" s="295">
        <f ca="1">INDIRECT("'数据-取费表'!ai"&amp;$G$1)</f>
        <v>0</v>
      </c>
      <c r="G8" s="1292"/>
      <c r="H8" s="296"/>
      <c r="I8" s="3380"/>
      <c r="J8" s="298"/>
      <c r="K8" s="299"/>
      <c r="L8" s="294" t="s">
        <v>698</v>
      </c>
      <c r="M8" s="295">
        <f ca="1">INDIRECT("'数据-取费表'!ai"&amp;$G$1)</f>
        <v>0</v>
      </c>
    </row>
    <row r="9" spans="1:37" ht="18" customHeight="1">
      <c r="A9" s="296"/>
      <c r="B9" s="3381"/>
      <c r="C9" s="298"/>
      <c r="D9" s="299"/>
      <c r="E9" s="294" t="s">
        <v>699</v>
      </c>
      <c r="F9" s="304">
        <f ca="1">INDIRECT("'数据-取费表'!w"&amp;$G$1)</f>
        <v>0</v>
      </c>
      <c r="G9" s="1292"/>
      <c r="H9" s="296"/>
      <c r="I9" s="338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5"/>
      <c r="I30" s="1305"/>
      <c r="J30" s="1306"/>
      <c r="K30" s="121"/>
      <c r="L30" s="2466"/>
      <c r="M30" s="2467"/>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4" t="s">
        <v>2306</v>
      </c>
      <c r="I31" s="1305"/>
      <c r="J31" s="1306"/>
      <c r="K31" s="121"/>
      <c r="L31" s="2466"/>
      <c r="M31" s="2467"/>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5"/>
      <c r="I32" s="1305"/>
      <c r="J32" s="1306"/>
      <c r="K32" s="121"/>
      <c r="L32" s="2466"/>
      <c r="M32" s="2467"/>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f ca="1">IF(项目基本情况!B11="自然人","——",ROUND(F34*F35,0))</f>
        <v>0</v>
      </c>
      <c r="D34" s="316" t="s">
        <v>731</v>
      </c>
      <c r="E34" s="294" t="s">
        <v>732</v>
      </c>
      <c r="F34" s="317">
        <f>'数据-取费表'!B52</f>
        <v>0</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ROUND(C29*F36,0)</f>
        <v>0</v>
      </c>
      <c r="D36" s="1256" t="s">
        <v>771</v>
      </c>
      <c r="E36" s="294" t="s">
        <v>712</v>
      </c>
      <c r="F36" s="320">
        <f ca="1">INDIRECT("'数据-取费表'!Ak"&amp;$G$1)</f>
        <v>0</v>
      </c>
      <c r="G36" s="1292"/>
      <c r="H36" s="2468"/>
      <c r="I36" s="1305"/>
      <c r="J36" s="1306"/>
      <c r="K36" s="2326"/>
      <c r="L36" s="2468"/>
      <c r="M36" s="2468"/>
    </row>
    <row r="37" spans="1:18" ht="18" customHeight="1">
      <c r="A37" s="928" t="s">
        <v>437</v>
      </c>
      <c r="B37" s="294" t="s">
        <v>742</v>
      </c>
      <c r="C37" s="21">
        <f ca="1">ROUND(C13*F37,0)</f>
        <v>0</v>
      </c>
      <c r="D37" s="1256" t="s">
        <v>743</v>
      </c>
      <c r="E37" s="294" t="s">
        <v>744</v>
      </c>
      <c r="F37" s="321">
        <f ca="1">INDIRECT("'数据-取费表'!Al"&amp;$G$1)</f>
        <v>0</v>
      </c>
      <c r="G37" s="1292"/>
      <c r="H37" s="2468"/>
      <c r="I37" s="1305"/>
      <c r="J37" s="1306"/>
      <c r="K37" s="2326"/>
      <c r="L37" s="2468"/>
      <c r="M37" s="2468"/>
    </row>
    <row r="38" spans="1:18" ht="18" customHeight="1" thickBot="1">
      <c r="A38" s="1026" t="s">
        <v>684</v>
      </c>
      <c r="B38" s="1027" t="s">
        <v>728</v>
      </c>
      <c r="C38" s="1028">
        <f ca="1">ROUND(C5*F38,0)</f>
        <v>0</v>
      </c>
      <c r="D38" s="1029" t="s">
        <v>748</v>
      </c>
      <c r="E38" s="1027" t="s">
        <v>744</v>
      </c>
      <c r="F38" s="1023">
        <f ca="1">INDIRECT("'数据-取费表'!Am"&amp;$G$1)</f>
        <v>0</v>
      </c>
      <c r="G38" s="1292"/>
      <c r="H38" s="2468"/>
      <c r="I38" s="1305"/>
      <c r="J38" s="1306"/>
      <c r="K38" s="2466"/>
      <c r="L38" s="2468"/>
      <c r="M38" s="2468"/>
    </row>
    <row r="39" spans="1:18" ht="24.6" customHeight="1" thickTop="1">
      <c r="A39" s="1016" t="s">
        <v>394</v>
      </c>
      <c r="B39" s="1031" t="s">
        <v>772</v>
      </c>
      <c r="C39" s="302">
        <f ca="1">C5-C30</f>
        <v>0</v>
      </c>
      <c r="D39" s="1032" t="s">
        <v>773</v>
      </c>
      <c r="E39" s="1033"/>
      <c r="F39" s="1034"/>
      <c r="G39" s="1292"/>
      <c r="H39" s="2468"/>
      <c r="I39" s="1305"/>
      <c r="J39" s="1306"/>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6"/>
      <c r="L41" s="121"/>
      <c r="M41" s="121"/>
    </row>
    <row r="42" spans="1:18" ht="18" customHeight="1">
      <c r="A42" s="300"/>
      <c r="B42" s="301"/>
      <c r="C42" s="302"/>
      <c r="D42" s="319"/>
      <c r="E42" s="294" t="s">
        <v>766</v>
      </c>
      <c r="F42" s="304">
        <f ca="1">INDIRECT("'数据-取费表'!v"&amp;$G$1)</f>
        <v>0</v>
      </c>
      <c r="G42" s="1292"/>
      <c r="H42" s="121"/>
      <c r="I42" s="1305"/>
      <c r="J42" s="1306"/>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6"/>
      <c r="L43" s="121"/>
      <c r="M43" s="121"/>
    </row>
    <row r="44" spans="1:18" s="1292" customFormat="1" ht="18" customHeight="1">
      <c r="A44" s="1307"/>
      <c r="B44" s="1307"/>
      <c r="C44" s="1308"/>
      <c r="D44" s="1307"/>
      <c r="E44" s="1307"/>
      <c r="F44" s="1307"/>
      <c r="K44" s="1309"/>
    </row>
    <row r="45" spans="1:18" s="1292" customFormat="1" ht="18" customHeight="1" thickBot="1">
      <c r="A45" s="3124" t="s">
        <v>3352</v>
      </c>
      <c r="B45" s="1307"/>
      <c r="C45" s="1376" t="e">
        <f ca="1">ROUND((C68-C40)/10000,4)</f>
        <v>#DIV/0!</v>
      </c>
      <c r="D45" s="3125" t="s">
        <v>3353</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77" t="s">
        <v>837</v>
      </c>
      <c r="L53" s="337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2435</v>
      </c>
      <c r="B1" s="2578"/>
      <c r="C1" s="2590"/>
      <c r="D1" s="2590"/>
      <c r="E1" s="2579"/>
      <c r="F1" s="2580"/>
      <c r="G1" s="2581"/>
      <c r="J1" s="2584" t="s">
        <v>2314</v>
      </c>
      <c r="K1" s="2585"/>
      <c r="L1" s="2585"/>
      <c r="M1" s="2585"/>
      <c r="N1" s="2585"/>
      <c r="O1" s="2585"/>
      <c r="P1" s="2585"/>
      <c r="Q1" s="2585"/>
      <c r="R1" s="2586"/>
      <c r="S1" s="2587"/>
      <c r="T1" s="2587"/>
      <c r="U1" s="2587"/>
    </row>
    <row r="2" spans="1:22" s="2599" customFormat="1" ht="13.2" customHeight="1">
      <c r="A2" s="1293" t="s">
        <v>2315</v>
      </c>
      <c r="B2" s="2589" t="e">
        <f>IF(D2="——",C40,C40+E2)</f>
        <v>#DIV/0!</v>
      </c>
      <c r="C2" s="2590" t="s">
        <v>2316</v>
      </c>
      <c r="D2" s="3133" t="s">
        <v>3359</v>
      </c>
      <c r="E2" s="3134"/>
      <c r="F2" s="2592"/>
      <c r="G2" s="2593"/>
      <c r="H2" s="2594"/>
      <c r="I2" s="2595"/>
      <c r="J2" s="3388" t="s">
        <v>2317</v>
      </c>
      <c r="K2" s="3389"/>
      <c r="L2" s="2596" t="s">
        <v>2318</v>
      </c>
      <c r="M2" s="2596" t="s">
        <v>2319</v>
      </c>
      <c r="N2" s="2596" t="s">
        <v>2320</v>
      </c>
      <c r="O2" s="2596" t="s">
        <v>2321</v>
      </c>
      <c r="P2" s="2596" t="s">
        <v>2322</v>
      </c>
      <c r="Q2" s="2597" t="s">
        <v>2323</v>
      </c>
      <c r="R2" s="2598" t="s">
        <v>2324</v>
      </c>
      <c r="S2" s="2587"/>
      <c r="T2" s="2587"/>
      <c r="U2" s="2587"/>
      <c r="V2" s="2595"/>
    </row>
    <row r="3" spans="1:22" s="2599" customFormat="1" ht="13.2" customHeight="1">
      <c r="A3" s="2600" t="s">
        <v>2325</v>
      </c>
      <c r="B3" s="2601" t="e">
        <f>ROUND(B2*10000/B4,0)</f>
        <v>#DIV/0!</v>
      </c>
      <c r="C3" s="2590" t="s">
        <v>2326</v>
      </c>
      <c r="D3" s="2590"/>
      <c r="E3" s="2591"/>
      <c r="F3" s="2592"/>
      <c r="G3" s="2593"/>
      <c r="H3" s="2594"/>
      <c r="I3" s="2595"/>
      <c r="J3" s="3390" t="s">
        <v>2327</v>
      </c>
      <c r="K3" s="3391"/>
      <c r="L3" s="2602"/>
      <c r="M3" s="2602"/>
      <c r="N3" s="2602"/>
      <c r="O3" s="2602"/>
      <c r="P3" s="2602"/>
      <c r="Q3" s="2603"/>
      <c r="R3" s="2604">
        <f>SUM(L3:Q3)</f>
        <v>0</v>
      </c>
      <c r="S3" s="2587"/>
      <c r="T3" s="2587"/>
      <c r="U3" s="2587"/>
      <c r="V3" s="2595"/>
    </row>
    <row r="4" spans="1:22" s="2599" customFormat="1" ht="13.2" customHeight="1">
      <c r="A4" s="2605" t="s">
        <v>2328</v>
      </c>
      <c r="B4" s="2606"/>
      <c r="C4" s="2590"/>
      <c r="D4" s="2590"/>
      <c r="E4" s="2591"/>
      <c r="F4" s="2592"/>
      <c r="G4" s="2593"/>
      <c r="H4" s="2594"/>
      <c r="I4" s="2595"/>
      <c r="J4" s="3390" t="s">
        <v>2329</v>
      </c>
      <c r="K4" s="3391"/>
      <c r="L4" s="2607"/>
      <c r="M4" s="2607"/>
      <c r="N4" s="2607"/>
      <c r="O4" s="2607"/>
      <c r="P4" s="2607"/>
      <c r="Q4" s="2608"/>
      <c r="R4" s="2609">
        <f>SUM(L4:Q4)</f>
        <v>0</v>
      </c>
      <c r="S4" s="2587"/>
      <c r="T4" s="2587"/>
      <c r="U4" s="2587"/>
      <c r="V4" s="2595"/>
    </row>
    <row r="5" spans="1:22" s="2599" customFormat="1" ht="13.2" customHeight="1" thickBot="1">
      <c r="A5" s="2610" t="s">
        <v>2330</v>
      </c>
      <c r="B5" s="2611"/>
      <c r="C5" s="2590"/>
      <c r="D5" s="2612"/>
      <c r="E5" s="2592"/>
      <c r="F5" s="2592"/>
      <c r="G5" s="2593"/>
      <c r="H5" s="2594"/>
      <c r="I5" s="2595"/>
      <c r="J5" s="2613" t="s">
        <v>2331</v>
      </c>
      <c r="K5" s="2614"/>
      <c r="L5" s="2614"/>
      <c r="M5" s="2615"/>
      <c r="N5" s="2615"/>
      <c r="O5" s="2615"/>
      <c r="P5" s="2615"/>
      <c r="Q5" s="2615"/>
      <c r="R5" s="2598">
        <f>SUM(R14,R19,R24,R25,R27,R28)</f>
        <v>0</v>
      </c>
      <c r="S5" s="2587"/>
      <c r="T5" s="2587" t="s">
        <v>2332</v>
      </c>
      <c r="U5" s="2587" t="e">
        <f>ROUND(R5*10000/365/R3,1)</f>
        <v>#DIV/0!</v>
      </c>
      <c r="V5" s="2595"/>
    </row>
    <row r="6" spans="1:22" s="2599" customFormat="1" ht="13.2" customHeight="1" thickBot="1">
      <c r="A6" s="3396" t="s">
        <v>2333</v>
      </c>
      <c r="B6" s="3397"/>
      <c r="C6" s="3398"/>
      <c r="D6" s="2616"/>
      <c r="E6" s="2617"/>
      <c r="F6" s="2618"/>
      <c r="G6" s="2619"/>
      <c r="H6" s="2594"/>
      <c r="I6" s="2595"/>
      <c r="J6" s="3382">
        <v>1</v>
      </c>
      <c r="K6" s="3383" t="s">
        <v>2334</v>
      </c>
      <c r="L6" s="2620" t="s">
        <v>2335</v>
      </c>
      <c r="M6" s="2621" t="s">
        <v>2336</v>
      </c>
      <c r="N6" s="2621" t="s">
        <v>2337</v>
      </c>
      <c r="O6" s="2621" t="s">
        <v>2338</v>
      </c>
      <c r="P6" s="2621" t="s">
        <v>2339</v>
      </c>
      <c r="Q6" s="2621" t="s">
        <v>2340</v>
      </c>
      <c r="R6" s="2604" t="s">
        <v>2341</v>
      </c>
      <c r="S6" s="2587"/>
      <c r="T6" s="2587" t="s">
        <v>2342</v>
      </c>
      <c r="U6" s="2587"/>
      <c r="V6" s="2595"/>
    </row>
    <row r="7" spans="1:22" s="2599" customFormat="1" ht="13.2" customHeight="1">
      <c r="A7" s="2622" t="s">
        <v>2343</v>
      </c>
      <c r="B7" s="2623"/>
      <c r="C7" s="2624"/>
      <c r="D7" s="2625">
        <f>SUM(D9,D10,D11,D17,0)</f>
        <v>0</v>
      </c>
      <c r="E7" s="2626" t="e">
        <f>E9+E10+E11+E17</f>
        <v>#DIV/0!</v>
      </c>
      <c r="F7" s="2627"/>
      <c r="G7" s="2628"/>
      <c r="H7" s="2594"/>
      <c r="I7" s="2595"/>
      <c r="J7" s="3382"/>
      <c r="K7" s="3384"/>
      <c r="L7" s="2629" t="s">
        <v>2344</v>
      </c>
      <c r="M7" s="2630"/>
      <c r="N7" s="2606"/>
      <c r="O7" s="2631"/>
      <c r="P7" s="2631"/>
      <c r="Q7" s="2632">
        <v>365</v>
      </c>
      <c r="R7" s="2633">
        <f>ROUND(M7*N7*O7*P7*Q7/10000,0)</f>
        <v>0</v>
      </c>
      <c r="S7" s="2587"/>
      <c r="T7" s="2587" t="s">
        <v>2345</v>
      </c>
      <c r="U7" s="2587"/>
      <c r="V7" s="2595"/>
    </row>
    <row r="8" spans="1:22" s="2599" customFormat="1" ht="13.2" customHeight="1">
      <c r="A8" s="2634" t="s">
        <v>2346</v>
      </c>
      <c r="B8" s="3399" t="s">
        <v>2347</v>
      </c>
      <c r="C8" s="3400"/>
      <c r="D8" s="2635" t="s">
        <v>2348</v>
      </c>
      <c r="E8" s="2636" t="s">
        <v>2349</v>
      </c>
      <c r="F8" s="2637" t="s">
        <v>2350</v>
      </c>
      <c r="G8" s="2638"/>
      <c r="H8" s="2594"/>
      <c r="I8" s="2595"/>
      <c r="J8" s="3382"/>
      <c r="K8" s="3384"/>
      <c r="L8" s="2629" t="s">
        <v>2351</v>
      </c>
      <c r="M8" s="2630"/>
      <c r="N8" s="2606"/>
      <c r="O8" s="2631"/>
      <c r="P8" s="2631"/>
      <c r="Q8" s="2632">
        <v>365</v>
      </c>
      <c r="R8" s="2633">
        <f t="shared" ref="R8:R13" si="0">ROUND(M8*N8*O8*P8*Q8/10000,0)</f>
        <v>0</v>
      </c>
      <c r="S8" s="2587"/>
      <c r="T8" s="2587" t="s">
        <v>2352</v>
      </c>
      <c r="U8" s="2587"/>
      <c r="V8" s="2595"/>
    </row>
    <row r="9" spans="1:22" s="2599" customFormat="1" ht="13.2" customHeight="1">
      <c r="A9" s="2634">
        <v>1</v>
      </c>
      <c r="B9" s="3399" t="s">
        <v>2353</v>
      </c>
      <c r="C9" s="3400"/>
      <c r="D9" s="2635">
        <f>ROUND(D6*E9,0)</f>
        <v>0</v>
      </c>
      <c r="E9" s="2639"/>
      <c r="F9" s="2640" t="s">
        <v>2354</v>
      </c>
      <c r="G9" s="2619"/>
      <c r="H9" s="2594"/>
      <c r="I9" s="2595"/>
      <c r="J9" s="3382"/>
      <c r="K9" s="3384"/>
      <c r="L9" s="2629" t="s">
        <v>2355</v>
      </c>
      <c r="M9" s="2630"/>
      <c r="N9" s="2606"/>
      <c r="O9" s="2631"/>
      <c r="P9" s="2631"/>
      <c r="Q9" s="2632">
        <v>365</v>
      </c>
      <c r="R9" s="2633">
        <f t="shared" si="0"/>
        <v>0</v>
      </c>
      <c r="S9" s="2587"/>
      <c r="T9" s="2587"/>
      <c r="U9" s="2587"/>
      <c r="V9" s="2595"/>
    </row>
    <row r="10" spans="1:22" s="2599" customFormat="1" ht="13.2" customHeight="1">
      <c r="A10" s="2634">
        <v>2</v>
      </c>
      <c r="B10" s="3399" t="s">
        <v>2356</v>
      </c>
      <c r="C10" s="3400"/>
      <c r="D10" s="2635">
        <f>ROUND(D6*E10,0)</f>
        <v>0</v>
      </c>
      <c r="E10" s="2639"/>
      <c r="F10" s="2640" t="s">
        <v>2357</v>
      </c>
      <c r="G10" s="2619"/>
      <c r="H10" s="2594"/>
      <c r="I10" s="2595"/>
      <c r="J10" s="3382"/>
      <c r="K10" s="3384"/>
      <c r="L10" s="2629" t="s">
        <v>2358</v>
      </c>
      <c r="M10" s="2630"/>
      <c r="N10" s="2606"/>
      <c r="O10" s="2631"/>
      <c r="P10" s="2631"/>
      <c r="Q10" s="2632">
        <v>365</v>
      </c>
      <c r="R10" s="2633">
        <f t="shared" si="0"/>
        <v>0</v>
      </c>
      <c r="S10" s="2587"/>
      <c r="T10" s="2587"/>
      <c r="U10" s="2587"/>
      <c r="V10" s="2595"/>
    </row>
    <row r="11" spans="1:22" s="2599" customFormat="1" ht="13.2" customHeight="1">
      <c r="A11" s="2634">
        <v>3</v>
      </c>
      <c r="B11" s="3399" t="s">
        <v>2359</v>
      </c>
      <c r="C11" s="3400"/>
      <c r="D11" s="2635">
        <f>D12+D14+D15+D16</f>
        <v>0</v>
      </c>
      <c r="E11" s="2641" t="e">
        <f>D11/D6</f>
        <v>#DIV/0!</v>
      </c>
      <c r="F11" s="2637"/>
      <c r="G11" s="2638"/>
      <c r="H11" s="2594"/>
      <c r="I11" s="2595"/>
      <c r="J11" s="3382"/>
      <c r="K11" s="3384"/>
      <c r="L11" s="2629" t="s">
        <v>2360</v>
      </c>
      <c r="M11" s="2630"/>
      <c r="N11" s="2606"/>
      <c r="O11" s="2631"/>
      <c r="P11" s="2631"/>
      <c r="Q11" s="2632">
        <v>365</v>
      </c>
      <c r="R11" s="2633">
        <f t="shared" si="0"/>
        <v>0</v>
      </c>
      <c r="S11" s="2587"/>
      <c r="T11" s="2587"/>
      <c r="U11" s="2587"/>
      <c r="V11" s="2595"/>
    </row>
    <row r="12" spans="1:22" s="2599" customFormat="1" ht="13.2" customHeight="1">
      <c r="A12" s="2642" t="s">
        <v>2361</v>
      </c>
      <c r="B12" s="3392" t="s">
        <v>2362</v>
      </c>
      <c r="C12" s="3393"/>
      <c r="D12" s="2643">
        <f>ROUND(D13*1.2%*(1-30%),0)</f>
        <v>0</v>
      </c>
      <c r="E12" s="2644">
        <v>1.2E-2</v>
      </c>
      <c r="F12" s="2637" t="s">
        <v>2363</v>
      </c>
      <c r="G12" s="2638"/>
      <c r="H12" s="2594"/>
      <c r="I12" s="2595"/>
      <c r="J12" s="3382"/>
      <c r="K12" s="3384"/>
      <c r="L12" s="2629" t="s">
        <v>2364</v>
      </c>
      <c r="M12" s="2630"/>
      <c r="N12" s="2606"/>
      <c r="O12" s="2631"/>
      <c r="P12" s="2631"/>
      <c r="Q12" s="2632">
        <v>365</v>
      </c>
      <c r="R12" s="2633">
        <f t="shared" si="0"/>
        <v>0</v>
      </c>
      <c r="S12" s="2587"/>
      <c r="T12" s="2587"/>
      <c r="U12" s="2587"/>
      <c r="V12" s="2595"/>
    </row>
    <row r="13" spans="1:22" s="2599" customFormat="1" ht="13.2" customHeight="1">
      <c r="A13" s="2642"/>
      <c r="B13" s="2645"/>
      <c r="C13" s="2646" t="s">
        <v>2365</v>
      </c>
      <c r="D13" s="2647"/>
      <c r="E13" s="2648"/>
      <c r="F13" s="2637"/>
      <c r="G13" s="2638"/>
      <c r="H13" s="2594"/>
      <c r="I13" s="2595"/>
      <c r="J13" s="3382"/>
      <c r="K13" s="3384"/>
      <c r="L13" s="2629" t="s">
        <v>2366</v>
      </c>
      <c r="M13" s="2630"/>
      <c r="N13" s="2606"/>
      <c r="O13" s="2631"/>
      <c r="P13" s="2631"/>
      <c r="Q13" s="2632">
        <v>365</v>
      </c>
      <c r="R13" s="2633">
        <f t="shared" si="0"/>
        <v>0</v>
      </c>
      <c r="S13" s="2587"/>
      <c r="T13" s="2587"/>
      <c r="U13" s="2587"/>
      <c r="V13" s="2595"/>
    </row>
    <row r="14" spans="1:22" s="2599" customFormat="1" ht="13.2" customHeight="1">
      <c r="A14" s="2642" t="s">
        <v>2367</v>
      </c>
      <c r="B14" s="3392" t="s">
        <v>2368</v>
      </c>
      <c r="C14" s="3393"/>
      <c r="D14" s="2643">
        <f>ROUND(E14*B5/10000,0)</f>
        <v>0</v>
      </c>
      <c r="E14" s="2632"/>
      <c r="F14" s="2637" t="s">
        <v>2369</v>
      </c>
      <c r="G14" s="2638"/>
      <c r="H14" s="2594"/>
      <c r="I14" s="2595"/>
      <c r="J14" s="3382"/>
      <c r="K14" s="3385"/>
      <c r="L14" s="2649" t="s">
        <v>2370</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2371</v>
      </c>
      <c r="B15" s="3392" t="s">
        <v>2372</v>
      </c>
      <c r="C15" s="3393"/>
      <c r="D15" s="2643">
        <f>ROUND(D6*E15,0)</f>
        <v>0</v>
      </c>
      <c r="E15" s="2644">
        <v>5.5E-2</v>
      </c>
      <c r="F15" s="2637" t="s">
        <v>2373</v>
      </c>
      <c r="G15" s="2619"/>
      <c r="H15" s="2594"/>
      <c r="I15" s="2595"/>
      <c r="J15" s="3382">
        <v>2</v>
      </c>
      <c r="K15" s="3383" t="s">
        <v>2374</v>
      </c>
      <c r="L15" s="2629" t="s">
        <v>2375</v>
      </c>
      <c r="M15" s="2630" t="s">
        <v>2376</v>
      </c>
      <c r="N15" s="2630" t="s">
        <v>2377</v>
      </c>
      <c r="O15" s="2631" t="s">
        <v>2378</v>
      </c>
      <c r="P15" s="2631" t="s">
        <v>2340</v>
      </c>
      <c r="Q15" s="2606" t="s">
        <v>2379</v>
      </c>
      <c r="R15" s="2653" t="s">
        <v>2341</v>
      </c>
      <c r="S15" s="2587"/>
      <c r="T15" s="2587"/>
      <c r="U15" s="2587"/>
      <c r="V15" s="2595"/>
    </row>
    <row r="16" spans="1:22" s="2599" customFormat="1" ht="13.2" customHeight="1">
      <c r="A16" s="2642" t="s">
        <v>2380</v>
      </c>
      <c r="B16" s="3392" t="s">
        <v>2381</v>
      </c>
      <c r="C16" s="3393"/>
      <c r="D16" s="2654">
        <f>D6*E16</f>
        <v>0</v>
      </c>
      <c r="E16" s="2655"/>
      <c r="F16" s="2640" t="s">
        <v>2382</v>
      </c>
      <c r="G16" s="2619"/>
      <c r="H16" s="2594"/>
      <c r="I16" s="2595"/>
      <c r="J16" s="3382"/>
      <c r="K16" s="3384"/>
      <c r="L16" s="2629" t="s">
        <v>2383</v>
      </c>
      <c r="M16" s="2630"/>
      <c r="N16" s="2630"/>
      <c r="O16" s="2631"/>
      <c r="P16" s="2632">
        <v>365</v>
      </c>
      <c r="Q16" s="2606"/>
      <c r="R16" s="2653">
        <f>ROUND(M16*N16*O16*P16/10000,0)</f>
        <v>0</v>
      </c>
      <c r="S16" s="2587"/>
      <c r="T16" s="2587"/>
      <c r="U16" s="2587"/>
      <c r="V16" s="2595"/>
    </row>
    <row r="17" spans="1:22" s="2599" customFormat="1" ht="13.2" customHeight="1" thickBot="1">
      <c r="A17" s="2656">
        <v>4</v>
      </c>
      <c r="B17" s="3394" t="s">
        <v>2384</v>
      </c>
      <c r="C17" s="3395"/>
      <c r="D17" s="2657">
        <f>ROUND(D6*E17,0)</f>
        <v>0</v>
      </c>
      <c r="E17" s="2658"/>
      <c r="F17" s="2659" t="s">
        <v>2385</v>
      </c>
      <c r="G17" s="2619"/>
      <c r="H17" s="2594"/>
      <c r="I17" s="2595"/>
      <c r="J17" s="3382"/>
      <c r="K17" s="3384"/>
      <c r="L17" s="2629" t="s">
        <v>2386</v>
      </c>
      <c r="M17" s="2630"/>
      <c r="N17" s="2630"/>
      <c r="O17" s="2631"/>
      <c r="P17" s="2632">
        <v>365</v>
      </c>
      <c r="Q17" s="2606"/>
      <c r="R17" s="2653">
        <f>ROUND(M17*N17*O17*P17/10000,0)</f>
        <v>0</v>
      </c>
      <c r="S17" s="2587"/>
      <c r="T17" s="2587"/>
      <c r="U17" s="2587"/>
      <c r="V17" s="2595"/>
    </row>
    <row r="18" spans="1:22" s="2599" customFormat="1" ht="13.2" customHeight="1" thickBot="1">
      <c r="A18" s="2622" t="s">
        <v>2387</v>
      </c>
      <c r="B18" s="2623"/>
      <c r="C18" s="2623"/>
      <c r="D18" s="2660">
        <f>ROUND(D6*E18,0)</f>
        <v>0</v>
      </c>
      <c r="E18" s="2661"/>
      <c r="F18" s="2662" t="s">
        <v>2388</v>
      </c>
      <c r="G18" s="2619"/>
      <c r="H18" s="2594"/>
      <c r="I18" s="2595"/>
      <c r="J18" s="3382"/>
      <c r="K18" s="3384"/>
      <c r="L18" s="2629" t="s">
        <v>2389</v>
      </c>
      <c r="M18" s="2630"/>
      <c r="N18" s="2630"/>
      <c r="O18" s="2631"/>
      <c r="P18" s="2632">
        <v>365</v>
      </c>
      <c r="Q18" s="2606"/>
      <c r="R18" s="2653">
        <f>ROUND(M18*N18*O18*P18/10000,0)</f>
        <v>0</v>
      </c>
      <c r="S18" s="2587"/>
      <c r="T18" s="2587"/>
      <c r="U18" s="2587"/>
      <c r="V18" s="2595"/>
    </row>
    <row r="19" spans="1:22" s="2599" customFormat="1" ht="13.2" customHeight="1" thickBot="1">
      <c r="A19" s="2663" t="s">
        <v>2390</v>
      </c>
      <c r="B19" s="2617"/>
      <c r="C19" s="2617"/>
      <c r="D19" s="2617"/>
      <c r="E19" s="2617"/>
      <c r="F19" s="2618"/>
      <c r="G19" s="2638"/>
      <c r="H19" s="2594"/>
      <c r="I19" s="2595"/>
      <c r="J19" s="3382"/>
      <c r="K19" s="3385"/>
      <c r="L19" s="2649" t="s">
        <v>2370</v>
      </c>
      <c r="M19" s="2650"/>
      <c r="N19" s="2650">
        <f>SUM(N16:N18)</f>
        <v>0</v>
      </c>
      <c r="O19" s="2651"/>
      <c r="P19" s="2664" t="s">
        <v>2434</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82">
        <v>3</v>
      </c>
      <c r="K20" s="3383" t="s">
        <v>2391</v>
      </c>
      <c r="L20" s="2629" t="s">
        <v>2392</v>
      </c>
      <c r="M20" s="2630" t="s">
        <v>2393</v>
      </c>
      <c r="N20" s="2667" t="s">
        <v>2394</v>
      </c>
      <c r="O20" s="2631" t="s">
        <v>2395</v>
      </c>
      <c r="P20" s="2632" t="s">
        <v>2396</v>
      </c>
      <c r="Q20" s="2606" t="s">
        <v>2397</v>
      </c>
      <c r="R20" s="2653" t="s">
        <v>2398</v>
      </c>
      <c r="S20" s="2587"/>
      <c r="T20" s="2587"/>
      <c r="U20" s="2587"/>
      <c r="V20" s="2595"/>
    </row>
    <row r="21" spans="1:22" s="2599" customFormat="1" ht="13.2" customHeight="1">
      <c r="A21" s="2622"/>
      <c r="B21" s="2623"/>
      <c r="C21" s="2668" t="s">
        <v>2399</v>
      </c>
      <c r="D21" s="2669" t="s">
        <v>2400</v>
      </c>
      <c r="E21" s="2670" t="s">
        <v>2401</v>
      </c>
      <c r="F21" s="2666"/>
      <c r="G21" s="2638"/>
      <c r="H21" s="2594"/>
      <c r="I21" s="2595"/>
      <c r="J21" s="3382"/>
      <c r="K21" s="3384"/>
      <c r="L21" s="2629" t="s">
        <v>2402</v>
      </c>
      <c r="M21" s="2630"/>
      <c r="N21" s="2630"/>
      <c r="O21" s="2631"/>
      <c r="P21" s="2632">
        <v>365</v>
      </c>
      <c r="Q21" s="2606"/>
      <c r="R21" s="2671">
        <f>ROUND(M21*N21*O21*P21/10000,0)</f>
        <v>0</v>
      </c>
      <c r="S21" s="2587"/>
      <c r="T21" s="2587"/>
      <c r="U21" s="2587"/>
      <c r="V21" s="2595"/>
    </row>
    <row r="22" spans="1:22" s="2599" customFormat="1" ht="13.2" customHeight="1">
      <c r="A22" s="2622"/>
      <c r="B22" s="2623"/>
      <c r="C22" s="2672" t="s">
        <v>2403</v>
      </c>
      <c r="D22" s="2673" t="s">
        <v>2404</v>
      </c>
      <c r="E22" s="2674" t="s">
        <v>2405</v>
      </c>
      <c r="F22" s="2666"/>
      <c r="G22" s="2587"/>
      <c r="H22" s="2594"/>
      <c r="I22" s="2595"/>
      <c r="J22" s="3382"/>
      <c r="K22" s="3384"/>
      <c r="L22" s="2629" t="s">
        <v>2406</v>
      </c>
      <c r="M22" s="2630"/>
      <c r="N22" s="2630"/>
      <c r="O22" s="2631"/>
      <c r="P22" s="2632">
        <v>365</v>
      </c>
      <c r="Q22" s="2606"/>
      <c r="R22" s="2671">
        <f>ROUND(M22*N22*O22*P22/10000,0)</f>
        <v>0</v>
      </c>
      <c r="S22" s="2587"/>
      <c r="T22" s="2587"/>
      <c r="U22" s="2587"/>
      <c r="V22" s="2595"/>
    </row>
    <row r="23" spans="1:22" s="2599" customFormat="1" ht="13.2" customHeight="1">
      <c r="A23" s="2675">
        <v>1</v>
      </c>
      <c r="B23" s="2676" t="s">
        <v>2407</v>
      </c>
      <c r="C23" s="2677">
        <f>D6</f>
        <v>0</v>
      </c>
      <c r="D23" s="2678">
        <f>C23*(1+D24)</f>
        <v>0</v>
      </c>
      <c r="E23" s="2679">
        <f>D23*(1+E24)</f>
        <v>0</v>
      </c>
      <c r="F23" s="2680"/>
      <c r="G23" s="2681"/>
      <c r="H23" s="2594"/>
      <c r="I23" s="2595"/>
      <c r="J23" s="3382"/>
      <c r="K23" s="3384"/>
      <c r="L23" s="2629" t="s">
        <v>2408</v>
      </c>
      <c r="M23" s="2630"/>
      <c r="N23" s="2630"/>
      <c r="O23" s="2631"/>
      <c r="P23" s="2632">
        <v>365</v>
      </c>
      <c r="Q23" s="2606"/>
      <c r="R23" s="2671">
        <f>ROUND(M23*N23*O23*P23/10000,0)</f>
        <v>0</v>
      </c>
      <c r="S23" s="2587"/>
      <c r="T23" s="2587"/>
      <c r="U23" s="2587"/>
      <c r="V23" s="2595"/>
    </row>
    <row r="24" spans="1:22" s="2599" customFormat="1" ht="13.2" customHeight="1">
      <c r="A24" s="2682"/>
      <c r="B24" s="2683" t="s">
        <v>2409</v>
      </c>
      <c r="C24" s="2684"/>
      <c r="D24" s="2685"/>
      <c r="E24" s="2686"/>
      <c r="F24" s="2687"/>
      <c r="G24" s="2681"/>
      <c r="H24" s="2594"/>
      <c r="I24" s="2595"/>
      <c r="J24" s="3382"/>
      <c r="K24" s="3385"/>
      <c r="L24" s="2649" t="s">
        <v>2370</v>
      </c>
      <c r="M24" s="2650">
        <f>SUM(M21:M23)</f>
        <v>0</v>
      </c>
      <c r="N24" s="2650"/>
      <c r="O24" s="2651"/>
      <c r="P24" s="2664" t="s">
        <v>2434</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2410</v>
      </c>
      <c r="L25" s="2690"/>
      <c r="M25" s="2690"/>
      <c r="N25" s="2690"/>
      <c r="O25" s="2690"/>
      <c r="P25" s="2691"/>
      <c r="Q25" s="2692">
        <v>0</v>
      </c>
      <c r="R25" s="2665">
        <f>ROUND(R14*Q25,0)</f>
        <v>0</v>
      </c>
      <c r="S25" s="2587"/>
      <c r="T25" s="2587"/>
      <c r="U25" s="2587"/>
      <c r="V25" s="2693"/>
    </row>
    <row r="26" spans="1:22" s="2694" customFormat="1" ht="13.2" customHeight="1">
      <c r="A26" s="2675">
        <v>2</v>
      </c>
      <c r="B26" s="2676" t="s">
        <v>2411</v>
      </c>
      <c r="C26" s="2677">
        <f>D7</f>
        <v>0</v>
      </c>
      <c r="D26" s="2678">
        <f>D23*D27</f>
        <v>0</v>
      </c>
      <c r="E26" s="2679">
        <f>E23*E27</f>
        <v>0</v>
      </c>
      <c r="F26" s="2680"/>
      <c r="G26" s="2681"/>
      <c r="H26" s="2594"/>
      <c r="I26" s="2595"/>
      <c r="J26" s="3386">
        <v>5</v>
      </c>
      <c r="K26" s="2695" t="s">
        <v>2412</v>
      </c>
      <c r="L26" s="2696"/>
      <c r="M26" s="2697"/>
      <c r="N26" s="2698" t="s">
        <v>2413</v>
      </c>
      <c r="O26" s="2698" t="s">
        <v>2414</v>
      </c>
      <c r="P26" s="2699" t="s">
        <v>2415</v>
      </c>
      <c r="Q26" s="2699" t="s">
        <v>2416</v>
      </c>
      <c r="R26" s="2604" t="s">
        <v>2341</v>
      </c>
      <c r="S26" s="2638"/>
      <c r="T26" s="2638"/>
      <c r="U26" s="2638"/>
      <c r="V26" s="2693"/>
    </row>
    <row r="27" spans="1:22" s="2599" customFormat="1" ht="13.2" customHeight="1">
      <c r="A27" s="2682"/>
      <c r="B27" s="2683" t="s">
        <v>2417</v>
      </c>
      <c r="C27" s="2700" t="e">
        <f>E7</f>
        <v>#DIV/0!</v>
      </c>
      <c r="D27" s="2685"/>
      <c r="E27" s="2686"/>
      <c r="F27" s="2687"/>
      <c r="G27" s="2681"/>
      <c r="H27" s="2701"/>
      <c r="I27" s="2693"/>
      <c r="J27" s="3387"/>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2418</v>
      </c>
      <c r="F28" s="2687"/>
      <c r="G28" s="2587"/>
      <c r="H28" s="2701"/>
      <c r="I28" s="2693"/>
      <c r="J28" s="2707">
        <v>6</v>
      </c>
      <c r="K28" s="2708" t="s">
        <v>2419</v>
      </c>
      <c r="L28" s="2709" t="s">
        <v>2420</v>
      </c>
      <c r="M28" s="2710"/>
      <c r="N28" s="2709" t="s">
        <v>2421</v>
      </c>
      <c r="O28" s="2711"/>
      <c r="P28" s="2709" t="s">
        <v>2422</v>
      </c>
      <c r="Q28" s="2712">
        <v>1.4999999999999999E-2</v>
      </c>
      <c r="R28" s="2713"/>
      <c r="S28" s="2587"/>
      <c r="T28" s="2587"/>
      <c r="U28" s="2587"/>
      <c r="V28" s="2693"/>
    </row>
    <row r="29" spans="1:22" s="2694" customFormat="1" ht="13.2" customHeight="1">
      <c r="A29" s="2675">
        <v>3</v>
      </c>
      <c r="B29" s="2676" t="s">
        <v>2423</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2417</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2424</v>
      </c>
      <c r="K31" s="2585"/>
      <c r="L31" s="2585"/>
      <c r="M31" s="2585"/>
      <c r="N31" s="2585"/>
      <c r="O31" s="2585"/>
      <c r="P31" s="2585"/>
      <c r="Q31" s="2585"/>
      <c r="R31" s="2586"/>
      <c r="S31" s="2587"/>
      <c r="T31" s="2587"/>
      <c r="U31" s="2587"/>
      <c r="V31" s="2693"/>
    </row>
    <row r="32" spans="1:22" s="2694" customFormat="1" ht="13.2" customHeight="1">
      <c r="A32" s="2675">
        <v>4</v>
      </c>
      <c r="B32" s="2676" t="s">
        <v>2425</v>
      </c>
      <c r="C32" s="2677">
        <f>C23-C26-C29</f>
        <v>0</v>
      </c>
      <c r="D32" s="2678">
        <f>D23-D26-D29</f>
        <v>0</v>
      </c>
      <c r="E32" s="2679">
        <f>E23-E26-E29</f>
        <v>0</v>
      </c>
      <c r="F32" s="2680"/>
      <c r="G32" s="2587"/>
      <c r="H32" s="2594"/>
      <c r="I32" s="2595"/>
      <c r="J32" s="3388" t="s">
        <v>2317</v>
      </c>
      <c r="K32" s="3389"/>
      <c r="L32" s="2596" t="s">
        <v>2318</v>
      </c>
      <c r="M32" s="2596" t="s">
        <v>2319</v>
      </c>
      <c r="N32" s="2596" t="s">
        <v>2320</v>
      </c>
      <c r="O32" s="2596" t="s">
        <v>2321</v>
      </c>
      <c r="P32" s="2596" t="s">
        <v>2322</v>
      </c>
      <c r="Q32" s="2597" t="s">
        <v>2323</v>
      </c>
      <c r="R32" s="2716" t="s">
        <v>2324</v>
      </c>
      <c r="S32" s="2587"/>
      <c r="T32" s="2587"/>
      <c r="U32" s="2587"/>
      <c r="V32" s="2693"/>
    </row>
    <row r="33" spans="1:23" s="2599" customFormat="1" ht="13.2" customHeight="1">
      <c r="A33" s="2675"/>
      <c r="B33" s="2676"/>
      <c r="C33" s="2677"/>
      <c r="D33" s="2717"/>
      <c r="E33" s="2718"/>
      <c r="F33" s="2680"/>
      <c r="G33" s="2587"/>
      <c r="H33" s="2701"/>
      <c r="I33" s="2693"/>
      <c r="J33" s="3390" t="s">
        <v>2327</v>
      </c>
      <c r="K33" s="3391"/>
      <c r="L33" s="2602"/>
      <c r="M33" s="2602"/>
      <c r="N33" s="2602"/>
      <c r="O33" s="2602"/>
      <c r="P33" s="2602"/>
      <c r="Q33" s="2603"/>
      <c r="R33" s="2719">
        <f>SUM(L33:Q33)</f>
        <v>0</v>
      </c>
      <c r="S33" s="2587"/>
      <c r="T33" s="2587"/>
      <c r="U33" s="2587"/>
      <c r="V33" s="2595"/>
    </row>
    <row r="34" spans="1:23" s="2599" customFormat="1" ht="13.2" customHeight="1">
      <c r="A34" s="2675">
        <v>5</v>
      </c>
      <c r="B34" s="2676" t="s">
        <v>2426</v>
      </c>
      <c r="C34" s="2720"/>
      <c r="D34" s="2721"/>
      <c r="E34" s="2722"/>
      <c r="F34" s="2680"/>
      <c r="G34" s="2587"/>
      <c r="H34" s="2701"/>
      <c r="I34" s="2693"/>
      <c r="J34" s="3390" t="s">
        <v>2329</v>
      </c>
      <c r="K34" s="3391"/>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2427</v>
      </c>
      <c r="C35" s="2724"/>
      <c r="D35" s="2725"/>
      <c r="E35" s="2726"/>
      <c r="F35" s="2680"/>
      <c r="G35" s="2727"/>
      <c r="H35" s="2594"/>
      <c r="I35" s="2693"/>
      <c r="J35" s="2613" t="s">
        <v>2331</v>
      </c>
      <c r="K35" s="2614"/>
      <c r="L35" s="2614"/>
      <c r="M35" s="2615"/>
      <c r="N35" s="2615"/>
      <c r="O35" s="2615"/>
      <c r="P35" s="2615"/>
      <c r="Q35" s="2615"/>
      <c r="R35" s="2728">
        <f>R40+R41+R43</f>
        <v>0</v>
      </c>
      <c r="S35" s="2587"/>
      <c r="T35" s="2587" t="s">
        <v>2332</v>
      </c>
      <c r="U35" s="2587"/>
      <c r="V35" s="2595"/>
    </row>
    <row r="36" spans="1:23" s="2599" customFormat="1" ht="13.2" customHeight="1" thickBot="1">
      <c r="A36" s="2675">
        <v>7</v>
      </c>
      <c r="B36" s="2729" t="s">
        <v>2428</v>
      </c>
      <c r="C36" s="2730"/>
      <c r="D36" s="2731"/>
      <c r="E36" s="2732"/>
      <c r="F36" s="2733">
        <f>C36+D36+E36</f>
        <v>0</v>
      </c>
      <c r="G36" s="2587"/>
      <c r="H36" s="2594"/>
      <c r="I36" s="2595"/>
      <c r="J36" s="3382">
        <v>1</v>
      </c>
      <c r="K36" s="3383" t="s">
        <v>2429</v>
      </c>
      <c r="L36" s="2620"/>
      <c r="M36" s="2621"/>
      <c r="N36" s="2621"/>
      <c r="O36" s="2621"/>
      <c r="P36" s="2621"/>
      <c r="Q36" s="2621"/>
      <c r="R36" s="2604" t="s">
        <v>2341</v>
      </c>
      <c r="S36" s="2587"/>
      <c r="T36" s="2587" t="s">
        <v>2342</v>
      </c>
      <c r="U36" s="2587"/>
      <c r="V36" s="2595"/>
    </row>
    <row r="37" spans="1:23" s="2599" customFormat="1" ht="13.2" customHeight="1">
      <c r="A37" s="2675"/>
      <c r="B37" s="2676"/>
      <c r="C37" s="2676"/>
      <c r="D37" s="2676"/>
      <c r="E37" s="2676"/>
      <c r="F37" s="2680"/>
      <c r="G37" s="2587"/>
      <c r="H37" s="2594"/>
      <c r="I37" s="2595"/>
      <c r="J37" s="3382"/>
      <c r="K37" s="3384"/>
      <c r="L37" s="2629"/>
      <c r="M37" s="2630"/>
      <c r="N37" s="2606"/>
      <c r="O37" s="2631"/>
      <c r="P37" s="2631"/>
      <c r="Q37" s="2632"/>
      <c r="R37" s="2633"/>
      <c r="S37" s="2587"/>
      <c r="T37" s="2587" t="s">
        <v>2345</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82"/>
      <c r="K38" s="3384"/>
      <c r="L38" s="2629"/>
      <c r="M38" s="2630"/>
      <c r="N38" s="2606"/>
      <c r="O38" s="2631"/>
      <c r="P38" s="2631"/>
      <c r="Q38" s="2632"/>
      <c r="R38" s="2633"/>
      <c r="S38" s="2587"/>
      <c r="T38" s="2587" t="s">
        <v>2352</v>
      </c>
      <c r="U38" s="2587"/>
      <c r="V38" s="2595"/>
    </row>
    <row r="39" spans="1:23" s="2599" customFormat="1" ht="13.2" customHeight="1">
      <c r="A39" s="2675">
        <v>9</v>
      </c>
      <c r="B39" s="2676" t="s">
        <v>2430</v>
      </c>
      <c r="C39" s="2643" t="e">
        <f>C38</f>
        <v>#DIV/0!</v>
      </c>
      <c r="D39" s="2676">
        <f>D38/(1+D34)^C36</f>
        <v>0</v>
      </c>
      <c r="E39" s="2676">
        <f>E38/(1+E34)^(C36+D36)</f>
        <v>0</v>
      </c>
      <c r="F39" s="2680"/>
      <c r="G39" s="2595"/>
      <c r="H39" s="2594"/>
      <c r="I39" s="2595"/>
      <c r="J39" s="3382"/>
      <c r="K39" s="3384"/>
      <c r="L39" s="2629"/>
      <c r="M39" s="2630"/>
      <c r="N39" s="2606"/>
      <c r="O39" s="2631"/>
      <c r="P39" s="2631"/>
      <c r="Q39" s="2632"/>
      <c r="R39" s="2633"/>
      <c r="S39" s="2587"/>
      <c r="T39" s="2587"/>
      <c r="U39" s="2587"/>
      <c r="V39" s="2595"/>
    </row>
    <row r="40" spans="1:23" s="2599" customFormat="1" ht="13.2" customHeight="1">
      <c r="A40" s="2734">
        <v>10</v>
      </c>
      <c r="B40" s="2676" t="s">
        <v>2431</v>
      </c>
      <c r="C40" s="2735" t="e">
        <f>C39+D39+E39</f>
        <v>#DIV/0!</v>
      </c>
      <c r="D40" s="2736"/>
      <c r="E40" s="2736"/>
      <c r="F40" s="2737"/>
      <c r="G40" s="2587"/>
      <c r="H40" s="2594"/>
      <c r="I40" s="2595"/>
      <c r="J40" s="3382"/>
      <c r="K40" s="3385"/>
      <c r="L40" s="2649" t="s">
        <v>2370</v>
      </c>
      <c r="M40" s="2650"/>
      <c r="N40" s="2650"/>
      <c r="O40" s="2651"/>
      <c r="P40" s="2651"/>
      <c r="Q40" s="2652"/>
      <c r="R40" s="2598">
        <f>SUM(R37:R39)</f>
        <v>0</v>
      </c>
      <c r="S40" s="2587"/>
      <c r="T40" s="2587"/>
      <c r="U40" s="2587"/>
      <c r="V40" s="2595"/>
    </row>
    <row r="41" spans="1:23" s="2599" customFormat="1" ht="13.2" customHeight="1" thickBot="1">
      <c r="A41" s="2738">
        <v>11</v>
      </c>
      <c r="B41" s="2739" t="s">
        <v>2432</v>
      </c>
      <c r="C41" s="2739" t="e">
        <f>ROUND(C40*10000/B4,0)</f>
        <v>#DIV/0!</v>
      </c>
      <c r="D41" s="2740"/>
      <c r="E41" s="2740"/>
      <c r="F41" s="2741"/>
      <c r="G41" s="2594"/>
      <c r="H41" s="2594"/>
      <c r="I41" s="2595"/>
      <c r="J41" s="2688">
        <v>2</v>
      </c>
      <c r="K41" s="2689" t="s">
        <v>2410</v>
      </c>
      <c r="L41" s="2690"/>
      <c r="M41" s="2690"/>
      <c r="N41" s="2690"/>
      <c r="O41" s="2690"/>
      <c r="P41" s="2691"/>
      <c r="Q41" s="2692"/>
      <c r="R41" s="2665">
        <f>ROUND(R40*Q41,0)</f>
        <v>0</v>
      </c>
      <c r="S41" s="2587"/>
      <c r="T41" s="2587"/>
      <c r="U41" s="2638"/>
      <c r="V41" s="2595"/>
    </row>
    <row r="42" spans="1:23" s="2599" customFormat="1" ht="13.2" customHeight="1">
      <c r="G42" s="2594"/>
      <c r="H42" s="2594"/>
      <c r="I42" s="2595"/>
      <c r="J42" s="3386">
        <v>3</v>
      </c>
      <c r="K42" s="2695" t="s">
        <v>2412</v>
      </c>
      <c r="L42" s="2696"/>
      <c r="M42" s="2697"/>
      <c r="N42" s="2698" t="s">
        <v>2413</v>
      </c>
      <c r="O42" s="2698" t="s">
        <v>2414</v>
      </c>
      <c r="P42" s="2699" t="s">
        <v>2415</v>
      </c>
      <c r="Q42" s="2699" t="s">
        <v>2416</v>
      </c>
      <c r="R42" s="2604" t="s">
        <v>2341</v>
      </c>
      <c r="S42" s="2638"/>
      <c r="T42" s="2638"/>
      <c r="U42" s="2587"/>
      <c r="V42" s="2595"/>
    </row>
    <row r="43" spans="1:23" ht="13.2" customHeight="1">
      <c r="A43" s="2599"/>
      <c r="B43" s="2599"/>
      <c r="C43" s="2599"/>
      <c r="D43" s="2599"/>
      <c r="E43" s="2599"/>
      <c r="F43" s="2599"/>
      <c r="I43" s="2582"/>
      <c r="J43" s="3387"/>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2419</v>
      </c>
      <c r="L44" s="2744" t="s">
        <v>2420</v>
      </c>
      <c r="M44" s="2710"/>
      <c r="N44" s="2744" t="s">
        <v>2421</v>
      </c>
      <c r="O44" s="2710"/>
      <c r="P44" s="2744" t="s">
        <v>2422</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4"/>
      <c r="G1" s="459"/>
      <c r="H1" s="459"/>
      <c r="I1" s="459"/>
      <c r="J1" s="459"/>
      <c r="K1" s="459"/>
      <c r="L1" s="459"/>
      <c r="M1" s="459"/>
      <c r="N1" s="459"/>
      <c r="O1" s="459"/>
      <c r="P1" s="459"/>
      <c r="Q1" s="459"/>
      <c r="R1" s="459"/>
      <c r="S1" s="459"/>
    </row>
    <row r="2" spans="1:22" ht="15.6">
      <c r="A2" s="1727" t="s">
        <v>1462</v>
      </c>
      <c r="B2" s="811">
        <f ca="1">SUMIF(B6:B13,"&lt;&gt;#ref!",B6:B13)</f>
        <v>11092</v>
      </c>
      <c r="C2" s="1728" t="s">
        <v>1651</v>
      </c>
      <c r="D2" s="1729" t="s">
        <v>1652</v>
      </c>
      <c r="E2" s="2388">
        <f>SUM(E6:E13)</f>
        <v>29587.64</v>
      </c>
      <c r="F2" s="2474"/>
      <c r="G2" s="459"/>
      <c r="H2" s="459"/>
      <c r="I2" s="459"/>
      <c r="J2" s="459"/>
      <c r="K2" s="459"/>
      <c r="L2" s="459"/>
      <c r="M2" s="459"/>
      <c r="N2" s="459"/>
      <c r="O2" s="459"/>
      <c r="P2" s="459"/>
      <c r="Q2" s="459"/>
      <c r="R2" s="459"/>
      <c r="S2" s="459"/>
    </row>
    <row r="3" spans="1:22" ht="15.6">
      <c r="A3" s="1727" t="s">
        <v>686</v>
      </c>
      <c r="B3" s="2382">
        <f ca="1">ROUND(B2*10000/E2,0)</f>
        <v>3749</v>
      </c>
      <c r="C3" s="1728"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401" t="s">
        <v>1654</v>
      </c>
      <c r="C5" s="3402"/>
      <c r="D5" s="2475"/>
      <c r="E5" s="1730"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11092</v>
      </c>
      <c r="C6" s="1728" t="s">
        <v>1651</v>
      </c>
      <c r="D6" s="2474"/>
      <c r="E6" s="2387">
        <f>IF(OR(A6=0,F6="否"),0,'数据-取费表'!K6+'数据-取费表'!S6)</f>
        <v>29587.64</v>
      </c>
      <c r="F6" s="1731" t="s">
        <v>1657</v>
      </c>
      <c r="G6" s="459"/>
      <c r="H6" s="459"/>
      <c r="I6" s="459"/>
      <c r="J6" s="459"/>
      <c r="K6" s="459"/>
      <c r="L6" s="459"/>
      <c r="M6" s="459"/>
      <c r="N6" s="459"/>
      <c r="O6" s="459"/>
      <c r="P6" s="459"/>
      <c r="Q6" s="459"/>
      <c r="R6" s="459"/>
      <c r="S6" s="459"/>
    </row>
    <row r="7" spans="1:22" ht="14.4">
      <c r="A7" s="2385">
        <f>'数据-取费表'!AN7</f>
        <v>0</v>
      </c>
      <c r="B7" s="2383" t="e">
        <f ca="1">IF(F7="是",'数据-取费表'!AO7,0)</f>
        <v>#REF!</v>
      </c>
      <c r="C7" s="1728" t="s">
        <v>1651</v>
      </c>
      <c r="D7" s="2474"/>
      <c r="E7" s="2387">
        <f>IF(OR(A7=0,F7="否"),0,'数据-取费表'!K7+'数据-取费表'!S7)</f>
        <v>0</v>
      </c>
      <c r="F7" s="1731" t="s">
        <v>1657</v>
      </c>
      <c r="G7" s="459"/>
      <c r="H7" s="459"/>
      <c r="I7" s="459"/>
      <c r="J7" s="459"/>
      <c r="K7" s="459"/>
      <c r="L7" s="459"/>
      <c r="M7" s="459"/>
      <c r="N7" s="459"/>
      <c r="O7" s="459"/>
      <c r="P7" s="459"/>
      <c r="Q7" s="459"/>
      <c r="R7" s="459"/>
      <c r="S7" s="459"/>
    </row>
    <row r="8" spans="1:22" ht="14.4">
      <c r="A8" s="2385">
        <f>'数据-取费表'!AN8</f>
        <v>0</v>
      </c>
      <c r="B8" s="2383" t="e">
        <f ca="1">IF(F8="是",'数据-取费表'!AO8,0)</f>
        <v>#REF!</v>
      </c>
      <c r="C8" s="1728" t="s">
        <v>1651</v>
      </c>
      <c r="D8" s="2474"/>
      <c r="E8" s="2387">
        <f>IF(OR(A8=0,F8="否"),0,'数据-取费表'!K8+'数据-取费表'!S8)</f>
        <v>0</v>
      </c>
      <c r="F8" s="1731"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8" t="s">
        <v>1651</v>
      </c>
      <c r="D9" s="2474"/>
      <c r="E9" s="2387">
        <f>IF(OR(A9=0,F9="否"),0,'数据-取费表'!K9+'数据-取费表'!S9)</f>
        <v>0</v>
      </c>
      <c r="F9" s="1731"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8" t="s">
        <v>1651</v>
      </c>
      <c r="D10" s="2474"/>
      <c r="E10" s="2387">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8" t="s">
        <v>1651</v>
      </c>
      <c r="D11" s="2474"/>
      <c r="E11" s="2387">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8" t="s">
        <v>1651</v>
      </c>
      <c r="D12" s="2474"/>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6"/>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1661</v>
      </c>
      <c r="C1" s="1155" t="s">
        <v>1662</v>
      </c>
      <c r="D1" s="1142"/>
      <c r="E1" s="3119"/>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0"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79"/>
      <c r="M2" s="2480"/>
      <c r="N2" s="2480"/>
      <c r="O2" s="2480"/>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29587.64</v>
      </c>
      <c r="E3" s="854"/>
      <c r="F3" s="1742"/>
      <c r="G3" s="854"/>
      <c r="H3" s="854"/>
      <c r="I3" s="854"/>
      <c r="J3" s="854"/>
      <c r="K3" s="1739"/>
      <c r="L3" s="2479"/>
      <c r="M3" s="2480"/>
      <c r="N3" s="2480"/>
      <c r="O3" s="2480"/>
      <c r="P3" s="1740"/>
      <c r="Q3" s="1741"/>
      <c r="R3" s="1741"/>
      <c r="S3" s="1741"/>
      <c r="T3" s="1741"/>
      <c r="U3" s="1741"/>
      <c r="V3" s="1741"/>
      <c r="W3" s="1741"/>
      <c r="X3" s="1741"/>
      <c r="Y3" s="1741"/>
      <c r="Z3" s="1741"/>
      <c r="AA3" s="1741"/>
      <c r="AB3" s="1741"/>
      <c r="AC3" s="998"/>
    </row>
    <row r="4" spans="1:29" ht="14.4">
      <c r="A4" s="345" t="s">
        <v>1666</v>
      </c>
      <c r="B4" s="346"/>
      <c r="C4" s="3421" t="s">
        <v>1667</v>
      </c>
      <c r="D4" s="3422"/>
      <c r="E4" s="3423" t="s">
        <v>1668</v>
      </c>
      <c r="F4" s="3424"/>
      <c r="G4" s="3421" t="s">
        <v>1669</v>
      </c>
      <c r="H4" s="3422"/>
      <c r="I4" s="3421" t="s">
        <v>1670</v>
      </c>
      <c r="J4" s="3422"/>
      <c r="K4" s="1743" t="s">
        <v>1671</v>
      </c>
      <c r="L4" s="2481"/>
      <c r="M4" s="2482"/>
      <c r="N4" s="2482"/>
      <c r="O4" s="2482"/>
      <c r="P4" s="3425" t="s">
        <v>1672</v>
      </c>
      <c r="Q4" s="3426"/>
      <c r="R4" s="3431" t="s">
        <v>1668</v>
      </c>
      <c r="S4" s="3432"/>
      <c r="T4" s="3431" t="s">
        <v>1669</v>
      </c>
      <c r="U4" s="3432"/>
      <c r="V4" s="3407" t="s">
        <v>1670</v>
      </c>
      <c r="W4" s="3407"/>
      <c r="X4" s="1265"/>
      <c r="Y4" s="3431" t="s">
        <v>1672</v>
      </c>
      <c r="Z4" s="3432"/>
      <c r="AA4" s="3418" t="s">
        <v>1668</v>
      </c>
      <c r="AB4" s="3418" t="s">
        <v>1669</v>
      </c>
      <c r="AC4" s="3418" t="s">
        <v>1670</v>
      </c>
    </row>
    <row r="5" spans="1:29">
      <c r="A5" s="348"/>
      <c r="B5" s="349"/>
      <c r="C5" s="3439" t="s">
        <v>1673</v>
      </c>
      <c r="D5" s="3440"/>
      <c r="E5" s="3446" t="s">
        <v>1674</v>
      </c>
      <c r="F5" s="3447"/>
      <c r="G5" s="3439" t="s">
        <v>1675</v>
      </c>
      <c r="H5" s="3440"/>
      <c r="I5" s="3439" t="s">
        <v>1676</v>
      </c>
      <c r="J5" s="3440"/>
      <c r="K5" s="1744"/>
      <c r="L5" s="2481"/>
      <c r="M5" s="2482"/>
      <c r="N5" s="2482"/>
      <c r="O5" s="2482"/>
      <c r="P5" s="3427"/>
      <c r="Q5" s="3428"/>
      <c r="R5" s="3433"/>
      <c r="S5" s="3434"/>
      <c r="T5" s="3433"/>
      <c r="U5" s="3434"/>
      <c r="V5" s="3407"/>
      <c r="W5" s="3407"/>
      <c r="X5" s="1265"/>
      <c r="Y5" s="3433"/>
      <c r="Z5" s="3434"/>
      <c r="AA5" s="3419"/>
      <c r="AB5" s="3419"/>
      <c r="AC5" s="3419"/>
    </row>
    <row r="6" spans="1:29" ht="15" thickBot="1">
      <c r="A6" s="350"/>
      <c r="B6" s="351"/>
      <c r="C6" s="3437" t="s">
        <v>1677</v>
      </c>
      <c r="D6" s="3438"/>
      <c r="E6" s="3444" t="s">
        <v>1677</v>
      </c>
      <c r="F6" s="3445"/>
      <c r="G6" s="3437" t="s">
        <v>1677</v>
      </c>
      <c r="H6" s="3438"/>
      <c r="I6" s="3437" t="s">
        <v>1677</v>
      </c>
      <c r="J6" s="3438"/>
      <c r="K6" s="1744" t="s">
        <v>1678</v>
      </c>
      <c r="L6" s="2481"/>
      <c r="M6" s="2482"/>
      <c r="N6" s="2482"/>
      <c r="O6" s="2482"/>
      <c r="P6" s="3429"/>
      <c r="Q6" s="3430"/>
      <c r="R6" s="3433"/>
      <c r="S6" s="3434"/>
      <c r="T6" s="3435"/>
      <c r="U6" s="3436"/>
      <c r="V6" s="3407"/>
      <c r="W6" s="3407"/>
      <c r="X6" s="1265"/>
      <c r="Y6" s="3435"/>
      <c r="Z6" s="3436"/>
      <c r="AA6" s="3420"/>
      <c r="AB6" s="3420"/>
      <c r="AC6" s="3420"/>
    </row>
    <row r="7" spans="1:29" s="102" customFormat="1" ht="1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1745"/>
      <c r="L7" s="2483"/>
      <c r="M7" s="2435"/>
      <c r="N7" s="2435"/>
      <c r="O7" s="2435"/>
      <c r="P7" s="3441" t="s">
        <v>1680</v>
      </c>
      <c r="Q7" s="3443"/>
      <c r="R7" s="664" t="s">
        <v>20</v>
      </c>
      <c r="S7" s="665">
        <f t="shared" ref="S7:S15" si="0">F7</f>
        <v>0</v>
      </c>
      <c r="T7" s="664" t="s">
        <v>20</v>
      </c>
      <c r="U7" s="665">
        <f t="shared" ref="U7:U15" si="1">H7</f>
        <v>0</v>
      </c>
      <c r="V7" s="664" t="s">
        <v>20</v>
      </c>
      <c r="W7" s="665">
        <f t="shared" ref="W7:W15" si="2">J7</f>
        <v>0</v>
      </c>
      <c r="X7" s="666"/>
      <c r="Y7" s="3441" t="s">
        <v>1680</v>
      </c>
      <c r="Z7" s="3442"/>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3"/>
      <c r="M8" s="2435"/>
      <c r="N8" s="2435"/>
      <c r="O8" s="2435"/>
      <c r="P8" s="3441" t="s">
        <v>1683</v>
      </c>
      <c r="Q8" s="3442"/>
      <c r="R8" s="664" t="s">
        <v>20</v>
      </c>
      <c r="S8" s="665">
        <f t="shared" si="0"/>
        <v>100</v>
      </c>
      <c r="T8" s="664" t="s">
        <v>20</v>
      </c>
      <c r="U8" s="665">
        <f t="shared" si="1"/>
        <v>100</v>
      </c>
      <c r="V8" s="664" t="s">
        <v>20</v>
      </c>
      <c r="W8" s="665">
        <f t="shared" si="2"/>
        <v>100</v>
      </c>
      <c r="X8" s="666"/>
      <c r="Y8" s="3441" t="s">
        <v>1683</v>
      </c>
      <c r="Z8" s="344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3"/>
      <c r="M9" s="2435"/>
      <c r="N9" s="2435"/>
      <c r="O9" s="2435"/>
      <c r="P9" s="3417" t="s">
        <v>1686</v>
      </c>
      <c r="Q9" s="530" t="str">
        <f t="shared" ref="Q9:Q15" si="6">B9</f>
        <v>用途</v>
      </c>
      <c r="R9" s="664" t="s">
        <v>14</v>
      </c>
      <c r="S9" s="665">
        <f t="shared" si="0"/>
        <v>100</v>
      </c>
      <c r="T9" s="664" t="s">
        <v>14</v>
      </c>
      <c r="U9" s="665">
        <f t="shared" si="1"/>
        <v>100</v>
      </c>
      <c r="V9" s="664" t="s">
        <v>14</v>
      </c>
      <c r="W9" s="665">
        <f t="shared" si="2"/>
        <v>100</v>
      </c>
      <c r="X9" s="666"/>
      <c r="Y9" s="328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5"/>
      <c r="L10" s="2484"/>
      <c r="M10" s="2485"/>
      <c r="N10" s="2485"/>
      <c r="O10" s="2485"/>
      <c r="P10" s="3417"/>
      <c r="Q10" s="530" t="str">
        <f t="shared" si="6"/>
        <v>土地使用年限（年）</v>
      </c>
      <c r="R10" s="664" t="s">
        <v>14</v>
      </c>
      <c r="S10" s="665">
        <f t="shared" si="0"/>
        <v>100</v>
      </c>
      <c r="T10" s="664" t="s">
        <v>14</v>
      </c>
      <c r="U10" s="665">
        <f t="shared" si="1"/>
        <v>100</v>
      </c>
      <c r="V10" s="664" t="s">
        <v>14</v>
      </c>
      <c r="W10" s="665">
        <f t="shared" si="2"/>
        <v>100</v>
      </c>
      <c r="X10" s="666"/>
      <c r="Y10" s="328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17"/>
      <c r="Q11" s="530" t="str">
        <f t="shared" si="6"/>
        <v>容积率</v>
      </c>
      <c r="R11" s="664" t="s">
        <v>18</v>
      </c>
      <c r="S11" s="665" t="e">
        <f t="shared" si="0"/>
        <v>#N/A</v>
      </c>
      <c r="T11" s="664" t="s">
        <v>18</v>
      </c>
      <c r="U11" s="665" t="e">
        <f t="shared" si="1"/>
        <v>#N/A</v>
      </c>
      <c r="V11" s="664" t="s">
        <v>18</v>
      </c>
      <c r="W11" s="665" t="e">
        <f t="shared" si="2"/>
        <v>#N/A</v>
      </c>
      <c r="X11" s="666"/>
      <c r="Y11" s="328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5"/>
      <c r="N12" s="2435"/>
      <c r="O12" s="2435"/>
      <c r="P12" s="3417"/>
      <c r="Q12" s="530">
        <f t="shared" si="6"/>
        <v>111</v>
      </c>
      <c r="R12" s="664" t="s">
        <v>18</v>
      </c>
      <c r="S12" s="665">
        <f t="shared" si="0"/>
        <v>100</v>
      </c>
      <c r="T12" s="664" t="s">
        <v>18</v>
      </c>
      <c r="U12" s="665">
        <f t="shared" si="1"/>
        <v>100</v>
      </c>
      <c r="V12" s="664" t="s">
        <v>18</v>
      </c>
      <c r="W12" s="665">
        <f t="shared" si="2"/>
        <v>100</v>
      </c>
      <c r="X12" s="666"/>
      <c r="Y12" s="32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417"/>
      <c r="Q13" s="530">
        <f t="shared" si="6"/>
        <v>111</v>
      </c>
      <c r="R13" s="664" t="s">
        <v>18</v>
      </c>
      <c r="S13" s="665">
        <f t="shared" si="0"/>
        <v>100</v>
      </c>
      <c r="T13" s="664" t="s">
        <v>18</v>
      </c>
      <c r="U13" s="665">
        <f t="shared" si="1"/>
        <v>100</v>
      </c>
      <c r="V13" s="664" t="s">
        <v>18</v>
      </c>
      <c r="W13" s="665">
        <f t="shared" si="2"/>
        <v>100</v>
      </c>
      <c r="X13" s="666"/>
      <c r="Y13" s="328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417"/>
      <c r="Q14" s="530">
        <f t="shared" si="6"/>
        <v>111</v>
      </c>
      <c r="R14" s="664" t="s">
        <v>18</v>
      </c>
      <c r="S14" s="665">
        <f t="shared" si="0"/>
        <v>100</v>
      </c>
      <c r="T14" s="664" t="s">
        <v>18</v>
      </c>
      <c r="U14" s="665">
        <f t="shared" si="1"/>
        <v>100</v>
      </c>
      <c r="V14" s="664" t="s">
        <v>18</v>
      </c>
      <c r="W14" s="665">
        <f t="shared" si="2"/>
        <v>100</v>
      </c>
      <c r="X14" s="666"/>
      <c r="Y14" s="3281"/>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15"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87"/>
      <c r="M16" s="2482"/>
      <c r="N16" s="2482"/>
      <c r="O16" s="2482"/>
      <c r="P16" s="3416"/>
      <c r="Q16" s="1263"/>
      <c r="R16" s="667"/>
      <c r="S16" s="668"/>
      <c r="T16" s="667"/>
      <c r="U16" s="668"/>
      <c r="V16" s="667"/>
      <c r="W16" s="668"/>
      <c r="X16" s="1265"/>
      <c r="Y16" s="3409"/>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16"/>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87"/>
      <c r="M18" s="2482"/>
      <c r="N18" s="2482"/>
      <c r="O18" s="2482"/>
      <c r="P18" s="3416"/>
      <c r="Q18" s="1263"/>
      <c r="R18" s="667"/>
      <c r="S18" s="668"/>
      <c r="T18" s="667"/>
      <c r="U18" s="668"/>
      <c r="V18" s="667"/>
      <c r="W18" s="668"/>
      <c r="X18" s="1265"/>
      <c r="Y18" s="3409"/>
      <c r="Z18" s="1264"/>
      <c r="AA18" s="1264">
        <v>1</v>
      </c>
      <c r="AB18" s="1264">
        <v>1</v>
      </c>
      <c r="AC18" s="1264">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16"/>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87"/>
      <c r="M20" s="2482"/>
      <c r="N20" s="2482"/>
      <c r="O20" s="2482"/>
      <c r="P20" s="3416"/>
      <c r="Q20" s="1263"/>
      <c r="R20" s="667"/>
      <c r="S20" s="668"/>
      <c r="T20" s="667"/>
      <c r="U20" s="668"/>
      <c r="V20" s="667"/>
      <c r="W20" s="668"/>
      <c r="X20" s="1265"/>
      <c r="Y20" s="3409"/>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87"/>
      <c r="M22" s="2482"/>
      <c r="N22" s="2482"/>
      <c r="O22" s="2482"/>
      <c r="P22" s="3416"/>
      <c r="Q22" s="1263"/>
      <c r="R22" s="667"/>
      <c r="S22" s="668"/>
      <c r="T22" s="667"/>
      <c r="U22" s="668"/>
      <c r="V22" s="667"/>
      <c r="W22" s="668"/>
      <c r="X22" s="1265"/>
      <c r="Y22" s="3409"/>
      <c r="Z22" s="1264"/>
      <c r="AA22" s="1264">
        <v>1</v>
      </c>
      <c r="AB22" s="1264">
        <v>1</v>
      </c>
      <c r="AC22" s="1264">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16"/>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87"/>
      <c r="M24" s="2482"/>
      <c r="N24" s="2482"/>
      <c r="O24" s="2482"/>
      <c r="P24" s="3416"/>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7"/>
      <c r="M25" s="2482"/>
      <c r="N25" s="2482"/>
      <c r="O25" s="2482"/>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7"/>
      <c r="M26" s="2482"/>
      <c r="N26" s="2482"/>
      <c r="O26" s="2482"/>
      <c r="P26" s="3416"/>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5"/>
      <c r="N27" s="2435"/>
      <c r="O27" s="2435"/>
      <c r="P27" s="3416"/>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416"/>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416"/>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416"/>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416"/>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7"/>
      <c r="M32" s="2482"/>
      <c r="N32" s="2482"/>
      <c r="O32" s="2482"/>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6"/>
      <c r="M33" s="2488"/>
      <c r="N33" s="2488"/>
      <c r="O33" s="2488"/>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7"/>
      <c r="M34" s="2482"/>
      <c r="N34" s="2482"/>
      <c r="O34" s="2482"/>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7"/>
      <c r="M35" s="2482"/>
      <c r="N35" s="2482"/>
      <c r="O35" s="2482"/>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7"/>
      <c r="M36" s="2482"/>
      <c r="N36" s="2482"/>
      <c r="O36" s="2482"/>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7"/>
      <c r="M38" s="2482"/>
      <c r="N38" s="2482"/>
      <c r="O38" s="2482"/>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7"/>
      <c r="M39" s="2482"/>
      <c r="N39" s="2482"/>
      <c r="O39" s="2482"/>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7"/>
      <c r="M42" s="2482"/>
      <c r="N42" s="2482"/>
      <c r="O42" s="2482"/>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7"/>
      <c r="M43" s="2482"/>
      <c r="N43" s="2482"/>
      <c r="O43" s="2482"/>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5"/>
      <c r="N44" s="2435"/>
      <c r="O44" s="2435"/>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6"/>
      <c r="L47" s="2489"/>
      <c r="M47" s="2482"/>
      <c r="N47" s="2482"/>
      <c r="O47" s="2482"/>
      <c r="P47" s="3406" t="str">
        <f>A47</f>
        <v>成交单价（元/平方米）</v>
      </c>
      <c r="Q47" s="3406"/>
      <c r="R47" s="3407">
        <f>E47</f>
        <v>0</v>
      </c>
      <c r="S47" s="3407"/>
      <c r="T47" s="3407">
        <f>G47</f>
        <v>0</v>
      </c>
      <c r="U47" s="3407"/>
      <c r="V47" s="3407">
        <f>I47</f>
        <v>0</v>
      </c>
      <c r="W47" s="3407"/>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89"/>
      <c r="M48" s="2482"/>
      <c r="N48" s="2482"/>
      <c r="O48" s="2482"/>
      <c r="P48" s="3406" t="str">
        <f>A48</f>
        <v>比较价值（元/平方米）</v>
      </c>
      <c r="Q48" s="3406"/>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89"/>
      <c r="M49" s="2482"/>
      <c r="N49" s="2482"/>
      <c r="O49" s="2482"/>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1766</v>
      </c>
      <c r="C1" s="1155" t="s">
        <v>1662</v>
      </c>
      <c r="D1" s="1142"/>
      <c r="E1" s="3119"/>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8"/>
      <c r="M2" s="2499"/>
      <c r="N2" s="2499"/>
      <c r="O2" s="2499"/>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29587.64</v>
      </c>
      <c r="E3" s="1804"/>
      <c r="F3" s="856"/>
      <c r="G3" s="855"/>
      <c r="H3" s="855"/>
      <c r="I3" s="855"/>
      <c r="J3" s="855"/>
      <c r="K3" s="857"/>
      <c r="L3" s="2498"/>
      <c r="M3" s="2499"/>
      <c r="N3" s="2499"/>
      <c r="O3" s="2499"/>
      <c r="P3" s="1803"/>
      <c r="Q3" s="859"/>
      <c r="R3" s="859"/>
      <c r="S3" s="859"/>
      <c r="T3" s="859"/>
      <c r="U3" s="859"/>
      <c r="V3" s="859"/>
      <c r="W3" s="859"/>
      <c r="X3" s="859"/>
      <c r="Y3" s="859"/>
      <c r="Z3" s="859"/>
      <c r="AA3" s="859"/>
      <c r="AB3" s="859"/>
      <c r="AC3" s="1804"/>
    </row>
    <row r="4" spans="1:29" ht="14.4">
      <c r="A4" s="345" t="s">
        <v>1769</v>
      </c>
      <c r="B4" s="346"/>
      <c r="C4" s="3421" t="s">
        <v>1770</v>
      </c>
      <c r="D4" s="3422"/>
      <c r="E4" s="3423" t="s">
        <v>1771</v>
      </c>
      <c r="F4" s="3424"/>
      <c r="G4" s="3421" t="s">
        <v>1772</v>
      </c>
      <c r="H4" s="3422"/>
      <c r="I4" s="3421" t="s">
        <v>1773</v>
      </c>
      <c r="J4" s="3422"/>
      <c r="K4" s="537" t="s">
        <v>1774</v>
      </c>
      <c r="L4" s="2481"/>
      <c r="M4" s="2482"/>
      <c r="N4" s="2482"/>
      <c r="O4" s="2482"/>
      <c r="P4" s="3425" t="s">
        <v>1775</v>
      </c>
      <c r="Q4" s="3426"/>
      <c r="R4" s="3431" t="s">
        <v>1771</v>
      </c>
      <c r="S4" s="3432"/>
      <c r="T4" s="3431" t="s">
        <v>1772</v>
      </c>
      <c r="U4" s="3432"/>
      <c r="V4" s="3407" t="s">
        <v>1773</v>
      </c>
      <c r="W4" s="3407"/>
      <c r="X4" s="1265"/>
      <c r="Y4" s="3431" t="s">
        <v>1775</v>
      </c>
      <c r="Z4" s="3432"/>
      <c r="AA4" s="3418" t="s">
        <v>1771</v>
      </c>
      <c r="AB4" s="3407" t="s">
        <v>1772</v>
      </c>
      <c r="AC4" s="3418" t="s">
        <v>1773</v>
      </c>
    </row>
    <row r="5" spans="1:29">
      <c r="A5" s="348"/>
      <c r="B5" s="349"/>
      <c r="C5" s="3439" t="s">
        <v>1673</v>
      </c>
      <c r="D5" s="3440"/>
      <c r="E5" s="3446" t="s">
        <v>1674</v>
      </c>
      <c r="F5" s="3447"/>
      <c r="G5" s="3439" t="s">
        <v>1675</v>
      </c>
      <c r="H5" s="3440"/>
      <c r="I5" s="3439" t="s">
        <v>1676</v>
      </c>
      <c r="J5" s="3440"/>
      <c r="K5" s="537"/>
      <c r="L5" s="2481"/>
      <c r="M5" s="2482"/>
      <c r="N5" s="2482"/>
      <c r="O5" s="2482"/>
      <c r="P5" s="3427"/>
      <c r="Q5" s="3428"/>
      <c r="R5" s="3433"/>
      <c r="S5" s="3434"/>
      <c r="T5" s="3433"/>
      <c r="U5" s="3434"/>
      <c r="V5" s="3407"/>
      <c r="W5" s="3407"/>
      <c r="X5" s="1265"/>
      <c r="Y5" s="3433"/>
      <c r="Z5" s="3434"/>
      <c r="AA5" s="3419"/>
      <c r="AB5" s="3407"/>
      <c r="AC5" s="3419"/>
    </row>
    <row r="6" spans="1:29" ht="15" thickBot="1">
      <c r="A6" s="350"/>
      <c r="B6" s="351"/>
      <c r="C6" s="3437" t="s">
        <v>1677</v>
      </c>
      <c r="D6" s="3438"/>
      <c r="E6" s="3444" t="s">
        <v>1677</v>
      </c>
      <c r="F6" s="3445"/>
      <c r="G6" s="3437" t="s">
        <v>1677</v>
      </c>
      <c r="H6" s="3438"/>
      <c r="I6" s="3437" t="s">
        <v>1677</v>
      </c>
      <c r="J6" s="3438"/>
      <c r="K6" s="537" t="s">
        <v>1678</v>
      </c>
      <c r="L6" s="2481"/>
      <c r="M6" s="2482"/>
      <c r="N6" s="2482"/>
      <c r="O6" s="2482"/>
      <c r="P6" s="3429"/>
      <c r="Q6" s="3430"/>
      <c r="R6" s="3433"/>
      <c r="S6" s="3434"/>
      <c r="T6" s="3435"/>
      <c r="U6" s="3436"/>
      <c r="V6" s="3407"/>
      <c r="W6" s="3407"/>
      <c r="X6" s="1265"/>
      <c r="Y6" s="3435"/>
      <c r="Z6" s="3436"/>
      <c r="AA6" s="3420"/>
      <c r="AB6" s="3407"/>
      <c r="AC6" s="3420"/>
    </row>
    <row r="7" spans="1:29" s="102" customFormat="1" ht="1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38"/>
      <c r="L7" s="2483"/>
      <c r="M7" s="2435"/>
      <c r="N7" s="2435"/>
      <c r="O7" s="2435"/>
      <c r="P7" s="3441" t="s">
        <v>1680</v>
      </c>
      <c r="Q7" s="3443"/>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441" t="s">
        <v>1683</v>
      </c>
      <c r="Q8" s="3442"/>
      <c r="R8" s="664" t="s">
        <v>14</v>
      </c>
      <c r="S8" s="665">
        <f t="shared" si="0"/>
        <v>100</v>
      </c>
      <c r="T8" s="664" t="s">
        <v>14</v>
      </c>
      <c r="U8" s="665">
        <f t="shared" si="1"/>
        <v>100</v>
      </c>
      <c r="V8" s="664" t="s">
        <v>14</v>
      </c>
      <c r="W8" s="665">
        <f t="shared" si="2"/>
        <v>100</v>
      </c>
      <c r="X8" s="666"/>
      <c r="Y8" s="3441" t="s">
        <v>1683</v>
      </c>
      <c r="Z8" s="344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417" t="s">
        <v>1686</v>
      </c>
      <c r="Q9" s="530" t="str">
        <f t="shared" ref="Q9:Q15" si="6">B9</f>
        <v>用途</v>
      </c>
      <c r="R9" s="664" t="s">
        <v>14</v>
      </c>
      <c r="S9" s="665">
        <f t="shared" si="0"/>
        <v>100</v>
      </c>
      <c r="T9" s="664" t="s">
        <v>14</v>
      </c>
      <c r="U9" s="665">
        <f t="shared" si="1"/>
        <v>100</v>
      </c>
      <c r="V9" s="664" t="s">
        <v>14</v>
      </c>
      <c r="W9" s="665">
        <f t="shared" si="2"/>
        <v>100</v>
      </c>
      <c r="X9" s="666"/>
      <c r="Y9" s="328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17"/>
      <c r="Q10" s="530" t="str">
        <f t="shared" si="6"/>
        <v>土地使用年限（年）</v>
      </c>
      <c r="R10" s="664" t="s">
        <v>14</v>
      </c>
      <c r="S10" s="665">
        <f t="shared" si="0"/>
        <v>100</v>
      </c>
      <c r="T10" s="664" t="s">
        <v>14</v>
      </c>
      <c r="U10" s="665">
        <f t="shared" si="1"/>
        <v>100</v>
      </c>
      <c r="V10" s="664" t="s">
        <v>14</v>
      </c>
      <c r="W10" s="665">
        <f t="shared" si="2"/>
        <v>100</v>
      </c>
      <c r="X10" s="666"/>
      <c r="Y10" s="328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417"/>
      <c r="Q11" s="530" t="str">
        <f t="shared" si="6"/>
        <v>容积率</v>
      </c>
      <c r="R11" s="664" t="s">
        <v>14</v>
      </c>
      <c r="S11" s="665" t="e">
        <f t="shared" si="0"/>
        <v>#N/A</v>
      </c>
      <c r="T11" s="664" t="s">
        <v>14</v>
      </c>
      <c r="U11" s="665" t="e">
        <f t="shared" si="1"/>
        <v>#N/A</v>
      </c>
      <c r="V11" s="664" t="s">
        <v>14</v>
      </c>
      <c r="W11" s="665" t="e">
        <f t="shared" si="2"/>
        <v>#N/A</v>
      </c>
      <c r="X11" s="666"/>
      <c r="Y11" s="328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17"/>
      <c r="Q12" s="530">
        <f t="shared" si="6"/>
        <v>111</v>
      </c>
      <c r="R12" s="664" t="s">
        <v>14</v>
      </c>
      <c r="S12" s="665">
        <f t="shared" si="0"/>
        <v>100</v>
      </c>
      <c r="T12" s="664" t="s">
        <v>14</v>
      </c>
      <c r="U12" s="665">
        <f t="shared" si="1"/>
        <v>100</v>
      </c>
      <c r="V12" s="664" t="s">
        <v>14</v>
      </c>
      <c r="W12" s="665">
        <f t="shared" si="2"/>
        <v>100</v>
      </c>
      <c r="X12" s="666"/>
      <c r="Y12" s="32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17"/>
      <c r="Q13" s="530">
        <f t="shared" si="6"/>
        <v>111</v>
      </c>
      <c r="R13" s="664" t="s">
        <v>14</v>
      </c>
      <c r="S13" s="665">
        <f t="shared" si="0"/>
        <v>100</v>
      </c>
      <c r="T13" s="664" t="s">
        <v>14</v>
      </c>
      <c r="U13" s="665">
        <f t="shared" si="1"/>
        <v>100</v>
      </c>
      <c r="V13" s="664" t="s">
        <v>14</v>
      </c>
      <c r="W13" s="665">
        <f t="shared" si="2"/>
        <v>100</v>
      </c>
      <c r="X13" s="666"/>
      <c r="Y13" s="328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17"/>
      <c r="Q14" s="530">
        <f t="shared" si="6"/>
        <v>111</v>
      </c>
      <c r="R14" s="664" t="s">
        <v>14</v>
      </c>
      <c r="S14" s="665">
        <f t="shared" si="0"/>
        <v>100</v>
      </c>
      <c r="T14" s="664" t="s">
        <v>14</v>
      </c>
      <c r="U14" s="665">
        <f t="shared" si="1"/>
        <v>100</v>
      </c>
      <c r="V14" s="664" t="s">
        <v>14</v>
      </c>
      <c r="W14" s="665">
        <f t="shared" si="2"/>
        <v>100</v>
      </c>
      <c r="X14" s="666"/>
      <c r="Y14" s="3281"/>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15"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7"/>
      <c r="M16" s="2482"/>
      <c r="N16" s="2482"/>
      <c r="O16" s="2482"/>
      <c r="P16" s="3416"/>
      <c r="Q16" s="1263"/>
      <c r="R16" s="667"/>
      <c r="S16" s="668"/>
      <c r="T16" s="667"/>
      <c r="U16" s="668"/>
      <c r="V16" s="667"/>
      <c r="W16" s="668"/>
      <c r="X16" s="1265"/>
      <c r="Y16" s="3409"/>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87"/>
      <c r="M18" s="2482"/>
      <c r="N18" s="2482"/>
      <c r="O18" s="2482"/>
      <c r="P18" s="3416"/>
      <c r="Q18" s="1263"/>
      <c r="R18" s="667"/>
      <c r="S18" s="668"/>
      <c r="T18" s="667"/>
      <c r="U18" s="668"/>
      <c r="V18" s="667"/>
      <c r="W18" s="668"/>
      <c r="X18" s="1265"/>
      <c r="Y18" s="3409"/>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87"/>
      <c r="M20" s="2482"/>
      <c r="N20" s="2482"/>
      <c r="O20" s="2482"/>
      <c r="P20" s="3416"/>
      <c r="Q20" s="1263"/>
      <c r="R20" s="667"/>
      <c r="S20" s="668"/>
      <c r="T20" s="667"/>
      <c r="U20" s="668"/>
      <c r="V20" s="667"/>
      <c r="W20" s="668"/>
      <c r="X20" s="1265"/>
      <c r="Y20" s="3409"/>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87"/>
      <c r="M22" s="2482"/>
      <c r="N22" s="2482"/>
      <c r="O22" s="2482"/>
      <c r="P22" s="3416"/>
      <c r="Q22" s="1263"/>
      <c r="R22" s="667"/>
      <c r="S22" s="668"/>
      <c r="T22" s="667"/>
      <c r="U22" s="668"/>
      <c r="V22" s="667"/>
      <c r="W22" s="668"/>
      <c r="X22" s="1265"/>
      <c r="Y22" s="3409"/>
      <c r="Z22" s="1264"/>
      <c r="AA22" s="1264">
        <v>1</v>
      </c>
      <c r="AB22" s="1264">
        <v>1</v>
      </c>
      <c r="AC22" s="1264">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16"/>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87"/>
      <c r="M24" s="2482"/>
      <c r="N24" s="2482"/>
      <c r="O24" s="2482"/>
      <c r="P24" s="3416"/>
      <c r="Q24" s="1263"/>
      <c r="R24" s="667"/>
      <c r="S24" s="668"/>
      <c r="T24" s="667"/>
      <c r="U24" s="668"/>
      <c r="V24" s="667"/>
      <c r="W24" s="668"/>
      <c r="X24" s="1265"/>
      <c r="Y24" s="340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16"/>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16"/>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5"/>
      <c r="N27" s="2435"/>
      <c r="O27" s="2435"/>
      <c r="P27" s="3416"/>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16"/>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5"/>
      <c r="N37" s="2435"/>
      <c r="O37" s="2435"/>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89"/>
      <c r="M47" s="2482"/>
      <c r="N47" s="2482"/>
      <c r="O47" s="2482"/>
      <c r="P47" s="3406" t="str">
        <f>A47</f>
        <v>成交单价（元/平方米）</v>
      </c>
      <c r="Q47" s="3406"/>
      <c r="R47" s="3407">
        <f>E47</f>
        <v>0</v>
      </c>
      <c r="S47" s="3407"/>
      <c r="T47" s="3407">
        <f>G47</f>
        <v>0</v>
      </c>
      <c r="U47" s="3407"/>
      <c r="V47" s="3407">
        <f>I47</f>
        <v>0</v>
      </c>
      <c r="W47" s="3407"/>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89"/>
      <c r="M48" s="2482"/>
      <c r="N48" s="2482"/>
      <c r="O48" s="2482"/>
      <c r="P48" s="3406" t="str">
        <f>A48</f>
        <v>比较价值（元/平方米）</v>
      </c>
      <c r="Q48" s="3406"/>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9"/>
      <c r="M49" s="2482"/>
      <c r="N49" s="2482"/>
      <c r="O49" s="2482"/>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1798</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4.4">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4"/>
      <c r="Q58" s="2505"/>
      <c r="R58" s="2505"/>
      <c r="S58" s="2505"/>
      <c r="T58" s="2505"/>
      <c r="U58" s="2505"/>
      <c r="V58" s="2505"/>
      <c r="W58" s="2505"/>
      <c r="X58" s="2505"/>
      <c r="Y58" s="2505"/>
      <c r="Z58" s="2505"/>
      <c r="AA58" s="2505"/>
      <c r="AB58" s="2505"/>
      <c r="AC58" s="2505"/>
    </row>
    <row r="59" spans="1:29" s="102" customFormat="1">
      <c r="A59" s="443"/>
      <c r="B59" s="444"/>
      <c r="C59" s="1102">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ht="14.4">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4"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c r="E1" s="3126"/>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29587.64</v>
      </c>
      <c r="E3" s="1804"/>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4.4">
      <c r="A4" s="345" t="s">
        <v>1769</v>
      </c>
      <c r="B4" s="346"/>
      <c r="C4" s="3421" t="s">
        <v>1770</v>
      </c>
      <c r="D4" s="3422"/>
      <c r="E4" s="3423" t="s">
        <v>1771</v>
      </c>
      <c r="F4" s="3424"/>
      <c r="G4" s="3421" t="s">
        <v>1772</v>
      </c>
      <c r="H4" s="3422"/>
      <c r="I4" s="3421" t="s">
        <v>1773</v>
      </c>
      <c r="J4" s="3422"/>
      <c r="K4" s="537" t="s">
        <v>1774</v>
      </c>
      <c r="L4" s="2481"/>
      <c r="M4" s="2482"/>
      <c r="N4" s="2482"/>
      <c r="O4" s="2482"/>
      <c r="P4" s="3454" t="s">
        <v>1775</v>
      </c>
      <c r="Q4" s="3455"/>
      <c r="R4" s="3458" t="s">
        <v>1771</v>
      </c>
      <c r="S4" s="3459"/>
      <c r="T4" s="3458" t="s">
        <v>1772</v>
      </c>
      <c r="U4" s="3459"/>
      <c r="V4" s="3460" t="s">
        <v>1773</v>
      </c>
      <c r="W4" s="3460"/>
      <c r="X4" s="1808"/>
      <c r="Y4" s="3458" t="s">
        <v>1775</v>
      </c>
      <c r="Z4" s="3459"/>
      <c r="AA4" s="3462" t="s">
        <v>1771</v>
      </c>
      <c r="AB4" s="3462" t="s">
        <v>1772</v>
      </c>
      <c r="AC4" s="3451" t="s">
        <v>1773</v>
      </c>
    </row>
    <row r="5" spans="1:29">
      <c r="A5" s="348"/>
      <c r="B5" s="349"/>
      <c r="C5" s="3439" t="s">
        <v>1673</v>
      </c>
      <c r="D5" s="3440"/>
      <c r="E5" s="3446" t="s">
        <v>1674</v>
      </c>
      <c r="F5" s="3447"/>
      <c r="G5" s="3439" t="s">
        <v>1675</v>
      </c>
      <c r="H5" s="3440"/>
      <c r="I5" s="3439" t="s">
        <v>1676</v>
      </c>
      <c r="J5" s="3440"/>
      <c r="K5" s="537"/>
      <c r="L5" s="2481"/>
      <c r="M5" s="2482"/>
      <c r="N5" s="2482"/>
      <c r="O5" s="2482"/>
      <c r="P5" s="3456"/>
      <c r="Q5" s="3428"/>
      <c r="R5" s="3433"/>
      <c r="S5" s="3434"/>
      <c r="T5" s="3433"/>
      <c r="U5" s="3434"/>
      <c r="V5" s="3407"/>
      <c r="W5" s="3407"/>
      <c r="X5" s="1265"/>
      <c r="Y5" s="3433"/>
      <c r="Z5" s="3434"/>
      <c r="AA5" s="3419"/>
      <c r="AB5" s="3419"/>
      <c r="AC5" s="3452"/>
    </row>
    <row r="6" spans="1:29" ht="15" thickBot="1">
      <c r="A6" s="350"/>
      <c r="B6" s="351"/>
      <c r="C6" s="3437" t="s">
        <v>1677</v>
      </c>
      <c r="D6" s="3438"/>
      <c r="E6" s="3444" t="s">
        <v>1677</v>
      </c>
      <c r="F6" s="3445"/>
      <c r="G6" s="3437" t="s">
        <v>1677</v>
      </c>
      <c r="H6" s="3438"/>
      <c r="I6" s="3437" t="s">
        <v>1677</v>
      </c>
      <c r="J6" s="3438"/>
      <c r="K6" s="537" t="s">
        <v>1678</v>
      </c>
      <c r="L6" s="2481"/>
      <c r="M6" s="2482"/>
      <c r="N6" s="2482"/>
      <c r="O6" s="2482"/>
      <c r="P6" s="3457"/>
      <c r="Q6" s="3430"/>
      <c r="R6" s="3433"/>
      <c r="S6" s="3434"/>
      <c r="T6" s="3435"/>
      <c r="U6" s="3436"/>
      <c r="V6" s="3407"/>
      <c r="W6" s="3407"/>
      <c r="X6" s="1265"/>
      <c r="Y6" s="3435"/>
      <c r="Z6" s="3436"/>
      <c r="AA6" s="3420"/>
      <c r="AB6" s="3420"/>
      <c r="AC6" s="3453"/>
    </row>
    <row r="7" spans="1:29" s="102" customFormat="1" ht="15" thickBot="1">
      <c r="A7" s="352" t="s">
        <v>1679</v>
      </c>
      <c r="B7" s="353"/>
      <c r="C7" s="354">
        <f>'数据-取费表'!B2</f>
        <v>45594</v>
      </c>
      <c r="D7" s="355">
        <v>100</v>
      </c>
      <c r="E7" s="356"/>
      <c r="F7" s="357">
        <f>SUMIF(59:59,YEAR(E7)&amp;"-"&amp;MONTH(E7),60:60)</f>
        <v>0</v>
      </c>
      <c r="G7" s="356"/>
      <c r="H7" s="355">
        <f>SUMIF(59:59,YEAR(G7)&amp;"-"&amp;MONTH(G7),60:60)</f>
        <v>0</v>
      </c>
      <c r="I7" s="356"/>
      <c r="J7" s="355">
        <f>SUMIF(59:59,YEAR(I7)&amp;"-"&amp;MONTH(I7),60:60)</f>
        <v>0</v>
      </c>
      <c r="K7" s="38"/>
      <c r="L7" s="2483"/>
      <c r="M7" s="2435"/>
      <c r="N7" s="2435"/>
      <c r="O7" s="2435"/>
      <c r="P7" s="3461" t="s">
        <v>1680</v>
      </c>
      <c r="Q7" s="3443"/>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461" t="s">
        <v>1683</v>
      </c>
      <c r="Q8" s="3442"/>
      <c r="R8" s="664" t="s">
        <v>14</v>
      </c>
      <c r="S8" s="665">
        <f t="shared" si="0"/>
        <v>100</v>
      </c>
      <c r="T8" s="664" t="s">
        <v>14</v>
      </c>
      <c r="U8" s="665">
        <f t="shared" si="1"/>
        <v>100</v>
      </c>
      <c r="V8" s="664" t="s">
        <v>14</v>
      </c>
      <c r="W8" s="665">
        <f t="shared" si="2"/>
        <v>100</v>
      </c>
      <c r="X8" s="666"/>
      <c r="Y8" s="3441" t="s">
        <v>1683</v>
      </c>
      <c r="Z8" s="344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17" t="s">
        <v>1686</v>
      </c>
      <c r="Q9" s="530" t="str">
        <f t="shared" ref="Q9:Q15" si="6">B9</f>
        <v>用途</v>
      </c>
      <c r="R9" s="664" t="s">
        <v>14</v>
      </c>
      <c r="S9" s="665">
        <f t="shared" si="0"/>
        <v>100</v>
      </c>
      <c r="T9" s="664" t="s">
        <v>14</v>
      </c>
      <c r="U9" s="665">
        <f t="shared" si="1"/>
        <v>100</v>
      </c>
      <c r="V9" s="664" t="s">
        <v>14</v>
      </c>
      <c r="W9" s="665">
        <f t="shared" si="2"/>
        <v>100</v>
      </c>
      <c r="X9" s="666"/>
      <c r="Y9" s="3281" t="s">
        <v>1687</v>
      </c>
      <c r="Z9" s="50" t="str">
        <f t="shared" ref="Z9:Z15" si="7">Q9</f>
        <v>用途</v>
      </c>
      <c r="AA9" s="50">
        <f t="shared" si="3"/>
        <v>1</v>
      </c>
      <c r="AB9" s="50">
        <f t="shared" si="4"/>
        <v>1</v>
      </c>
      <c r="AC9" s="802">
        <f t="shared" si="5"/>
        <v>1</v>
      </c>
    </row>
    <row r="10" spans="1:29" s="366" customFormat="1" ht="28.8">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417"/>
      <c r="Q10" s="530" t="str">
        <f t="shared" si="6"/>
        <v>土地使用年限（年）</v>
      </c>
      <c r="R10" s="664" t="s">
        <v>14</v>
      </c>
      <c r="S10" s="665">
        <f t="shared" si="0"/>
        <v>100</v>
      </c>
      <c r="T10" s="664" t="s">
        <v>14</v>
      </c>
      <c r="U10" s="665">
        <f t="shared" si="1"/>
        <v>100</v>
      </c>
      <c r="V10" s="664" t="s">
        <v>14</v>
      </c>
      <c r="W10" s="665">
        <f t="shared" si="2"/>
        <v>100</v>
      </c>
      <c r="X10" s="666"/>
      <c r="Y10" s="328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17"/>
      <c r="Q11" s="530" t="str">
        <f t="shared" si="6"/>
        <v>容积率</v>
      </c>
      <c r="R11" s="664" t="s">
        <v>14</v>
      </c>
      <c r="S11" s="665">
        <f t="shared" si="0"/>
        <v>100</v>
      </c>
      <c r="T11" s="664" t="s">
        <v>14</v>
      </c>
      <c r="U11" s="665">
        <f t="shared" si="1"/>
        <v>100</v>
      </c>
      <c r="V11" s="664" t="s">
        <v>14</v>
      </c>
      <c r="W11" s="665">
        <f t="shared" si="2"/>
        <v>100</v>
      </c>
      <c r="X11" s="666"/>
      <c r="Y11" s="328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5"/>
      <c r="N12" s="2435"/>
      <c r="O12" s="2435"/>
      <c r="P12" s="3417"/>
      <c r="Q12" s="530">
        <f t="shared" si="6"/>
        <v>111</v>
      </c>
      <c r="R12" s="664" t="s">
        <v>14</v>
      </c>
      <c r="S12" s="665">
        <f t="shared" si="0"/>
        <v>100</v>
      </c>
      <c r="T12" s="664" t="s">
        <v>14</v>
      </c>
      <c r="U12" s="665">
        <f t="shared" si="1"/>
        <v>100</v>
      </c>
      <c r="V12" s="664" t="s">
        <v>14</v>
      </c>
      <c r="W12" s="665">
        <f t="shared" si="2"/>
        <v>100</v>
      </c>
      <c r="X12" s="666"/>
      <c r="Y12" s="328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417"/>
      <c r="Q13" s="530">
        <f t="shared" si="6"/>
        <v>111</v>
      </c>
      <c r="R13" s="664" t="s">
        <v>14</v>
      </c>
      <c r="S13" s="665">
        <f t="shared" si="0"/>
        <v>100</v>
      </c>
      <c r="T13" s="664" t="s">
        <v>14</v>
      </c>
      <c r="U13" s="665">
        <f t="shared" si="1"/>
        <v>100</v>
      </c>
      <c r="V13" s="664" t="s">
        <v>14</v>
      </c>
      <c r="W13" s="665">
        <f t="shared" si="2"/>
        <v>100</v>
      </c>
      <c r="X13" s="666"/>
      <c r="Y13" s="3281"/>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417"/>
      <c r="Q14" s="530">
        <f t="shared" si="6"/>
        <v>111</v>
      </c>
      <c r="R14" s="664" t="s">
        <v>14</v>
      </c>
      <c r="S14" s="665">
        <f t="shared" si="0"/>
        <v>100</v>
      </c>
      <c r="T14" s="664" t="s">
        <v>14</v>
      </c>
      <c r="U14" s="665">
        <f t="shared" si="1"/>
        <v>100</v>
      </c>
      <c r="V14" s="664" t="s">
        <v>14</v>
      </c>
      <c r="W14" s="665">
        <f t="shared" si="2"/>
        <v>100</v>
      </c>
      <c r="X14" s="666"/>
      <c r="Y14" s="3281"/>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15"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87"/>
      <c r="M16" s="2482"/>
      <c r="N16" s="2482"/>
      <c r="O16" s="2482"/>
      <c r="P16" s="3416"/>
      <c r="Q16" s="1263"/>
      <c r="R16" s="667"/>
      <c r="S16" s="668"/>
      <c r="T16" s="667"/>
      <c r="U16" s="668"/>
      <c r="V16" s="667"/>
      <c r="W16" s="668"/>
      <c r="X16" s="1265"/>
      <c r="Y16" s="3409"/>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87"/>
      <c r="M18" s="2482"/>
      <c r="N18" s="2482"/>
      <c r="O18" s="2482"/>
      <c r="P18" s="3416"/>
      <c r="Q18" s="1263"/>
      <c r="R18" s="667"/>
      <c r="S18" s="668"/>
      <c r="T18" s="667"/>
      <c r="U18" s="668"/>
      <c r="V18" s="667"/>
      <c r="W18" s="668"/>
      <c r="X18" s="1265"/>
      <c r="Y18" s="3409"/>
      <c r="Z18" s="1264"/>
      <c r="AA18" s="1264">
        <v>1</v>
      </c>
      <c r="AB18" s="1264">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87"/>
      <c r="M20" s="2482"/>
      <c r="N20" s="2482"/>
      <c r="O20" s="2482"/>
      <c r="P20" s="3416"/>
      <c r="Q20" s="1263"/>
      <c r="R20" s="667"/>
      <c r="S20" s="668"/>
      <c r="T20" s="667"/>
      <c r="U20" s="668"/>
      <c r="V20" s="667"/>
      <c r="W20" s="668"/>
      <c r="X20" s="1265"/>
      <c r="Y20" s="3409"/>
      <c r="Z20" s="1264"/>
      <c r="AA20" s="1264">
        <v>1</v>
      </c>
      <c r="AB20" s="1264">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87"/>
      <c r="M22" s="2482"/>
      <c r="N22" s="2482"/>
      <c r="O22" s="2482"/>
      <c r="P22" s="3416"/>
      <c r="Q22" s="1263"/>
      <c r="R22" s="667"/>
      <c r="S22" s="668"/>
      <c r="T22" s="667"/>
      <c r="U22" s="668"/>
      <c r="V22" s="667"/>
      <c r="W22" s="668"/>
      <c r="X22" s="1265"/>
      <c r="Y22" s="3409"/>
      <c r="Z22" s="1264"/>
      <c r="AA22" s="1264">
        <v>1</v>
      </c>
      <c r="AB22" s="1264">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16"/>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87"/>
      <c r="M24" s="2482"/>
      <c r="N24" s="2482"/>
      <c r="O24" s="2482"/>
      <c r="P24" s="3416"/>
      <c r="Q24" s="1263"/>
      <c r="R24" s="667"/>
      <c r="S24" s="668"/>
      <c r="T24" s="667"/>
      <c r="U24" s="668"/>
      <c r="V24" s="667"/>
      <c r="W24" s="668"/>
      <c r="X24" s="1265"/>
      <c r="Y24" s="3409"/>
      <c r="Z24" s="1264"/>
      <c r="AA24" s="1264">
        <v>1</v>
      </c>
      <c r="AB24" s="1264">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7"/>
      <c r="M25" s="2482"/>
      <c r="N25" s="2482"/>
      <c r="O25" s="2482"/>
      <c r="P25" s="3416"/>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87"/>
      <c r="M26" s="2482"/>
      <c r="N26" s="2482"/>
      <c r="O26" s="2482"/>
      <c r="P26" s="3416"/>
      <c r="Q26" s="1263"/>
      <c r="R26" s="667"/>
      <c r="S26" s="668"/>
      <c r="T26" s="667"/>
      <c r="U26" s="668"/>
      <c r="V26" s="667"/>
      <c r="W26" s="668"/>
      <c r="X26" s="1265"/>
      <c r="Y26" s="3409"/>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16"/>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5"/>
      <c r="N28" s="2435"/>
      <c r="O28" s="2435"/>
      <c r="P28" s="3416"/>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416"/>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7"/>
      <c r="M33" s="2482"/>
      <c r="N33" s="2482"/>
      <c r="O33" s="2482"/>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7"/>
      <c r="M44" s="2482"/>
      <c r="N44" s="2482"/>
      <c r="O44" s="2482"/>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1">
        <f t="shared" si="5"/>
        <v>1</v>
      </c>
    </row>
    <row r="48" spans="1:29" ht="14.4">
      <c r="A48" s="416" t="s">
        <v>1708</v>
      </c>
      <c r="B48" s="417"/>
      <c r="C48" s="1081" t="s">
        <v>0</v>
      </c>
      <c r="D48" s="418"/>
      <c r="E48" s="419"/>
      <c r="F48" s="420"/>
      <c r="G48" s="421"/>
      <c r="H48" s="422"/>
      <c r="I48" s="419"/>
      <c r="J48" s="422"/>
      <c r="K48" s="674"/>
      <c r="L48" s="2489"/>
      <c r="M48" s="2482"/>
      <c r="N48" s="2482"/>
      <c r="O48" s="2482"/>
      <c r="P48" s="3417" t="str">
        <f>A48</f>
        <v>成交单价（元/平方米）</v>
      </c>
      <c r="Q48" s="3406"/>
      <c r="R48" s="3407">
        <f>E48</f>
        <v>0</v>
      </c>
      <c r="S48" s="3407"/>
      <c r="T48" s="3407">
        <f>G48</f>
        <v>0</v>
      </c>
      <c r="U48" s="3407"/>
      <c r="V48" s="3407">
        <f>I48</f>
        <v>0</v>
      </c>
      <c r="W48" s="3407"/>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89"/>
      <c r="M49" s="2482"/>
      <c r="N49" s="2482"/>
      <c r="O49" s="2482"/>
      <c r="P49" s="3417" t="str">
        <f>A49</f>
        <v>比较价值（元/平方米）</v>
      </c>
      <c r="Q49" s="3406"/>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89"/>
      <c r="M50" s="2482"/>
      <c r="N50" s="2482"/>
      <c r="O50" s="2482"/>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7"/>
      <c r="Y50" s="1797"/>
      <c r="Z50" s="1797"/>
      <c r="AA50" s="1797"/>
      <c r="AB50" s="1797"/>
      <c r="AC50" s="1798"/>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8" t="s">
        <v>1798</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4.4">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2"/>
      <c r="Q59" s="2505"/>
      <c r="R59" s="2505"/>
      <c r="S59" s="2505"/>
      <c r="T59" s="2505"/>
      <c r="U59" s="2505"/>
      <c r="V59" s="2505"/>
      <c r="W59" s="2505"/>
      <c r="X59" s="2505"/>
      <c r="Y59" s="2505"/>
      <c r="Z59" s="2505"/>
      <c r="AA59" s="2505"/>
      <c r="AB59" s="2505"/>
      <c r="AC59" s="2505"/>
    </row>
    <row r="60" spans="1:29" s="102" customFormat="1">
      <c r="A60" s="443"/>
      <c r="B60" s="444"/>
      <c r="C60" s="1102">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ht="14.4">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4.4" thickTop="1">
      <c r="A89" s="370"/>
      <c r="B89" s="469" t="str">
        <f>B27</f>
        <v>楼层</v>
      </c>
      <c r="C89" s="485"/>
      <c r="D89" s="485"/>
      <c r="E89" s="485"/>
      <c r="F89" s="1779"/>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26"/>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29587.64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860"/>
      <c r="M4" s="861"/>
      <c r="N4" s="861"/>
      <c r="O4" s="861"/>
      <c r="P4" s="3425" t="s">
        <v>1775</v>
      </c>
      <c r="Q4" s="3426"/>
      <c r="R4" s="3431" t="s">
        <v>1771</v>
      </c>
      <c r="S4" s="3432"/>
      <c r="T4" s="3431" t="s">
        <v>1772</v>
      </c>
      <c r="U4" s="3432"/>
      <c r="V4" s="3407" t="s">
        <v>1773</v>
      </c>
      <c r="W4" s="3407"/>
      <c r="X4" s="1265"/>
      <c r="Y4" s="3431" t="s">
        <v>1775</v>
      </c>
      <c r="Z4" s="3432"/>
      <c r="AA4" s="3418" t="s">
        <v>1771</v>
      </c>
      <c r="AB4" s="3419" t="s">
        <v>1772</v>
      </c>
      <c r="AC4" s="3418" t="s">
        <v>1773</v>
      </c>
    </row>
    <row r="5" spans="1:29">
      <c r="A5" s="348"/>
      <c r="B5" s="349"/>
      <c r="C5" s="3439" t="s">
        <v>1673</v>
      </c>
      <c r="D5" s="3440"/>
      <c r="E5" s="3446" t="s">
        <v>1674</v>
      </c>
      <c r="F5" s="3447"/>
      <c r="G5" s="3439" t="s">
        <v>1675</v>
      </c>
      <c r="H5" s="3440"/>
      <c r="I5" s="3439" t="s">
        <v>1676</v>
      </c>
      <c r="J5" s="3440"/>
      <c r="K5" s="537"/>
      <c r="L5" s="860"/>
      <c r="M5" s="861"/>
      <c r="N5" s="861"/>
      <c r="O5" s="861"/>
      <c r="P5" s="3427"/>
      <c r="Q5" s="3428"/>
      <c r="R5" s="3433"/>
      <c r="S5" s="3434"/>
      <c r="T5" s="3433"/>
      <c r="U5" s="3434"/>
      <c r="V5" s="3407"/>
      <c r="W5" s="3407"/>
      <c r="X5" s="1265"/>
      <c r="Y5" s="3433"/>
      <c r="Z5" s="3434"/>
      <c r="AA5" s="3419"/>
      <c r="AB5" s="3419"/>
      <c r="AC5" s="3419"/>
    </row>
    <row r="6" spans="1:29" ht="15" thickBot="1">
      <c r="A6" s="350"/>
      <c r="B6" s="351"/>
      <c r="C6" s="3437" t="s">
        <v>1677</v>
      </c>
      <c r="D6" s="3438"/>
      <c r="E6" s="3444" t="s">
        <v>1677</v>
      </c>
      <c r="F6" s="3445"/>
      <c r="G6" s="3437" t="s">
        <v>1677</v>
      </c>
      <c r="H6" s="3438"/>
      <c r="I6" s="3437" t="s">
        <v>1677</v>
      </c>
      <c r="J6" s="3438"/>
      <c r="K6" s="537" t="s">
        <v>1678</v>
      </c>
      <c r="L6" s="860"/>
      <c r="M6" s="861"/>
      <c r="N6" s="861"/>
      <c r="O6" s="861"/>
      <c r="P6" s="3429"/>
      <c r="Q6" s="3430"/>
      <c r="R6" s="3433"/>
      <c r="S6" s="3434"/>
      <c r="T6" s="3435"/>
      <c r="U6" s="3436"/>
      <c r="V6" s="3407"/>
      <c r="W6" s="3407"/>
      <c r="X6" s="1265"/>
      <c r="Y6" s="3435"/>
      <c r="Z6" s="3436"/>
      <c r="AA6" s="3420"/>
      <c r="AB6" s="3420"/>
      <c r="AC6" s="3420"/>
    </row>
    <row r="7" spans="1:29" s="102" customFormat="1" ht="15" thickBot="1">
      <c r="A7" s="352" t="s">
        <v>1679</v>
      </c>
      <c r="B7" s="353"/>
      <c r="C7" s="354">
        <f>'数据-取费表'!B2</f>
        <v>45594</v>
      </c>
      <c r="D7" s="355">
        <v>100</v>
      </c>
      <c r="E7" s="356"/>
      <c r="F7" s="357">
        <f>SUMIF(52:52,YEAR(E7)&amp;"-"&amp;MONTH(E7),53:53)</f>
        <v>0</v>
      </c>
      <c r="G7" s="356"/>
      <c r="H7" s="355">
        <f>SUMIF(52:52,YEAR(G7)&amp;"-"&amp;MONTH(G7),53:53)</f>
        <v>0</v>
      </c>
      <c r="I7" s="356"/>
      <c r="J7" s="355">
        <f>SUMIF(52:52,YEAR(I7)&amp;"-"&amp;MONTH(I7),53:53)</f>
        <v>0</v>
      </c>
      <c r="K7" s="38"/>
      <c r="L7" s="862"/>
      <c r="M7" s="863"/>
      <c r="N7" s="863"/>
      <c r="O7" s="863"/>
      <c r="P7" s="3441" t="s">
        <v>1680</v>
      </c>
      <c r="Q7" s="3443"/>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1" t="s">
        <v>1683</v>
      </c>
      <c r="Q8" s="3442"/>
      <c r="R8" s="664" t="s">
        <v>14</v>
      </c>
      <c r="S8" s="665">
        <f t="shared" si="0"/>
        <v>100</v>
      </c>
      <c r="T8" s="664" t="s">
        <v>14</v>
      </c>
      <c r="U8" s="665">
        <f t="shared" si="1"/>
        <v>100</v>
      </c>
      <c r="V8" s="664" t="s">
        <v>14</v>
      </c>
      <c r="W8" s="665">
        <f t="shared" si="2"/>
        <v>100</v>
      </c>
      <c r="X8" s="666"/>
      <c r="Y8" s="3441" t="s">
        <v>1683</v>
      </c>
      <c r="Z8" s="344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6" t="s">
        <v>1686</v>
      </c>
      <c r="Q9" s="530" t="str">
        <f t="shared" ref="Q9:Q15" si="6">B9</f>
        <v>用途</v>
      </c>
      <c r="R9" s="664" t="s">
        <v>14</v>
      </c>
      <c r="S9" s="665">
        <f t="shared" si="0"/>
        <v>100</v>
      </c>
      <c r="T9" s="664" t="s">
        <v>14</v>
      </c>
      <c r="U9" s="665">
        <f t="shared" si="1"/>
        <v>100</v>
      </c>
      <c r="V9" s="664" t="s">
        <v>14</v>
      </c>
      <c r="W9" s="665">
        <f t="shared" si="2"/>
        <v>100</v>
      </c>
      <c r="X9" s="666"/>
      <c r="Y9" s="328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406"/>
      <c r="Q10" s="530" t="str">
        <f t="shared" si="6"/>
        <v>土地使用年限（年）</v>
      </c>
      <c r="R10" s="664" t="s">
        <v>14</v>
      </c>
      <c r="S10" s="665">
        <f t="shared" si="0"/>
        <v>100</v>
      </c>
      <c r="T10" s="664" t="s">
        <v>14</v>
      </c>
      <c r="U10" s="665">
        <f t="shared" si="1"/>
        <v>100</v>
      </c>
      <c r="V10" s="664" t="s">
        <v>14</v>
      </c>
      <c r="W10" s="665">
        <f t="shared" si="2"/>
        <v>100</v>
      </c>
      <c r="X10" s="666"/>
      <c r="Y10" s="328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6"/>
      <c r="Q11" s="530" t="str">
        <f t="shared" si="6"/>
        <v>容积率</v>
      </c>
      <c r="R11" s="664" t="s">
        <v>14</v>
      </c>
      <c r="S11" s="665">
        <f t="shared" si="0"/>
        <v>100</v>
      </c>
      <c r="T11" s="664" t="s">
        <v>14</v>
      </c>
      <c r="U11" s="665">
        <f t="shared" si="1"/>
        <v>100</v>
      </c>
      <c r="V11" s="664" t="s">
        <v>14</v>
      </c>
      <c r="W11" s="665">
        <f t="shared" si="2"/>
        <v>100</v>
      </c>
      <c r="X11" s="666"/>
      <c r="Y11" s="328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6"/>
      <c r="Q12" s="530">
        <f t="shared" si="6"/>
        <v>111</v>
      </c>
      <c r="R12" s="664" t="s">
        <v>14</v>
      </c>
      <c r="S12" s="665">
        <f t="shared" si="0"/>
        <v>100</v>
      </c>
      <c r="T12" s="664" t="s">
        <v>14</v>
      </c>
      <c r="U12" s="665">
        <f t="shared" si="1"/>
        <v>100</v>
      </c>
      <c r="V12" s="664" t="s">
        <v>14</v>
      </c>
      <c r="W12" s="665">
        <f t="shared" si="2"/>
        <v>100</v>
      </c>
      <c r="X12" s="666"/>
      <c r="Y12" s="328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6"/>
      <c r="Q13" s="530">
        <f t="shared" si="6"/>
        <v>111</v>
      </c>
      <c r="R13" s="664" t="s">
        <v>14</v>
      </c>
      <c r="S13" s="665">
        <f t="shared" si="0"/>
        <v>100</v>
      </c>
      <c r="T13" s="664" t="s">
        <v>14</v>
      </c>
      <c r="U13" s="665">
        <f t="shared" si="1"/>
        <v>100</v>
      </c>
      <c r="V13" s="664" t="s">
        <v>14</v>
      </c>
      <c r="W13" s="665">
        <f t="shared" si="2"/>
        <v>100</v>
      </c>
      <c r="X13" s="666"/>
      <c r="Y13" s="328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6"/>
      <c r="Q14" s="530">
        <f t="shared" si="6"/>
        <v>111</v>
      </c>
      <c r="R14" s="664" t="s">
        <v>14</v>
      </c>
      <c r="S14" s="665">
        <f t="shared" si="0"/>
        <v>100</v>
      </c>
      <c r="T14" s="664" t="s">
        <v>14</v>
      </c>
      <c r="U14" s="665">
        <f t="shared" si="1"/>
        <v>100</v>
      </c>
      <c r="V14" s="664" t="s">
        <v>14</v>
      </c>
      <c r="W14" s="665">
        <f t="shared" si="2"/>
        <v>100</v>
      </c>
      <c r="X14" s="666"/>
      <c r="Y14" s="3281"/>
      <c r="Z14" s="50">
        <f t="shared" si="7"/>
        <v>111</v>
      </c>
      <c r="AA14" s="50">
        <f t="shared" si="3"/>
        <v>1</v>
      </c>
      <c r="AB14" s="50">
        <f t="shared" si="4"/>
        <v>1</v>
      </c>
      <c r="AC14" s="50">
        <f t="shared" si="5"/>
        <v>1</v>
      </c>
    </row>
    <row r="15" spans="1:29" ht="289.8">
      <c r="A15" s="379" t="s">
        <v>1690</v>
      </c>
      <c r="B15" s="58" t="s">
        <v>1827</v>
      </c>
      <c r="C15" s="1818" t="str">
        <f>估价对象房地状况!G3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303.60000000000002">
      <c r="A17" s="367"/>
      <c r="B17" s="390" t="s">
        <v>1259</v>
      </c>
      <c r="C17" s="1753" t="str">
        <f>估价对象房地状况!G4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289.8">
      <c r="A19" s="367"/>
      <c r="B19" s="390" t="s">
        <v>1812</v>
      </c>
      <c r="C19" s="1753" t="str">
        <f>估价对象房地状况!G5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1.4">
      <c r="A21" s="367"/>
      <c r="B21" s="586" t="s">
        <v>1813</v>
      </c>
      <c r="C21" s="1753" t="str">
        <f>估价对象房地状况!G6</f>
        <v>估价对象所在区域基础设施水平：五通</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289.8">
      <c r="A23" s="367"/>
      <c r="B23" s="390" t="s">
        <v>1814</v>
      </c>
      <c r="C23" s="1753" t="str">
        <f>估价对象房地状况!G7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6" t="str">
        <f>A41</f>
        <v>成交单价（元/平方米）</v>
      </c>
      <c r="Q41" s="3406"/>
      <c r="R41" s="3407">
        <f>E41</f>
        <v>0</v>
      </c>
      <c r="S41" s="3407"/>
      <c r="T41" s="3407">
        <f>G41</f>
        <v>0</v>
      </c>
      <c r="U41" s="3407"/>
      <c r="V41" s="3407">
        <f>I41</f>
        <v>0</v>
      </c>
      <c r="W41" s="3407"/>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6" t="str">
        <f>A42</f>
        <v>比较价值（元/平方米）</v>
      </c>
      <c r="Q42" s="3406"/>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3"/>
      <c r="O54" s="2534"/>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受贵公司委托，我公司对河北省廊坊市三河市燕郊开发区燕新大街1号房地产抵押价值进行了预评估。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燕新大街1号房地产，为欧伏电气股份有限公司所有。根据《国有土地使用证》[]，估价对象（分摊）出让国有建设用地使用权面积为24593平方米，建筑面积为29587.64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2024年10月29日（评估专业人员实地查勘之日）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6"/>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2481"/>
      <c r="M4" s="2482"/>
      <c r="N4" s="2482"/>
      <c r="O4" s="2482"/>
      <c r="P4" s="3425" t="s">
        <v>1775</v>
      </c>
      <c r="Q4" s="3426"/>
      <c r="R4" s="3431" t="s">
        <v>1771</v>
      </c>
      <c r="S4" s="3432"/>
      <c r="T4" s="3431" t="s">
        <v>1772</v>
      </c>
      <c r="U4" s="3432"/>
      <c r="V4" s="3407" t="s">
        <v>1773</v>
      </c>
      <c r="W4" s="3407"/>
      <c r="X4" s="1265"/>
      <c r="Y4" s="3431" t="s">
        <v>1775</v>
      </c>
      <c r="Z4" s="3432"/>
      <c r="AA4" s="3418" t="s">
        <v>1771</v>
      </c>
      <c r="AB4" s="3419" t="s">
        <v>1772</v>
      </c>
      <c r="AC4" s="3418" t="s">
        <v>1773</v>
      </c>
    </row>
    <row r="5" spans="1:29">
      <c r="A5" s="348"/>
      <c r="B5" s="349"/>
      <c r="C5" s="3439" t="s">
        <v>1673</v>
      </c>
      <c r="D5" s="3440"/>
      <c r="E5" s="3446" t="s">
        <v>1674</v>
      </c>
      <c r="F5" s="3447"/>
      <c r="G5" s="3439" t="s">
        <v>1675</v>
      </c>
      <c r="H5" s="3440"/>
      <c r="I5" s="3439" t="s">
        <v>1676</v>
      </c>
      <c r="J5" s="3440"/>
      <c r="K5" s="537"/>
      <c r="L5" s="2481"/>
      <c r="M5" s="2482"/>
      <c r="N5" s="2482"/>
      <c r="O5" s="2482"/>
      <c r="P5" s="3427"/>
      <c r="Q5" s="3428"/>
      <c r="R5" s="3433"/>
      <c r="S5" s="3434"/>
      <c r="T5" s="3433"/>
      <c r="U5" s="3434"/>
      <c r="V5" s="3407"/>
      <c r="W5" s="3407"/>
      <c r="X5" s="1265"/>
      <c r="Y5" s="3433"/>
      <c r="Z5" s="3434"/>
      <c r="AA5" s="3419"/>
      <c r="AB5" s="3419"/>
      <c r="AC5" s="3419"/>
    </row>
    <row r="6" spans="1:29" ht="15" thickBot="1">
      <c r="A6" s="350"/>
      <c r="B6" s="351"/>
      <c r="C6" s="3437" t="s">
        <v>1677</v>
      </c>
      <c r="D6" s="3438"/>
      <c r="E6" s="3444" t="s">
        <v>1677</v>
      </c>
      <c r="F6" s="3445"/>
      <c r="G6" s="3437" t="s">
        <v>1677</v>
      </c>
      <c r="H6" s="3438"/>
      <c r="I6" s="3437" t="s">
        <v>1677</v>
      </c>
      <c r="J6" s="3438"/>
      <c r="K6" s="537" t="s">
        <v>1678</v>
      </c>
      <c r="L6" s="2481"/>
      <c r="M6" s="2482"/>
      <c r="N6" s="2482"/>
      <c r="O6" s="2482"/>
      <c r="P6" s="3429"/>
      <c r="Q6" s="3430"/>
      <c r="R6" s="3433"/>
      <c r="S6" s="3434"/>
      <c r="T6" s="3435"/>
      <c r="U6" s="3436"/>
      <c r="V6" s="3407"/>
      <c r="W6" s="3407"/>
      <c r="X6" s="1265"/>
      <c r="Y6" s="3435"/>
      <c r="Z6" s="3436"/>
      <c r="AA6" s="3420"/>
      <c r="AB6" s="3420"/>
      <c r="AC6" s="3420"/>
    </row>
    <row r="7" spans="1:29" s="102" customFormat="1" ht="15" thickBot="1">
      <c r="A7" s="352" t="s">
        <v>1679</v>
      </c>
      <c r="B7" s="353"/>
      <c r="C7" s="354">
        <f>'数据-取费表'!B2</f>
        <v>45594</v>
      </c>
      <c r="D7" s="355">
        <v>100</v>
      </c>
      <c r="E7" s="356"/>
      <c r="F7" s="357">
        <f>SUMIF(48:48,YEAR(E7)&amp;"-"&amp;MONTH(E7),49:49)</f>
        <v>0</v>
      </c>
      <c r="G7" s="356"/>
      <c r="H7" s="355">
        <f>SUMIF(48:48,YEAR(G7)&amp;"-"&amp;MONTH(G7),49:49)</f>
        <v>0</v>
      </c>
      <c r="I7" s="356"/>
      <c r="J7" s="355">
        <f>SUMIF(48:48,YEAR(I7)&amp;"-"&amp;MONTH(I7),49:49)</f>
        <v>0</v>
      </c>
      <c r="K7" s="38"/>
      <c r="L7" s="2483"/>
      <c r="M7" s="2435"/>
      <c r="N7" s="2435"/>
      <c r="O7" s="2435"/>
      <c r="P7" s="3441" t="s">
        <v>1680</v>
      </c>
      <c r="Q7" s="3443"/>
      <c r="R7" s="664" t="s">
        <v>14</v>
      </c>
      <c r="S7" s="665">
        <f t="shared" ref="S7:S14" si="0">F7</f>
        <v>0</v>
      </c>
      <c r="T7" s="664" t="s">
        <v>14</v>
      </c>
      <c r="U7" s="665">
        <f t="shared" ref="U7:U14" si="1">H7</f>
        <v>0</v>
      </c>
      <c r="V7" s="664" t="s">
        <v>14</v>
      </c>
      <c r="W7" s="665">
        <f t="shared" ref="W7:W14" si="2">J7</f>
        <v>0</v>
      </c>
      <c r="X7" s="666"/>
      <c r="Y7" s="3441" t="s">
        <v>1680</v>
      </c>
      <c r="Z7" s="344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41" t="s">
        <v>1683</v>
      </c>
      <c r="Q8" s="3442"/>
      <c r="R8" s="664" t="s">
        <v>14</v>
      </c>
      <c r="S8" s="665">
        <f t="shared" si="0"/>
        <v>100</v>
      </c>
      <c r="T8" s="664" t="s">
        <v>14</v>
      </c>
      <c r="U8" s="665">
        <f t="shared" si="1"/>
        <v>100</v>
      </c>
      <c r="V8" s="664" t="s">
        <v>14</v>
      </c>
      <c r="W8" s="665">
        <f t="shared" si="2"/>
        <v>100</v>
      </c>
      <c r="X8" s="666"/>
      <c r="Y8" s="3441" t="s">
        <v>1683</v>
      </c>
      <c r="Z8" s="344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06" t="s">
        <v>1686</v>
      </c>
      <c r="Q9" s="530" t="str">
        <f t="shared" ref="Q9:Q14" si="6">B9</f>
        <v>用途</v>
      </c>
      <c r="R9" s="664" t="s">
        <v>14</v>
      </c>
      <c r="S9" s="665">
        <f t="shared" si="0"/>
        <v>100</v>
      </c>
      <c r="T9" s="664" t="s">
        <v>14</v>
      </c>
      <c r="U9" s="665">
        <f t="shared" si="1"/>
        <v>100</v>
      </c>
      <c r="V9" s="664" t="s">
        <v>14</v>
      </c>
      <c r="W9" s="665">
        <f t="shared" si="2"/>
        <v>100</v>
      </c>
      <c r="X9" s="666"/>
      <c r="Y9" s="3281" t="s">
        <v>1687</v>
      </c>
      <c r="Z9" s="50" t="str">
        <f t="shared" ref="Z9:Z14" si="7">Q9</f>
        <v>用途</v>
      </c>
      <c r="AA9" s="50">
        <f t="shared" si="3"/>
        <v>1</v>
      </c>
      <c r="AB9" s="50">
        <f t="shared" si="4"/>
        <v>1</v>
      </c>
      <c r="AC9" s="50">
        <f t="shared" si="5"/>
        <v>1</v>
      </c>
    </row>
    <row r="10" spans="1:29" s="366" customFormat="1" ht="28.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06"/>
      <c r="Q10" s="530" t="str">
        <f t="shared" si="6"/>
        <v>土地使用年限（年）</v>
      </c>
      <c r="R10" s="664" t="s">
        <v>14</v>
      </c>
      <c r="S10" s="665">
        <f t="shared" si="0"/>
        <v>100</v>
      </c>
      <c r="T10" s="664" t="s">
        <v>14</v>
      </c>
      <c r="U10" s="665">
        <f t="shared" si="1"/>
        <v>100</v>
      </c>
      <c r="V10" s="664" t="s">
        <v>14</v>
      </c>
      <c r="W10" s="665">
        <f t="shared" si="2"/>
        <v>100</v>
      </c>
      <c r="X10" s="666"/>
      <c r="Y10" s="328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06"/>
      <c r="Q11" s="530">
        <f t="shared" si="6"/>
        <v>111</v>
      </c>
      <c r="R11" s="664" t="s">
        <v>14</v>
      </c>
      <c r="S11" s="665">
        <f t="shared" si="0"/>
        <v>100</v>
      </c>
      <c r="T11" s="664" t="s">
        <v>14</v>
      </c>
      <c r="U11" s="665">
        <f t="shared" si="1"/>
        <v>100</v>
      </c>
      <c r="V11" s="664" t="s">
        <v>14</v>
      </c>
      <c r="W11" s="665">
        <f t="shared" si="2"/>
        <v>100</v>
      </c>
      <c r="X11" s="666"/>
      <c r="Y11" s="328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06"/>
      <c r="Q12" s="530">
        <f t="shared" si="6"/>
        <v>111</v>
      </c>
      <c r="R12" s="664" t="s">
        <v>14</v>
      </c>
      <c r="S12" s="665">
        <f t="shared" si="0"/>
        <v>100</v>
      </c>
      <c r="T12" s="664" t="s">
        <v>14</v>
      </c>
      <c r="U12" s="665">
        <f t="shared" si="1"/>
        <v>100</v>
      </c>
      <c r="V12" s="664" t="s">
        <v>14</v>
      </c>
      <c r="W12" s="665">
        <f t="shared" si="2"/>
        <v>100</v>
      </c>
      <c r="X12" s="666"/>
      <c r="Y12" s="328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06"/>
      <c r="Q13" s="530">
        <f t="shared" si="6"/>
        <v>111</v>
      </c>
      <c r="R13" s="664" t="s">
        <v>14</v>
      </c>
      <c r="S13" s="665">
        <f t="shared" si="0"/>
        <v>100</v>
      </c>
      <c r="T13" s="664" t="s">
        <v>14</v>
      </c>
      <c r="U13" s="665">
        <f t="shared" si="1"/>
        <v>100</v>
      </c>
      <c r="V13" s="664" t="s">
        <v>14</v>
      </c>
      <c r="W13" s="665">
        <f t="shared" si="2"/>
        <v>100</v>
      </c>
      <c r="X13" s="666"/>
      <c r="Y13" s="3281"/>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7"/>
      <c r="M15" s="2482"/>
      <c r="N15" s="2482"/>
      <c r="O15" s="2482"/>
      <c r="P15" s="3409"/>
      <c r="Q15" s="1263"/>
      <c r="R15" s="667"/>
      <c r="S15" s="668"/>
      <c r="T15" s="667"/>
      <c r="U15" s="668"/>
      <c r="V15" s="667"/>
      <c r="W15" s="668"/>
      <c r="X15" s="1265"/>
      <c r="Y15" s="3409"/>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87"/>
      <c r="M17" s="2482"/>
      <c r="N17" s="2482"/>
      <c r="O17" s="2482"/>
      <c r="P17" s="3409"/>
      <c r="Q17" s="1263"/>
      <c r="R17" s="667"/>
      <c r="S17" s="668"/>
      <c r="T17" s="667"/>
      <c r="U17" s="668"/>
      <c r="V17" s="667"/>
      <c r="W17" s="668"/>
      <c r="X17" s="1265"/>
      <c r="Y17" s="3409"/>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87"/>
      <c r="M19" s="2482"/>
      <c r="N19" s="2482"/>
      <c r="O19" s="2482"/>
      <c r="P19" s="3409"/>
      <c r="Q19" s="1263"/>
      <c r="R19" s="667"/>
      <c r="S19" s="668"/>
      <c r="T19" s="667"/>
      <c r="U19" s="668"/>
      <c r="V19" s="667"/>
      <c r="W19" s="668"/>
      <c r="X19" s="1265"/>
      <c r="Y19" s="3409"/>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7"/>
      <c r="M21" s="2482"/>
      <c r="N21" s="2482"/>
      <c r="O21" s="2482"/>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4.4">
      <c r="A37" s="416" t="s">
        <v>1844</v>
      </c>
      <c r="B37" s="1820" t="s">
        <v>3354</v>
      </c>
      <c r="C37" s="1081" t="s">
        <v>0</v>
      </c>
      <c r="D37" s="418"/>
      <c r="E37" s="419"/>
      <c r="F37" s="420"/>
      <c r="G37" s="421"/>
      <c r="H37" s="422"/>
      <c r="I37" s="419"/>
      <c r="J37" s="422"/>
      <c r="K37" s="545"/>
      <c r="L37" s="2489"/>
      <c r="M37" s="2482"/>
      <c r="N37" s="2482"/>
      <c r="O37" s="2482"/>
      <c r="P37" s="3406" t="str">
        <f>A37</f>
        <v>成交单价</v>
      </c>
      <c r="Q37" s="3406"/>
      <c r="R37" s="3407">
        <f>E37</f>
        <v>0</v>
      </c>
      <c r="S37" s="3407"/>
      <c r="T37" s="3407">
        <f>G37</f>
        <v>0</v>
      </c>
      <c r="U37" s="3407"/>
      <c r="V37" s="3407">
        <f>I37</f>
        <v>0</v>
      </c>
      <c r="W37" s="3407"/>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89"/>
      <c r="M38" s="2482"/>
      <c r="N38" s="2482"/>
      <c r="O38" s="2482"/>
      <c r="P38" s="3406" t="str">
        <f>A38</f>
        <v>比较价值（元/平方米）</v>
      </c>
      <c r="Q38" s="3406"/>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9"/>
      <c r="M39" s="2482"/>
      <c r="N39" s="2482"/>
      <c r="O39" s="2482"/>
      <c r="P39" s="3403" t="str">
        <f>A39</f>
        <v>估价对象XX用房的比较价值（楼面单价，元/平方米）</v>
      </c>
      <c r="Q39" s="3404"/>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7" t="s">
        <v>1850</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4.4">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2"/>
      <c r="Q48" s="2505"/>
      <c r="R48" s="2505"/>
      <c r="S48" s="2505"/>
      <c r="T48" s="2505"/>
      <c r="U48" s="2505"/>
      <c r="V48" s="2505"/>
      <c r="W48" s="2505"/>
      <c r="X48" s="2505"/>
      <c r="Y48" s="2505"/>
      <c r="Z48" s="2505"/>
      <c r="AA48" s="2505"/>
      <c r="AB48" s="2505"/>
      <c r="AC48" s="2505"/>
    </row>
    <row r="49" spans="1:29" s="102" customFormat="1">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6"/>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2481"/>
      <c r="M4" s="2482"/>
      <c r="N4" s="2482"/>
      <c r="O4" s="2482"/>
      <c r="P4" s="3425" t="s">
        <v>1775</v>
      </c>
      <c r="Q4" s="3426"/>
      <c r="R4" s="3431" t="s">
        <v>1771</v>
      </c>
      <c r="S4" s="3432"/>
      <c r="T4" s="3431" t="s">
        <v>1772</v>
      </c>
      <c r="U4" s="3432"/>
      <c r="V4" s="3407" t="s">
        <v>1773</v>
      </c>
      <c r="W4" s="3407"/>
      <c r="X4" s="1265"/>
      <c r="Y4" s="3431" t="s">
        <v>1775</v>
      </c>
      <c r="Z4" s="3432"/>
      <c r="AA4" s="3418" t="s">
        <v>1771</v>
      </c>
      <c r="AB4" s="3419" t="s">
        <v>1772</v>
      </c>
      <c r="AC4" s="3418" t="s">
        <v>1773</v>
      </c>
    </row>
    <row r="5" spans="1:29">
      <c r="A5" s="348"/>
      <c r="B5" s="349"/>
      <c r="C5" s="3439" t="s">
        <v>1673</v>
      </c>
      <c r="D5" s="3440"/>
      <c r="E5" s="3446" t="s">
        <v>1674</v>
      </c>
      <c r="F5" s="3447"/>
      <c r="G5" s="3439" t="s">
        <v>1675</v>
      </c>
      <c r="H5" s="3440"/>
      <c r="I5" s="3439" t="s">
        <v>1676</v>
      </c>
      <c r="J5" s="3440"/>
      <c r="K5" s="537"/>
      <c r="L5" s="2481"/>
      <c r="M5" s="2482"/>
      <c r="N5" s="2482"/>
      <c r="O5" s="2482"/>
      <c r="P5" s="3427"/>
      <c r="Q5" s="3428"/>
      <c r="R5" s="3433"/>
      <c r="S5" s="3434"/>
      <c r="T5" s="3433"/>
      <c r="U5" s="3434"/>
      <c r="V5" s="3407"/>
      <c r="W5" s="3407"/>
      <c r="X5" s="1265"/>
      <c r="Y5" s="3433"/>
      <c r="Z5" s="3434"/>
      <c r="AA5" s="3419"/>
      <c r="AB5" s="3419"/>
      <c r="AC5" s="3419"/>
    </row>
    <row r="6" spans="1:29" ht="15" thickBot="1">
      <c r="A6" s="350"/>
      <c r="B6" s="351"/>
      <c r="C6" s="3437" t="s">
        <v>1677</v>
      </c>
      <c r="D6" s="3438"/>
      <c r="E6" s="3444" t="s">
        <v>1677</v>
      </c>
      <c r="F6" s="3445"/>
      <c r="G6" s="3437" t="s">
        <v>1677</v>
      </c>
      <c r="H6" s="3438"/>
      <c r="I6" s="3437" t="s">
        <v>1677</v>
      </c>
      <c r="J6" s="3438"/>
      <c r="K6" s="537" t="s">
        <v>1678</v>
      </c>
      <c r="L6" s="2481"/>
      <c r="M6" s="2482"/>
      <c r="N6" s="2482"/>
      <c r="O6" s="2482"/>
      <c r="P6" s="3429"/>
      <c r="Q6" s="3430"/>
      <c r="R6" s="3433"/>
      <c r="S6" s="3434"/>
      <c r="T6" s="3435"/>
      <c r="U6" s="3436"/>
      <c r="V6" s="3407"/>
      <c r="W6" s="3407"/>
      <c r="X6" s="1265"/>
      <c r="Y6" s="3435"/>
      <c r="Z6" s="3436"/>
      <c r="AA6" s="3420"/>
      <c r="AB6" s="3420"/>
      <c r="AC6" s="3420"/>
    </row>
    <row r="7" spans="1:29" s="102" customFormat="1" ht="15" thickBot="1">
      <c r="A7" s="352" t="s">
        <v>1679</v>
      </c>
      <c r="B7" s="353"/>
      <c r="C7" s="354">
        <f>'数据-取费表'!B2</f>
        <v>45594</v>
      </c>
      <c r="D7" s="355">
        <v>100</v>
      </c>
      <c r="E7" s="356"/>
      <c r="F7" s="357">
        <f>SUMIF(46:46,YEAR(E7)&amp;"-"&amp;MONTH(E7),47:47)</f>
        <v>0</v>
      </c>
      <c r="G7" s="1821"/>
      <c r="H7" s="355">
        <f>SUMIF(46:46,YEAR(G7)&amp;"-"&amp;MONTH(G7),47:47)</f>
        <v>0</v>
      </c>
      <c r="I7" s="356"/>
      <c r="J7" s="355">
        <f>SUMIF(46:46,YEAR(I7)&amp;"-"&amp;MONTH(I7),47:47)</f>
        <v>0</v>
      </c>
      <c r="K7" s="38"/>
      <c r="L7" s="2483"/>
      <c r="M7" s="2435"/>
      <c r="N7" s="2435"/>
      <c r="O7" s="2435"/>
      <c r="P7" s="3441" t="s">
        <v>1680</v>
      </c>
      <c r="Q7" s="3443"/>
      <c r="R7" s="664" t="s">
        <v>14</v>
      </c>
      <c r="S7" s="665">
        <f t="shared" ref="S7:S14" si="0">F7</f>
        <v>0</v>
      </c>
      <c r="T7" s="664" t="s">
        <v>14</v>
      </c>
      <c r="U7" s="665">
        <f t="shared" ref="U7:U14" si="1">H7</f>
        <v>0</v>
      </c>
      <c r="V7" s="664" t="s">
        <v>14</v>
      </c>
      <c r="W7" s="665">
        <f t="shared" ref="W7:W14" si="2">J7</f>
        <v>0</v>
      </c>
      <c r="X7" s="666"/>
      <c r="Y7" s="3441" t="s">
        <v>1680</v>
      </c>
      <c r="Z7" s="344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41" t="s">
        <v>1683</v>
      </c>
      <c r="Q8" s="3442"/>
      <c r="R8" s="664" t="s">
        <v>14</v>
      </c>
      <c r="S8" s="665">
        <f t="shared" si="0"/>
        <v>100</v>
      </c>
      <c r="T8" s="664" t="s">
        <v>14</v>
      </c>
      <c r="U8" s="665">
        <f t="shared" si="1"/>
        <v>100</v>
      </c>
      <c r="V8" s="664" t="s">
        <v>14</v>
      </c>
      <c r="W8" s="665">
        <f t="shared" si="2"/>
        <v>100</v>
      </c>
      <c r="X8" s="666"/>
      <c r="Y8" s="3441" t="s">
        <v>1683</v>
      </c>
      <c r="Z8" s="344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406" t="s">
        <v>1686</v>
      </c>
      <c r="Q9" s="530" t="str">
        <f t="shared" ref="Q9:Q14" si="6">B9</f>
        <v>用途</v>
      </c>
      <c r="R9" s="664" t="s">
        <v>14</v>
      </c>
      <c r="S9" s="665">
        <f t="shared" si="0"/>
        <v>100</v>
      </c>
      <c r="T9" s="664" t="s">
        <v>14</v>
      </c>
      <c r="U9" s="665">
        <f t="shared" si="1"/>
        <v>100</v>
      </c>
      <c r="V9" s="664" t="s">
        <v>14</v>
      </c>
      <c r="W9" s="665">
        <f t="shared" si="2"/>
        <v>100</v>
      </c>
      <c r="X9" s="666"/>
      <c r="Y9" s="3281" t="s">
        <v>1687</v>
      </c>
      <c r="Z9" s="50" t="str">
        <f t="shared" ref="Z9:Z14" si="7">Q9</f>
        <v>用途</v>
      </c>
      <c r="AA9" s="50">
        <f t="shared" si="3"/>
        <v>1</v>
      </c>
      <c r="AB9" s="50">
        <f t="shared" si="4"/>
        <v>1</v>
      </c>
      <c r="AC9" s="50">
        <f t="shared" si="5"/>
        <v>1</v>
      </c>
    </row>
    <row r="10" spans="1:29" s="366" customFormat="1" ht="28.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06"/>
      <c r="Q10" s="530" t="str">
        <f t="shared" si="6"/>
        <v>土地使用年限（年）</v>
      </c>
      <c r="R10" s="664" t="s">
        <v>14</v>
      </c>
      <c r="S10" s="665">
        <f t="shared" si="0"/>
        <v>100</v>
      </c>
      <c r="T10" s="664" t="s">
        <v>14</v>
      </c>
      <c r="U10" s="665">
        <f t="shared" si="1"/>
        <v>100</v>
      </c>
      <c r="V10" s="664" t="s">
        <v>14</v>
      </c>
      <c r="W10" s="665">
        <f t="shared" si="2"/>
        <v>100</v>
      </c>
      <c r="X10" s="666"/>
      <c r="Y10" s="328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06"/>
      <c r="Q11" s="530">
        <f t="shared" si="6"/>
        <v>111</v>
      </c>
      <c r="R11" s="664" t="s">
        <v>14</v>
      </c>
      <c r="S11" s="665">
        <f t="shared" si="0"/>
        <v>100</v>
      </c>
      <c r="T11" s="664" t="s">
        <v>14</v>
      </c>
      <c r="U11" s="665">
        <f t="shared" si="1"/>
        <v>100</v>
      </c>
      <c r="V11" s="664" t="s">
        <v>14</v>
      </c>
      <c r="W11" s="665">
        <f t="shared" si="2"/>
        <v>100</v>
      </c>
      <c r="X11" s="666"/>
      <c r="Y11" s="328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406"/>
      <c r="Q12" s="530">
        <f t="shared" si="6"/>
        <v>111</v>
      </c>
      <c r="R12" s="664" t="s">
        <v>14</v>
      </c>
      <c r="S12" s="665">
        <f t="shared" si="0"/>
        <v>100</v>
      </c>
      <c r="T12" s="664" t="s">
        <v>14</v>
      </c>
      <c r="U12" s="665">
        <f t="shared" si="1"/>
        <v>100</v>
      </c>
      <c r="V12" s="664" t="s">
        <v>14</v>
      </c>
      <c r="W12" s="665">
        <f t="shared" si="2"/>
        <v>100</v>
      </c>
      <c r="X12" s="666"/>
      <c r="Y12" s="328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406"/>
      <c r="Q13" s="530">
        <f t="shared" si="6"/>
        <v>111</v>
      </c>
      <c r="R13" s="664" t="s">
        <v>14</v>
      </c>
      <c r="S13" s="665">
        <f t="shared" si="0"/>
        <v>100</v>
      </c>
      <c r="T13" s="664" t="s">
        <v>14</v>
      </c>
      <c r="U13" s="665">
        <f t="shared" si="1"/>
        <v>100</v>
      </c>
      <c r="V13" s="664" t="s">
        <v>14</v>
      </c>
      <c r="W13" s="665">
        <f t="shared" si="2"/>
        <v>100</v>
      </c>
      <c r="X13" s="666"/>
      <c r="Y13" s="3281"/>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7"/>
      <c r="M15" s="2482"/>
      <c r="N15" s="2482"/>
      <c r="O15" s="2537"/>
      <c r="P15" s="3409"/>
      <c r="Q15" s="1263"/>
      <c r="R15" s="667"/>
      <c r="S15" s="668"/>
      <c r="T15" s="667"/>
      <c r="U15" s="668"/>
      <c r="V15" s="667"/>
      <c r="W15" s="668"/>
      <c r="X15" s="1265"/>
      <c r="Y15" s="3409"/>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87"/>
      <c r="M17" s="2482"/>
      <c r="N17" s="2482"/>
      <c r="O17" s="2537"/>
      <c r="P17" s="3409"/>
      <c r="Q17" s="1263"/>
      <c r="R17" s="667"/>
      <c r="S17" s="668"/>
      <c r="T17" s="667"/>
      <c r="U17" s="668"/>
      <c r="V17" s="667"/>
      <c r="W17" s="668"/>
      <c r="X17" s="1265"/>
      <c r="Y17" s="3409"/>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87"/>
      <c r="M19" s="2482"/>
      <c r="N19" s="2482"/>
      <c r="O19" s="2537"/>
      <c r="P19" s="3409"/>
      <c r="Q19" s="1263"/>
      <c r="R19" s="667"/>
      <c r="S19" s="668"/>
      <c r="T19" s="667"/>
      <c r="U19" s="668"/>
      <c r="V19" s="667"/>
      <c r="W19" s="668"/>
      <c r="X19" s="1265"/>
      <c r="Y19" s="3409"/>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7"/>
      <c r="M21" s="2482"/>
      <c r="N21" s="2482"/>
      <c r="O21" s="2537"/>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5"/>
      <c r="N25" s="2435"/>
      <c r="O25" s="2535"/>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9"/>
      <c r="M35" s="2482"/>
      <c r="N35" s="2482"/>
      <c r="O35" s="2482"/>
      <c r="P35" s="3406" t="str">
        <f>A35</f>
        <v>成交单价（元/平方米）</v>
      </c>
      <c r="Q35" s="3406"/>
      <c r="R35" s="3407">
        <f>E35</f>
        <v>0</v>
      </c>
      <c r="S35" s="3407"/>
      <c r="T35" s="3407">
        <f>G35</f>
        <v>0</v>
      </c>
      <c r="U35" s="3407"/>
      <c r="V35" s="3407">
        <f>I35</f>
        <v>0</v>
      </c>
      <c r="W35" s="3407"/>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89"/>
      <c r="M36" s="2482"/>
      <c r="N36" s="2482"/>
      <c r="O36" s="2482"/>
      <c r="P36" s="3406" t="str">
        <f>A36</f>
        <v>比较价值（元/平方米）</v>
      </c>
      <c r="Q36" s="3406"/>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9"/>
      <c r="M37" s="2482"/>
      <c r="N37" s="2482"/>
      <c r="O37" s="2482"/>
      <c r="P37" s="3403" t="str">
        <f>A37</f>
        <v>估价对象XX用房的比较价值（楼面单价，元/平方米）</v>
      </c>
      <c r="Q37" s="3404"/>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05"/>
      <c r="Q46" s="2505"/>
      <c r="R46" s="2505"/>
      <c r="S46" s="2505"/>
      <c r="T46" s="2505"/>
      <c r="U46" s="2505"/>
      <c r="V46" s="2505"/>
      <c r="W46" s="2505"/>
      <c r="X46" s="2505"/>
      <c r="Y46" s="2505"/>
      <c r="Z46" s="2505"/>
      <c r="AA46" s="2505"/>
      <c r="AB46" s="2505"/>
      <c r="AC46" s="2505"/>
      <c r="AD46" s="2505"/>
    </row>
    <row r="47" spans="1:30" s="102" customFormat="1">
      <c r="A47" s="443"/>
      <c r="B47" s="444"/>
      <c r="C47" s="1102">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2481"/>
      <c r="M4" s="2482"/>
      <c r="N4" s="2482"/>
      <c r="O4" s="2482"/>
      <c r="P4" s="3425" t="s">
        <v>1775</v>
      </c>
      <c r="Q4" s="3426"/>
      <c r="R4" s="3431" t="s">
        <v>1771</v>
      </c>
      <c r="S4" s="3432"/>
      <c r="T4" s="3431" t="s">
        <v>1772</v>
      </c>
      <c r="U4" s="3432"/>
      <c r="V4" s="3407" t="s">
        <v>1773</v>
      </c>
      <c r="W4" s="3407"/>
      <c r="X4" s="1265"/>
      <c r="Y4" s="3431" t="s">
        <v>1775</v>
      </c>
      <c r="Z4" s="3432"/>
      <c r="AA4" s="3418" t="s">
        <v>1771</v>
      </c>
      <c r="AB4" s="3419" t="s">
        <v>1772</v>
      </c>
      <c r="AC4" s="3418" t="s">
        <v>1773</v>
      </c>
    </row>
    <row r="5" spans="1:29">
      <c r="A5" s="348"/>
      <c r="B5" s="349"/>
      <c r="C5" s="3439" t="s">
        <v>1673</v>
      </c>
      <c r="D5" s="3440"/>
      <c r="E5" s="3446" t="s">
        <v>1674</v>
      </c>
      <c r="F5" s="3447"/>
      <c r="G5" s="3439" t="s">
        <v>1675</v>
      </c>
      <c r="H5" s="3440"/>
      <c r="I5" s="3439" t="s">
        <v>1676</v>
      </c>
      <c r="J5" s="3440"/>
      <c r="K5" s="537"/>
      <c r="L5" s="2481"/>
      <c r="M5" s="2482"/>
      <c r="N5" s="2482"/>
      <c r="O5" s="2482"/>
      <c r="P5" s="3427"/>
      <c r="Q5" s="3428"/>
      <c r="R5" s="3433"/>
      <c r="S5" s="3434"/>
      <c r="T5" s="3433"/>
      <c r="U5" s="3434"/>
      <c r="V5" s="3407"/>
      <c r="W5" s="3407"/>
      <c r="X5" s="1265"/>
      <c r="Y5" s="3433"/>
      <c r="Z5" s="3434"/>
      <c r="AA5" s="3419"/>
      <c r="AB5" s="3419"/>
      <c r="AC5" s="3419"/>
    </row>
    <row r="6" spans="1:29" ht="15" thickBot="1">
      <c r="A6" s="350"/>
      <c r="B6" s="351"/>
      <c r="C6" s="3437" t="s">
        <v>1677</v>
      </c>
      <c r="D6" s="3438"/>
      <c r="E6" s="3444" t="s">
        <v>1677</v>
      </c>
      <c r="F6" s="3445"/>
      <c r="G6" s="3437" t="s">
        <v>1677</v>
      </c>
      <c r="H6" s="3438"/>
      <c r="I6" s="3437" t="s">
        <v>1677</v>
      </c>
      <c r="J6" s="3438"/>
      <c r="K6" s="537" t="s">
        <v>1678</v>
      </c>
      <c r="L6" s="2481"/>
      <c r="M6" s="2482"/>
      <c r="N6" s="2482"/>
      <c r="O6" s="2482"/>
      <c r="P6" s="3429"/>
      <c r="Q6" s="3430"/>
      <c r="R6" s="3433"/>
      <c r="S6" s="3434"/>
      <c r="T6" s="3435"/>
      <c r="U6" s="3436"/>
      <c r="V6" s="3407"/>
      <c r="W6" s="3407"/>
      <c r="X6" s="1265"/>
      <c r="Y6" s="3435"/>
      <c r="Z6" s="3436"/>
      <c r="AA6" s="3420"/>
      <c r="AB6" s="3420"/>
      <c r="AC6" s="3420"/>
    </row>
    <row r="7" spans="1:29" s="102" customFormat="1" ht="15" thickBot="1">
      <c r="A7" s="352" t="s">
        <v>1679</v>
      </c>
      <c r="B7" s="353"/>
      <c r="C7" s="354">
        <f>'数据-取费表'!B2</f>
        <v>45594</v>
      </c>
      <c r="D7" s="355">
        <v>100</v>
      </c>
      <c r="E7" s="356"/>
      <c r="F7" s="357">
        <f>SUMIF(69:69,YEAR(E7)&amp;"-"&amp;INT((MONTH(E7)+2)/3),70:70)</f>
        <v>0</v>
      </c>
      <c r="G7" s="1821"/>
      <c r="H7" s="355">
        <f>SUMIF(69:69,YEAR(G7)&amp;"-"&amp;INT((MONTH(G7)+2)/3),70:70)</f>
        <v>0</v>
      </c>
      <c r="I7" s="1821"/>
      <c r="J7" s="355">
        <f>SUMIF(69:69,YEAR(I7)&amp;"-"&amp;INT((MONTH(I7)+2)/3),70:70)</f>
        <v>0</v>
      </c>
      <c r="K7" s="38"/>
      <c r="L7" s="2483"/>
      <c r="M7" s="2435"/>
      <c r="N7" s="2435"/>
      <c r="O7" s="2435"/>
      <c r="P7" s="3441" t="s">
        <v>1680</v>
      </c>
      <c r="Q7" s="3443"/>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41" t="s">
        <v>1683</v>
      </c>
      <c r="Q8" s="3442"/>
      <c r="R8" s="664" t="s">
        <v>14</v>
      </c>
      <c r="S8" s="665">
        <f t="shared" si="0"/>
        <v>0</v>
      </c>
      <c r="T8" s="664" t="s">
        <v>14</v>
      </c>
      <c r="U8" s="665">
        <f t="shared" si="1"/>
        <v>0</v>
      </c>
      <c r="V8" s="664" t="s">
        <v>14</v>
      </c>
      <c r="W8" s="665">
        <f t="shared" si="2"/>
        <v>0</v>
      </c>
      <c r="X8" s="666"/>
      <c r="Y8" s="3441" t="s">
        <v>1683</v>
      </c>
      <c r="Z8" s="3442"/>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3"/>
      <c r="M9" s="2435"/>
      <c r="N9" s="2435"/>
      <c r="O9" s="2535"/>
      <c r="P9" s="3406" t="s">
        <v>1686</v>
      </c>
      <c r="Q9" s="530" t="str">
        <f t="shared" ref="Q9:Q15" si="6">B9</f>
        <v>用途</v>
      </c>
      <c r="R9" s="664" t="s">
        <v>14</v>
      </c>
      <c r="S9" s="665">
        <f t="shared" si="0"/>
        <v>100</v>
      </c>
      <c r="T9" s="664" t="s">
        <v>14</v>
      </c>
      <c r="U9" s="665">
        <f t="shared" si="1"/>
        <v>100</v>
      </c>
      <c r="V9" s="664" t="s">
        <v>14</v>
      </c>
      <c r="W9" s="665">
        <f t="shared" si="2"/>
        <v>100</v>
      </c>
      <c r="X9" s="666"/>
      <c r="Y9" s="328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115</v>
      </c>
      <c r="G10" s="402"/>
      <c r="H10" s="119">
        <f>ROUND(100/'数据-取费表'!G16,0)</f>
        <v>115</v>
      </c>
      <c r="I10" s="402"/>
      <c r="J10" s="119">
        <f>ROUND(100/'数据-取费表'!G16,0)</f>
        <v>115</v>
      </c>
      <c r="K10" s="592"/>
      <c r="L10" s="2484"/>
      <c r="M10" s="2485"/>
      <c r="N10" s="2485"/>
      <c r="O10" s="2536"/>
      <c r="P10" s="3406"/>
      <c r="Q10" s="530" t="str">
        <f t="shared" si="6"/>
        <v>土地使用年限（年）</v>
      </c>
      <c r="R10" s="664" t="s">
        <v>14</v>
      </c>
      <c r="S10" s="665">
        <f t="shared" si="0"/>
        <v>115</v>
      </c>
      <c r="T10" s="664" t="s">
        <v>14</v>
      </c>
      <c r="U10" s="665">
        <f t="shared" si="1"/>
        <v>115</v>
      </c>
      <c r="V10" s="664" t="s">
        <v>14</v>
      </c>
      <c r="W10" s="665">
        <f t="shared" si="2"/>
        <v>115</v>
      </c>
      <c r="X10" s="666"/>
      <c r="Y10" s="3281"/>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406"/>
      <c r="Q11" s="530" t="str">
        <f t="shared" si="6"/>
        <v>容积率</v>
      </c>
      <c r="R11" s="664" t="s">
        <v>14</v>
      </c>
      <c r="S11" s="665" t="e">
        <f t="shared" si="0"/>
        <v>#N/A</v>
      </c>
      <c r="T11" s="664" t="s">
        <v>14</v>
      </c>
      <c r="U11" s="665" t="e">
        <f t="shared" si="1"/>
        <v>#N/A</v>
      </c>
      <c r="V11" s="664" t="s">
        <v>14</v>
      </c>
      <c r="W11" s="665" t="e">
        <f t="shared" si="2"/>
        <v>#N/A</v>
      </c>
      <c r="X11" s="666"/>
      <c r="Y11" s="328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06"/>
      <c r="Q12" s="530" t="str">
        <f t="shared" si="6"/>
        <v>配建</v>
      </c>
      <c r="R12" s="664" t="s">
        <v>14</v>
      </c>
      <c r="S12" s="665">
        <f t="shared" si="0"/>
        <v>100</v>
      </c>
      <c r="T12" s="664" t="s">
        <v>14</v>
      </c>
      <c r="U12" s="665">
        <f t="shared" si="1"/>
        <v>100</v>
      </c>
      <c r="V12" s="664" t="s">
        <v>14</v>
      </c>
      <c r="W12" s="665">
        <f t="shared" si="2"/>
        <v>100</v>
      </c>
      <c r="X12" s="666"/>
      <c r="Y12" s="328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06"/>
      <c r="Q13" s="530">
        <f t="shared" si="6"/>
        <v>111</v>
      </c>
      <c r="R13" s="664" t="s">
        <v>14</v>
      </c>
      <c r="S13" s="665">
        <f t="shared" si="0"/>
        <v>100</v>
      </c>
      <c r="T13" s="664" t="s">
        <v>14</v>
      </c>
      <c r="U13" s="665">
        <f t="shared" si="1"/>
        <v>100</v>
      </c>
      <c r="V13" s="664" t="s">
        <v>14</v>
      </c>
      <c r="W13" s="665">
        <f t="shared" si="2"/>
        <v>100</v>
      </c>
      <c r="X13" s="666"/>
      <c r="Y13" s="328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06"/>
      <c r="Q14" s="530">
        <f t="shared" si="6"/>
        <v>111</v>
      </c>
      <c r="R14" s="664" t="s">
        <v>14</v>
      </c>
      <c r="S14" s="665">
        <f t="shared" si="0"/>
        <v>100</v>
      </c>
      <c r="T14" s="664" t="s">
        <v>14</v>
      </c>
      <c r="U14" s="665">
        <f t="shared" si="1"/>
        <v>100</v>
      </c>
      <c r="V14" s="664" t="s">
        <v>14</v>
      </c>
      <c r="W14" s="665">
        <f t="shared" si="2"/>
        <v>100</v>
      </c>
      <c r="X14" s="666"/>
      <c r="Y14" s="3281"/>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87"/>
      <c r="M16" s="2482"/>
      <c r="N16" s="2482"/>
      <c r="O16" s="2537"/>
      <c r="P16" s="3409"/>
      <c r="Q16" s="1263"/>
      <c r="R16" s="667"/>
      <c r="S16" s="668"/>
      <c r="T16" s="667"/>
      <c r="U16" s="668"/>
      <c r="V16" s="667"/>
      <c r="W16" s="668"/>
      <c r="X16" s="1265"/>
      <c r="Y16" s="3409"/>
      <c r="Z16" s="1264"/>
      <c r="AA16" s="1264">
        <v>1</v>
      </c>
      <c r="AB16" s="1264">
        <v>1</v>
      </c>
      <c r="AC16" s="1264">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87"/>
      <c r="M18" s="2482"/>
      <c r="N18" s="2482"/>
      <c r="O18" s="2537"/>
      <c r="P18" s="3409"/>
      <c r="Q18" s="1263"/>
      <c r="R18" s="667"/>
      <c r="S18" s="668"/>
      <c r="T18" s="667"/>
      <c r="U18" s="668"/>
      <c r="V18" s="667"/>
      <c r="W18" s="668"/>
      <c r="X18" s="1265"/>
      <c r="Y18" s="3409"/>
      <c r="Z18" s="1264"/>
      <c r="AA18" s="1264">
        <v>1</v>
      </c>
      <c r="AB18" s="1264">
        <v>1</v>
      </c>
      <c r="AC18" s="1264">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87"/>
      <c r="M20" s="2482"/>
      <c r="N20" s="2482"/>
      <c r="O20" s="2537"/>
      <c r="P20" s="3409"/>
      <c r="Q20" s="1263"/>
      <c r="R20" s="667"/>
      <c r="S20" s="668"/>
      <c r="T20" s="667"/>
      <c r="U20" s="668"/>
      <c r="V20" s="667"/>
      <c r="W20" s="668"/>
      <c r="X20" s="1265"/>
      <c r="Y20" s="3409"/>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87"/>
      <c r="M22" s="2482"/>
      <c r="N22" s="2482"/>
      <c r="O22" s="2537"/>
      <c r="P22" s="3409"/>
      <c r="Q22" s="1263"/>
      <c r="R22" s="667"/>
      <c r="S22" s="668"/>
      <c r="T22" s="667"/>
      <c r="U22" s="668"/>
      <c r="V22" s="667"/>
      <c r="W22" s="668"/>
      <c r="X22" s="1265"/>
      <c r="Y22" s="340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87"/>
      <c r="M24" s="2482"/>
      <c r="N24" s="2482"/>
      <c r="O24" s="2537"/>
      <c r="P24" s="3409"/>
      <c r="Q24" s="1263"/>
      <c r="R24" s="667"/>
      <c r="S24" s="668"/>
      <c r="T24" s="667"/>
      <c r="U24" s="668"/>
      <c r="V24" s="667"/>
      <c r="W24" s="668"/>
      <c r="X24" s="1265"/>
      <c r="Y24" s="3409"/>
      <c r="Z24" s="1264"/>
      <c r="AA24" s="1264"/>
      <c r="AB24" s="1264"/>
      <c r="AC24" s="1264"/>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87"/>
      <c r="M26" s="2482"/>
      <c r="N26" s="2482"/>
      <c r="O26" s="2537"/>
      <c r="P26" s="3409"/>
      <c r="Q26" s="1263"/>
      <c r="R26" s="667"/>
      <c r="S26" s="668"/>
      <c r="T26" s="667"/>
      <c r="U26" s="668"/>
      <c r="V26" s="667"/>
      <c r="W26" s="668"/>
      <c r="X26" s="1265"/>
      <c r="Y26" s="3409"/>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3"/>
      <c r="M28" s="2435"/>
      <c r="N28" s="2435"/>
      <c r="O28" s="2535"/>
      <c r="P28" s="3409"/>
      <c r="Q28" s="530"/>
      <c r="R28" s="664"/>
      <c r="S28" s="665"/>
      <c r="T28" s="664"/>
      <c r="U28" s="665"/>
      <c r="V28" s="664"/>
      <c r="W28" s="665"/>
      <c r="X28" s="666"/>
      <c r="Y28" s="3409"/>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3"/>
      <c r="M30" s="2435"/>
      <c r="N30" s="2435"/>
      <c r="O30" s="2535"/>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87"/>
      <c r="M33" s="2482"/>
      <c r="N33" s="2482"/>
      <c r="O33" s="2537"/>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63"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7"/>
      <c r="M39" s="2482"/>
      <c r="N39" s="2482"/>
      <c r="O39" s="2537"/>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3"/>
      <c r="M41" s="2435"/>
      <c r="N41" s="2435"/>
      <c r="O41" s="2535"/>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7"/>
      <c r="M42" s="2482"/>
      <c r="N42" s="2482"/>
      <c r="O42" s="2537"/>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4.4">
      <c r="A46" s="416" t="s">
        <v>1844</v>
      </c>
      <c r="B46" s="1829" t="s">
        <v>1879</v>
      </c>
      <c r="C46" s="602" t="s">
        <v>0</v>
      </c>
      <c r="D46" s="418"/>
      <c r="E46" s="419"/>
      <c r="F46" s="420"/>
      <c r="G46" s="421"/>
      <c r="H46" s="422"/>
      <c r="I46" s="419"/>
      <c r="J46" s="422"/>
      <c r="K46" s="674"/>
      <c r="L46" s="2489"/>
      <c r="M46" s="2482"/>
      <c r="N46" s="2482"/>
      <c r="O46" s="2482"/>
      <c r="P46" s="3406" t="str">
        <f>A46</f>
        <v>成交单价</v>
      </c>
      <c r="Q46" s="3406"/>
      <c r="R46" s="3407">
        <f>E46</f>
        <v>0</v>
      </c>
      <c r="S46" s="3407"/>
      <c r="T46" s="3407">
        <f>G46</f>
        <v>0</v>
      </c>
      <c r="U46" s="3407"/>
      <c r="V46" s="3407">
        <f>I46</f>
        <v>0</v>
      </c>
      <c r="W46" s="3407"/>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89"/>
      <c r="M47" s="2482"/>
      <c r="N47" s="2482"/>
      <c r="O47" s="2482"/>
      <c r="P47" s="3406" t="str">
        <f>A47</f>
        <v>比较价值（元/平方米）</v>
      </c>
      <c r="Q47" s="3406"/>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9"/>
      <c r="M48" s="2482"/>
      <c r="N48" s="2482"/>
      <c r="O48" s="2482"/>
      <c r="P48" s="3403" t="str">
        <f>A48</f>
        <v>估价对象XX用房的比较价值（楼面单价，元/平方米）</v>
      </c>
      <c r="Q48" s="3404"/>
      <c r="R48" s="3466" t="e">
        <f>ROUND(IF(D47="简单平均",AVERAGE(R47:W47),R47*F47+T47*H47+V47*J47),0)</f>
        <v>#DIV/0!</v>
      </c>
      <c r="S48" s="3466"/>
      <c r="T48" s="3466"/>
      <c r="U48" s="3466"/>
      <c r="V48" s="3466"/>
      <c r="W48" s="3466"/>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0" t="s">
        <v>1883</v>
      </c>
      <c r="D55" s="1831" t="s">
        <v>1884</v>
      </c>
      <c r="E55" s="606" t="s">
        <v>1885</v>
      </c>
      <c r="F55" s="837" t="s">
        <v>1886</v>
      </c>
      <c r="G55" s="3421" t="s">
        <v>1887</v>
      </c>
      <c r="H55" s="3467"/>
      <c r="I55" s="127" t="s">
        <v>1888</v>
      </c>
      <c r="J55" s="1832">
        <f>项目基本情况!F35</f>
        <v>0</v>
      </c>
      <c r="K55" s="1833"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90">
        <v>1</v>
      </c>
      <c r="E56" s="610">
        <f>'数据-汇总表'!E8+'数据-汇总表'!E9</f>
        <v>29587.64</v>
      </c>
      <c r="F56" s="833" t="e">
        <f t="shared" ref="F56:F64" si="15">ROUND(B56*E56/10000,0)</f>
        <v>#DIV/0!</v>
      </c>
      <c r="G56" s="3417"/>
      <c r="H56" s="3406"/>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v>
      </c>
      <c r="D57" s="891">
        <v>0.25</v>
      </c>
      <c r="E57" s="614"/>
      <c r="F57" s="833" t="e">
        <f t="shared" si="15"/>
        <v>#DIV/0!</v>
      </c>
      <c r="G57" s="2745" t="s">
        <v>1892</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v>
      </c>
      <c r="D58" s="891">
        <v>0.25</v>
      </c>
      <c r="E58" s="614"/>
      <c r="F58" s="833" t="e">
        <f t="shared" si="15"/>
        <v>#DIV/0!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v>
      </c>
      <c r="D59" s="891">
        <v>0.25</v>
      </c>
      <c r="E59" s="614"/>
      <c r="F59" s="833" t="e">
        <f t="shared" si="15"/>
        <v>#DIV/0!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29587.64</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2"/>
      <c r="Q67" s="2482"/>
      <c r="R67" s="2482"/>
      <c r="S67" s="2482"/>
      <c r="T67" s="2482"/>
      <c r="U67" s="2482"/>
      <c r="V67" s="2482"/>
      <c r="W67" s="2482"/>
      <c r="X67" s="2482"/>
      <c r="Y67" s="2482"/>
      <c r="Z67" s="2482"/>
      <c r="AA67" s="2482"/>
      <c r="AB67" s="2482"/>
      <c r="AC67" s="2482"/>
    </row>
    <row r="68" spans="1:29" ht="22.2" thickBot="1">
      <c r="A68" s="658" t="s">
        <v>1798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5"/>
      <c r="Q69" s="2505"/>
      <c r="R69" s="2505"/>
      <c r="S69" s="2505"/>
      <c r="T69" s="2505"/>
      <c r="U69" s="2505"/>
      <c r="V69" s="2505"/>
      <c r="W69" s="2505"/>
      <c r="X69" s="2505"/>
      <c r="Y69" s="2505"/>
      <c r="Z69" s="2505"/>
      <c r="AA69" s="2505"/>
      <c r="AB69" s="2505"/>
      <c r="AC69" s="2505"/>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17" sqref="K17"/>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6.33203125" style="347" customWidth="1"/>
    <col min="6" max="6" width="12.21875" style="347" customWidth="1"/>
    <col min="7" max="7" width="16.88671875" style="347" customWidth="1"/>
    <col min="8" max="8" width="12.21875" style="347" customWidth="1"/>
    <col min="9" max="9" width="16.66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2093</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707</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4.4">
      <c r="A4" s="345" t="s">
        <v>1769</v>
      </c>
      <c r="B4" s="346"/>
      <c r="C4" s="3421" t="s">
        <v>1770</v>
      </c>
      <c r="D4" s="3422"/>
      <c r="E4" s="3423" t="s">
        <v>1771</v>
      </c>
      <c r="F4" s="3424"/>
      <c r="G4" s="3421" t="s">
        <v>1772</v>
      </c>
      <c r="H4" s="3422"/>
      <c r="I4" s="3421" t="s">
        <v>1773</v>
      </c>
      <c r="J4" s="3422"/>
      <c r="K4" s="537" t="s">
        <v>1774</v>
      </c>
      <c r="L4" s="2481"/>
      <c r="M4" s="2482"/>
      <c r="N4" s="2482"/>
      <c r="O4" s="2482"/>
      <c r="P4" s="3425" t="s">
        <v>1775</v>
      </c>
      <c r="Q4" s="3426"/>
      <c r="R4" s="3431" t="s">
        <v>1771</v>
      </c>
      <c r="S4" s="3432"/>
      <c r="T4" s="3431" t="s">
        <v>1772</v>
      </c>
      <c r="U4" s="3432"/>
      <c r="V4" s="3407" t="s">
        <v>1773</v>
      </c>
      <c r="W4" s="3407"/>
      <c r="X4" s="1265"/>
      <c r="Y4" s="3431" t="s">
        <v>1775</v>
      </c>
      <c r="Z4" s="3432"/>
      <c r="AA4" s="3418" t="s">
        <v>1771</v>
      </c>
      <c r="AB4" s="3419" t="s">
        <v>1772</v>
      </c>
      <c r="AC4" s="3418" t="s">
        <v>1773</v>
      </c>
    </row>
    <row r="5" spans="1:29">
      <c r="A5" s="348"/>
      <c r="B5" s="349"/>
      <c r="C5" s="3439" t="s">
        <v>1673</v>
      </c>
      <c r="D5" s="3440"/>
      <c r="E5" s="3446" t="str">
        <f>中指!E2</f>
        <v>YJ2024-009</v>
      </c>
      <c r="F5" s="3447"/>
      <c r="G5" s="3439" t="str">
        <f>中指!E5</f>
        <v>YJ2023-021</v>
      </c>
      <c r="H5" s="3440"/>
      <c r="I5" s="3439" t="str">
        <f>中指!E6</f>
        <v>YJ2023-020</v>
      </c>
      <c r="J5" s="3440"/>
      <c r="K5" s="537"/>
      <c r="L5" s="2481"/>
      <c r="M5" s="2482"/>
      <c r="N5" s="2482"/>
      <c r="O5" s="2482"/>
      <c r="P5" s="3427"/>
      <c r="Q5" s="3428"/>
      <c r="R5" s="3433"/>
      <c r="S5" s="3434"/>
      <c r="T5" s="3433"/>
      <c r="U5" s="3434"/>
      <c r="V5" s="3407"/>
      <c r="W5" s="3407"/>
      <c r="X5" s="1265"/>
      <c r="Y5" s="3433"/>
      <c r="Z5" s="3434"/>
      <c r="AA5" s="3419"/>
      <c r="AB5" s="3419"/>
      <c r="AC5" s="3419"/>
    </row>
    <row r="6" spans="1:29" ht="15" thickBot="1">
      <c r="A6" s="350"/>
      <c r="B6" s="351"/>
      <c r="C6" s="3468" t="s">
        <v>1919</v>
      </c>
      <c r="D6" s="3469"/>
      <c r="E6" s="3470" t="str">
        <f>中指!F2</f>
        <v>燕郊高新区迎宾北路西侧、规划安临路北侧</v>
      </c>
      <c r="F6" s="3471"/>
      <c r="G6" s="3468" t="str">
        <f>中指!F5</f>
        <v>燕郊高新区博俊公司用地南侧、规划燕林路东侧</v>
      </c>
      <c r="H6" s="3469"/>
      <c r="I6" s="3468" t="str">
        <f>中指!F6</f>
        <v>燕郊高新区鑫中昊公司用地南侧、规划燕林路西侧</v>
      </c>
      <c r="J6" s="3469"/>
      <c r="K6" s="537" t="s">
        <v>1678</v>
      </c>
      <c r="L6" s="2481"/>
      <c r="M6" s="2482"/>
      <c r="N6" s="2482"/>
      <c r="O6" s="2482"/>
      <c r="P6" s="3429"/>
      <c r="Q6" s="3430"/>
      <c r="R6" s="3433"/>
      <c r="S6" s="3434"/>
      <c r="T6" s="3435"/>
      <c r="U6" s="3436"/>
      <c r="V6" s="3407"/>
      <c r="W6" s="3407"/>
      <c r="X6" s="1265"/>
      <c r="Y6" s="3435"/>
      <c r="Z6" s="3436"/>
      <c r="AA6" s="3420"/>
      <c r="AB6" s="3420"/>
      <c r="AC6" s="3420"/>
    </row>
    <row r="7" spans="1:29" s="102" customFormat="1" ht="15" thickBot="1">
      <c r="A7" s="352" t="s">
        <v>1679</v>
      </c>
      <c r="B7" s="353"/>
      <c r="C7" s="354">
        <f>'数据-取费表'!B2</f>
        <v>45594</v>
      </c>
      <c r="D7" s="355">
        <v>100</v>
      </c>
      <c r="E7" s="356">
        <f>中指!O2</f>
        <v>45392.333831018521</v>
      </c>
      <c r="F7" s="357">
        <f>SUMIF(65:65,YEAR(E7)&amp;"-"&amp;INT((MONTH(E7)+2)/3),66:66)</f>
        <v>100</v>
      </c>
      <c r="G7" s="1821">
        <f>中指!O5</f>
        <v>45289.333831018521</v>
      </c>
      <c r="H7" s="355">
        <f>SUMIF(65:65,YEAR(G7)&amp;"-"&amp;INT((MONTH(G7)+2)/3),66:66)</f>
        <v>100</v>
      </c>
      <c r="I7" s="1821">
        <f>中指!O6</f>
        <v>45289.333831018521</v>
      </c>
      <c r="J7" s="355">
        <f>SUMIF(65:65,YEAR(I7)&amp;"-"&amp;INT((MONTH(I7)+2)/3),66:66)</f>
        <v>100</v>
      </c>
      <c r="K7" s="38"/>
      <c r="L7" s="2483"/>
      <c r="M7" s="2435"/>
      <c r="N7" s="2435"/>
      <c r="O7" s="2435"/>
      <c r="P7" s="3441" t="s">
        <v>1680</v>
      </c>
      <c r="Q7" s="3443"/>
      <c r="R7" s="664" t="s">
        <v>14</v>
      </c>
      <c r="S7" s="665">
        <f t="shared" ref="S7:S15" si="0">F7</f>
        <v>100</v>
      </c>
      <c r="T7" s="664" t="s">
        <v>14</v>
      </c>
      <c r="U7" s="665">
        <f t="shared" ref="U7:U15" si="1">H7</f>
        <v>100</v>
      </c>
      <c r="V7" s="664" t="s">
        <v>14</v>
      </c>
      <c r="W7" s="665">
        <f t="shared" ref="W7:W15" si="2">J7</f>
        <v>100</v>
      </c>
      <c r="X7" s="666"/>
      <c r="Y7" s="3441" t="s">
        <v>1680</v>
      </c>
      <c r="Z7" s="3442"/>
      <c r="AA7" s="50">
        <f>D7/F7</f>
        <v>1</v>
      </c>
      <c r="AB7" s="50">
        <f>D7/H7</f>
        <v>1</v>
      </c>
      <c r="AC7" s="50">
        <f>D7/J7</f>
        <v>1</v>
      </c>
    </row>
    <row r="8" spans="1:29" s="102" customFormat="1" ht="15" thickBot="1">
      <c r="A8" s="352" t="s">
        <v>1681</v>
      </c>
      <c r="B8" s="353"/>
      <c r="C8" s="358" t="s">
        <v>1682</v>
      </c>
      <c r="D8" s="355">
        <v>100</v>
      </c>
      <c r="E8" s="358" t="s">
        <v>3514</v>
      </c>
      <c r="F8" s="357">
        <f>SUMIF(68:68,E8,69:69)-SUMIF(68:68,C8,69:69)+100</f>
        <v>100</v>
      </c>
      <c r="G8" s="358" t="s">
        <v>3514</v>
      </c>
      <c r="H8" s="355">
        <f>SUMIF(68:68,G8,69:69)-SUMIF(68:68,C8,69:69)+100</f>
        <v>100</v>
      </c>
      <c r="I8" s="358" t="s">
        <v>3514</v>
      </c>
      <c r="J8" s="355">
        <f>SUMIF(68:68,I8,69:69)-SUMIF(68:68,C8,69:69)+100</f>
        <v>100</v>
      </c>
      <c r="K8" s="38"/>
      <c r="L8" s="2483"/>
      <c r="M8" s="2435"/>
      <c r="N8" s="2435"/>
      <c r="O8" s="2435"/>
      <c r="P8" s="3441" t="s">
        <v>1683</v>
      </c>
      <c r="Q8" s="3442"/>
      <c r="R8" s="664" t="s">
        <v>14</v>
      </c>
      <c r="S8" s="665">
        <f t="shared" si="0"/>
        <v>100</v>
      </c>
      <c r="T8" s="664" t="s">
        <v>14</v>
      </c>
      <c r="U8" s="665">
        <f t="shared" si="1"/>
        <v>100</v>
      </c>
      <c r="V8" s="664" t="s">
        <v>14</v>
      </c>
      <c r="W8" s="665">
        <f t="shared" si="2"/>
        <v>100</v>
      </c>
      <c r="X8" s="666"/>
      <c r="Y8" s="3441" t="s">
        <v>1683</v>
      </c>
      <c r="Z8" s="3442"/>
      <c r="AA8" s="50">
        <f t="shared" ref="AA8:AA40" si="3">D8/F8</f>
        <v>1</v>
      </c>
      <c r="AB8" s="50">
        <f t="shared" ref="AB8:AB40" si="4">D8/H8</f>
        <v>1</v>
      </c>
      <c r="AC8" s="50">
        <f t="shared" ref="AC8:AC40" si="5">D8/J8</f>
        <v>1</v>
      </c>
    </row>
    <row r="9" spans="1:29" s="102" customFormat="1" ht="14.4">
      <c r="A9" s="359" t="s">
        <v>1684</v>
      </c>
      <c r="B9" s="60" t="s">
        <v>1685</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3"/>
      <c r="M9" s="2435"/>
      <c r="N9" s="2435"/>
      <c r="O9" s="2535"/>
      <c r="P9" s="3406" t="s">
        <v>1686</v>
      </c>
      <c r="Q9" s="530" t="str">
        <f t="shared" ref="Q9:Q15" si="6">B9</f>
        <v>用途</v>
      </c>
      <c r="R9" s="664" t="s">
        <v>14</v>
      </c>
      <c r="S9" s="665">
        <f t="shared" si="0"/>
        <v>100</v>
      </c>
      <c r="T9" s="664" t="s">
        <v>14</v>
      </c>
      <c r="U9" s="665">
        <f t="shared" si="1"/>
        <v>100</v>
      </c>
      <c r="V9" s="664" t="s">
        <v>14</v>
      </c>
      <c r="W9" s="665">
        <f t="shared" si="2"/>
        <v>100</v>
      </c>
      <c r="X9" s="666"/>
      <c r="Y9" s="328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115</v>
      </c>
      <c r="G10" s="371"/>
      <c r="H10" s="119">
        <f>ROUND(100/'数据-取费表'!G16,0)</f>
        <v>115</v>
      </c>
      <c r="I10" s="371"/>
      <c r="J10" s="119">
        <f>ROUND(100/'数据-取费表'!G16,0)</f>
        <v>115</v>
      </c>
      <c r="K10" s="592"/>
      <c r="L10" s="2484"/>
      <c r="M10" s="2485"/>
      <c r="N10" s="2485"/>
      <c r="O10" s="2536"/>
      <c r="P10" s="3406"/>
      <c r="Q10" s="530" t="str">
        <f t="shared" si="6"/>
        <v>土地使用年限（年）</v>
      </c>
      <c r="R10" s="664" t="s">
        <v>14</v>
      </c>
      <c r="S10" s="665">
        <f t="shared" si="0"/>
        <v>115</v>
      </c>
      <c r="T10" s="664" t="s">
        <v>14</v>
      </c>
      <c r="U10" s="665">
        <f t="shared" si="1"/>
        <v>115</v>
      </c>
      <c r="V10" s="664" t="s">
        <v>14</v>
      </c>
      <c r="W10" s="665">
        <f t="shared" si="2"/>
        <v>115</v>
      </c>
      <c r="X10" s="666"/>
      <c r="Y10" s="3281"/>
      <c r="Z10" s="50" t="str">
        <f t="shared" si="7"/>
        <v>土地使用年限（年）</v>
      </c>
      <c r="AA10" s="50">
        <f t="shared" si="3"/>
        <v>0.86956521739130432</v>
      </c>
      <c r="AB10" s="50">
        <f t="shared" si="4"/>
        <v>0.86956521739130432</v>
      </c>
      <c r="AC10" s="50">
        <f t="shared" si="5"/>
        <v>0.86956521739130432</v>
      </c>
    </row>
    <row r="11" spans="1:29" ht="15">
      <c r="A11" s="367"/>
      <c r="B11" s="364" t="s">
        <v>1689</v>
      </c>
      <c r="C11" s="368">
        <f>'数据-汇总表'!I6</f>
        <v>1.2</v>
      </c>
      <c r="D11" s="119">
        <v>100</v>
      </c>
      <c r="E11" s="368">
        <v>2</v>
      </c>
      <c r="F11" s="119">
        <f>LOOKUP(E11,75:75,76:76)-LOOKUP(C11,75:75,76:76)+100</f>
        <v>99</v>
      </c>
      <c r="G11" s="369">
        <v>2</v>
      </c>
      <c r="H11" s="119">
        <f>LOOKUP(G11,75:75,76:76)-LOOKUP(C11,75:75,76:76)+100</f>
        <v>99</v>
      </c>
      <c r="I11" s="368">
        <v>2</v>
      </c>
      <c r="J11" s="119">
        <f>LOOKUP(I11,75:75,76:76)-LOOKUP(C11,75:75,76:76)+100</f>
        <v>99</v>
      </c>
      <c r="K11" s="593">
        <v>1</v>
      </c>
      <c r="L11" s="2486"/>
      <c r="M11" s="2482"/>
      <c r="N11" s="2482"/>
      <c r="O11" s="2537"/>
      <c r="P11" s="3406"/>
      <c r="Q11" s="530" t="str">
        <f t="shared" si="6"/>
        <v>容积率</v>
      </c>
      <c r="R11" s="664" t="s">
        <v>14</v>
      </c>
      <c r="S11" s="665">
        <f t="shared" si="0"/>
        <v>99</v>
      </c>
      <c r="T11" s="664" t="s">
        <v>14</v>
      </c>
      <c r="U11" s="665">
        <f t="shared" si="1"/>
        <v>99</v>
      </c>
      <c r="V11" s="664" t="s">
        <v>14</v>
      </c>
      <c r="W11" s="665">
        <f t="shared" si="2"/>
        <v>99</v>
      </c>
      <c r="X11" s="666"/>
      <c r="Y11" s="3281"/>
      <c r="Z11" s="50" t="str">
        <f t="shared" si="7"/>
        <v>容积率</v>
      </c>
      <c r="AA11" s="50">
        <f t="shared" si="3"/>
        <v>1.0101010101010102</v>
      </c>
      <c r="AB11" s="50">
        <f t="shared" si="4"/>
        <v>1.0101010101010102</v>
      </c>
      <c r="AC11" s="50">
        <f t="shared" si="5"/>
        <v>1.0101010101010102</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406"/>
      <c r="Q12" s="530">
        <f t="shared" si="6"/>
        <v>111</v>
      </c>
      <c r="R12" s="664" t="s">
        <v>14</v>
      </c>
      <c r="S12" s="665">
        <f t="shared" si="0"/>
        <v>100</v>
      </c>
      <c r="T12" s="664" t="s">
        <v>14</v>
      </c>
      <c r="U12" s="665">
        <f t="shared" si="1"/>
        <v>100</v>
      </c>
      <c r="V12" s="664" t="s">
        <v>14</v>
      </c>
      <c r="W12" s="665">
        <f t="shared" si="2"/>
        <v>100</v>
      </c>
      <c r="X12" s="666"/>
      <c r="Y12" s="328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06"/>
      <c r="Q13" s="530">
        <f t="shared" si="6"/>
        <v>111</v>
      </c>
      <c r="R13" s="664" t="s">
        <v>14</v>
      </c>
      <c r="S13" s="665">
        <f t="shared" si="0"/>
        <v>100</v>
      </c>
      <c r="T13" s="664" t="s">
        <v>14</v>
      </c>
      <c r="U13" s="665">
        <f t="shared" si="1"/>
        <v>100</v>
      </c>
      <c r="V13" s="664" t="s">
        <v>14</v>
      </c>
      <c r="W13" s="665">
        <f t="shared" si="2"/>
        <v>100</v>
      </c>
      <c r="X13" s="666"/>
      <c r="Y13" s="328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06"/>
      <c r="Q14" s="530">
        <f t="shared" si="6"/>
        <v>111</v>
      </c>
      <c r="R14" s="664" t="s">
        <v>14</v>
      </c>
      <c r="S14" s="665">
        <f t="shared" si="0"/>
        <v>100</v>
      </c>
      <c r="T14" s="664" t="s">
        <v>14</v>
      </c>
      <c r="U14" s="665">
        <f t="shared" si="1"/>
        <v>100</v>
      </c>
      <c r="V14" s="664" t="s">
        <v>14</v>
      </c>
      <c r="W14" s="665">
        <f t="shared" si="2"/>
        <v>100</v>
      </c>
      <c r="X14" s="666"/>
      <c r="Y14" s="3281"/>
      <c r="Z14" s="50">
        <f t="shared" si="7"/>
        <v>111</v>
      </c>
      <c r="AA14" s="50">
        <f t="shared" si="3"/>
        <v>1</v>
      </c>
      <c r="AB14" s="50">
        <f t="shared" si="4"/>
        <v>1</v>
      </c>
      <c r="AC14" s="50">
        <f t="shared" si="5"/>
        <v>1</v>
      </c>
    </row>
    <row r="15" spans="1:29" ht="289.8">
      <c r="A15" s="379" t="s">
        <v>1690</v>
      </c>
      <c r="B15" s="554" t="s">
        <v>1920</v>
      </c>
      <c r="C15" s="1818"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80">
        <v>100</v>
      </c>
      <c r="E15" s="3159" t="s">
        <v>3547</v>
      </c>
      <c r="F15" s="380">
        <f>SUMIF(83:83,E16,84:84)-SUMIF(83:83,C16,84:84)+100</f>
        <v>100</v>
      </c>
      <c r="G15" s="3159" t="s">
        <v>3547</v>
      </c>
      <c r="H15" s="380">
        <f>SUMIF(83:83,G16,84:84)-SUMIF(83:83,C16,84:84)+100</f>
        <v>100</v>
      </c>
      <c r="I15" s="3159" t="s">
        <v>3545</v>
      </c>
      <c r="J15" s="380">
        <f>SUMIF(83:83,I16,84:84)-SUMIF(83:83,C16,84:84)+100</f>
        <v>100</v>
      </c>
      <c r="K15" s="593">
        <v>3</v>
      </c>
      <c r="L15" s="2487"/>
      <c r="M15" s="2482"/>
      <c r="N15" s="2482"/>
      <c r="O15" s="2537"/>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t="s">
        <v>3516</v>
      </c>
      <c r="D16" s="387"/>
      <c r="E16" s="1757" t="s">
        <v>3516</v>
      </c>
      <c r="F16" s="387"/>
      <c r="G16" s="1757" t="s">
        <v>3516</v>
      </c>
      <c r="H16" s="389"/>
      <c r="I16" s="1757" t="s">
        <v>3516</v>
      </c>
      <c r="J16" s="387"/>
      <c r="K16" s="592"/>
      <c r="L16" s="2487"/>
      <c r="M16" s="2482"/>
      <c r="N16" s="2482"/>
      <c r="O16" s="2537"/>
      <c r="P16" s="3409"/>
      <c r="Q16" s="1263"/>
      <c r="R16" s="667"/>
      <c r="S16" s="668"/>
      <c r="T16" s="667"/>
      <c r="U16" s="668"/>
      <c r="V16" s="667"/>
      <c r="W16" s="668"/>
      <c r="X16" s="1265"/>
      <c r="Y16" s="3409"/>
      <c r="Z16" s="1264"/>
      <c r="AA16" s="1264">
        <v>1</v>
      </c>
      <c r="AB16" s="1264">
        <v>1</v>
      </c>
      <c r="AC16" s="1264">
        <v>1</v>
      </c>
    </row>
    <row r="17" spans="1:29" ht="303.60000000000002">
      <c r="A17" s="367"/>
      <c r="B17" s="556" t="s">
        <v>1833</v>
      </c>
      <c r="C17" s="1753"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9">
        <v>100</v>
      </c>
      <c r="E17" s="3158" t="s">
        <v>3549</v>
      </c>
      <c r="F17" s="394">
        <f>SUMIF(85:85,E18,86:86)-SUMIF(85:85,C18,86:86)+100</f>
        <v>100</v>
      </c>
      <c r="G17" s="391" t="s">
        <v>3548</v>
      </c>
      <c r="H17" s="394">
        <f>SUMIF(85:85,G18,86:86)-SUMIF(85:85,C18,86:86)+100</f>
        <v>100</v>
      </c>
      <c r="I17" s="3158" t="s">
        <v>3542</v>
      </c>
      <c r="J17" s="389">
        <f>SUMIF(85:85,I18,86:86)-SUMIF(85:85,C18,86:86)+100</f>
        <v>100</v>
      </c>
      <c r="K17" s="593">
        <v>2</v>
      </c>
      <c r="L17" s="2487"/>
      <c r="M17" s="2482"/>
      <c r="N17" s="2482"/>
      <c r="O17" s="2537"/>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t="s">
        <v>3517</v>
      </c>
      <c r="D18" s="387"/>
      <c r="E18" s="1751" t="s">
        <v>3517</v>
      </c>
      <c r="F18" s="387"/>
      <c r="G18" s="1751" t="s">
        <v>3517</v>
      </c>
      <c r="H18" s="387"/>
      <c r="I18" s="1750" t="s">
        <v>3517</v>
      </c>
      <c r="J18" s="387"/>
      <c r="K18" s="592"/>
      <c r="L18" s="2487"/>
      <c r="M18" s="2482"/>
      <c r="N18" s="2482"/>
      <c r="O18" s="2537"/>
      <c r="P18" s="3409"/>
      <c r="Q18" s="1263"/>
      <c r="R18" s="667"/>
      <c r="S18" s="668"/>
      <c r="T18" s="667"/>
      <c r="U18" s="668"/>
      <c r="V18" s="667"/>
      <c r="W18" s="668"/>
      <c r="X18" s="1265"/>
      <c r="Y18" s="3409"/>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7"/>
      <c r="M19" s="2482"/>
      <c r="N19" s="2482"/>
      <c r="O19" s="2537"/>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t="s">
        <v>3516</v>
      </c>
      <c r="D20" s="387"/>
      <c r="E20" s="1751" t="s">
        <v>3516</v>
      </c>
      <c r="F20" s="387"/>
      <c r="G20" s="1751" t="s">
        <v>3516</v>
      </c>
      <c r="H20" s="387"/>
      <c r="I20" s="1751" t="s">
        <v>3516</v>
      </c>
      <c r="J20" s="387"/>
      <c r="K20" s="698"/>
      <c r="L20" s="2487"/>
      <c r="M20" s="2482"/>
      <c r="N20" s="2482"/>
      <c r="O20" s="2537"/>
      <c r="P20" s="3409"/>
      <c r="Q20" s="1263"/>
      <c r="R20" s="667"/>
      <c r="S20" s="668"/>
      <c r="T20" s="667"/>
      <c r="U20" s="668"/>
      <c r="V20" s="667"/>
      <c r="W20" s="668"/>
      <c r="X20" s="1265"/>
      <c r="Y20" s="3409"/>
      <c r="Z20" s="1264"/>
      <c r="AA20" s="1264"/>
      <c r="AB20" s="1264"/>
      <c r="AC20" s="1264"/>
    </row>
    <row r="21" spans="1:29" ht="289.8">
      <c r="A21" s="348"/>
      <c r="B21" s="556" t="s">
        <v>1921</v>
      </c>
      <c r="C21" s="1753"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1" s="389">
        <v>100</v>
      </c>
      <c r="E21" s="3161" t="s">
        <v>3550</v>
      </c>
      <c r="F21" s="389">
        <f>SUMIF(89:89,E22,90:90)-SUMIF(89:89,C22,90:90)+100</f>
        <v>100</v>
      </c>
      <c r="G21" s="3161" t="s">
        <v>3543</v>
      </c>
      <c r="H21" s="389">
        <f>SUMIF(89:89,G22,90:90)-SUMIF(89:89,C22,90:90)+100</f>
        <v>100</v>
      </c>
      <c r="I21" s="3160" t="s">
        <v>3544</v>
      </c>
      <c r="J21" s="389">
        <f>SUMIF(89:89,I22,90:90)-SUMIF(89:89,C22,90:90)+100</f>
        <v>100</v>
      </c>
      <c r="K21" s="593">
        <v>2</v>
      </c>
      <c r="L21" s="2487"/>
      <c r="M21" s="2482"/>
      <c r="N21" s="2482"/>
      <c r="O21" s="2537"/>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t="s">
        <v>3516</v>
      </c>
      <c r="D22" s="387"/>
      <c r="E22" s="1757" t="s">
        <v>3516</v>
      </c>
      <c r="F22" s="387"/>
      <c r="G22" s="1757" t="s">
        <v>3516</v>
      </c>
      <c r="H22" s="387"/>
      <c r="I22" s="386" t="s">
        <v>3516</v>
      </c>
      <c r="J22" s="387"/>
      <c r="K22" s="592"/>
      <c r="L22" s="2487"/>
      <c r="M22" s="2482"/>
      <c r="N22" s="2482"/>
      <c r="O22" s="2537"/>
      <c r="P22" s="3409"/>
      <c r="Q22" s="1263"/>
      <c r="R22" s="667"/>
      <c r="S22" s="668"/>
      <c r="T22" s="667"/>
      <c r="U22" s="668"/>
      <c r="V22" s="667"/>
      <c r="W22" s="668"/>
      <c r="X22" s="1265"/>
      <c r="Y22" s="3409"/>
      <c r="Z22" s="1264"/>
      <c r="AA22" s="1264">
        <v>1</v>
      </c>
      <c r="AB22" s="1264">
        <v>1</v>
      </c>
      <c r="AC22" s="1264">
        <v>1</v>
      </c>
    </row>
    <row r="23" spans="1:29" s="102" customFormat="1" ht="289.8">
      <c r="A23" s="443"/>
      <c r="B23" s="557" t="s">
        <v>1778</v>
      </c>
      <c r="C23" s="1753"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23" s="389">
        <v>100</v>
      </c>
      <c r="E23" s="3161" t="s">
        <v>3569</v>
      </c>
      <c r="F23" s="389">
        <f>SUMIF(91:91,E24,92:92)-SUMIF(91:91,C24,92:92)+100</f>
        <v>100</v>
      </c>
      <c r="G23" s="3161" t="s">
        <v>3609</v>
      </c>
      <c r="H23" s="389">
        <f>SUMIF(91:91,G24,92:92)-SUMIF(91:91,C24,92:92)+100</f>
        <v>100</v>
      </c>
      <c r="I23" s="3160" t="s">
        <v>3551</v>
      </c>
      <c r="J23" s="389">
        <f>SUMIF(91:91,I24,92:92)-SUMIF(91:91,C24,92:92)+100</f>
        <v>100</v>
      </c>
      <c r="K23" s="593">
        <v>2</v>
      </c>
      <c r="L23" s="2483"/>
      <c r="M23" s="2435"/>
      <c r="N23" s="2435"/>
      <c r="O23" s="2535"/>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5" t="s">
        <v>3516</v>
      </c>
      <c r="D24" s="387"/>
      <c r="E24" s="1757" t="s">
        <v>3516</v>
      </c>
      <c r="F24" s="387"/>
      <c r="G24" s="1757" t="s">
        <v>3516</v>
      </c>
      <c r="H24" s="387"/>
      <c r="I24" s="386" t="s">
        <v>3516</v>
      </c>
      <c r="J24" s="387"/>
      <c r="K24" s="592"/>
      <c r="L24" s="2483"/>
      <c r="M24" s="2435"/>
      <c r="N24" s="2435"/>
      <c r="O24" s="2535"/>
      <c r="P24" s="3409"/>
      <c r="Q24" s="530"/>
      <c r="R24" s="664"/>
      <c r="S24" s="665"/>
      <c r="T24" s="664"/>
      <c r="U24" s="665"/>
      <c r="V24" s="664"/>
      <c r="W24" s="665"/>
      <c r="X24" s="666"/>
      <c r="Y24" s="3409"/>
      <c r="Z24" s="50"/>
      <c r="AA24" s="50">
        <v>1</v>
      </c>
      <c r="AB24" s="50">
        <v>1</v>
      </c>
      <c r="AC24" s="50">
        <v>1</v>
      </c>
    </row>
    <row r="25" spans="1:29" s="102" customFormat="1" ht="41.4">
      <c r="A25" s="443"/>
      <c r="B25" s="557" t="s">
        <v>1779</v>
      </c>
      <c r="C25" s="1753" t="str">
        <f>估价对象房地状况!G20</f>
        <v>估价对象所在区域基础设施水平：五通</v>
      </c>
      <c r="D25" s="389">
        <v>100</v>
      </c>
      <c r="E25" s="391"/>
      <c r="F25" s="389">
        <f>SUMIF(93:93,E26,94:94)-SUMIF(93:93,C26,94:94)+100</f>
        <v>100</v>
      </c>
      <c r="G25" s="391"/>
      <c r="H25" s="389">
        <f>SUMIF(93:93,G26,94:94)-SUMIF(93:93,C26,94:94)+100</f>
        <v>100</v>
      </c>
      <c r="I25" s="393"/>
      <c r="J25" s="389">
        <f>SUMIF(93:93,I26,94:94)-SUMIF(93:93,C26,94:94)+100</f>
        <v>100</v>
      </c>
      <c r="K25" s="593">
        <v>1</v>
      </c>
      <c r="L25" s="2483"/>
      <c r="M25" s="2435"/>
      <c r="N25" s="2435"/>
      <c r="O25" s="2535"/>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5" t="s">
        <v>3608</v>
      </c>
      <c r="D26" s="387"/>
      <c r="E26" s="1826" t="s">
        <v>3608</v>
      </c>
      <c r="F26" s="387"/>
      <c r="G26" s="1826" t="s">
        <v>3608</v>
      </c>
      <c r="H26" s="387"/>
      <c r="I26" s="1826" t="s">
        <v>3608</v>
      </c>
      <c r="J26" s="387"/>
      <c r="K26" s="592"/>
      <c r="L26" s="2483"/>
      <c r="M26" s="2435"/>
      <c r="N26" s="2435"/>
      <c r="O26" s="2535"/>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87"/>
      <c r="M29" s="2482"/>
      <c r="N29" s="2482"/>
      <c r="O29" s="2537"/>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63"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f>'数据-汇总表'!D19</f>
        <v>24593</v>
      </c>
      <c r="D34" s="405">
        <v>100</v>
      </c>
      <c r="E34" s="599">
        <f>中指!G2</f>
        <v>38632</v>
      </c>
      <c r="F34" s="405">
        <f>LOOKUP(E34,108:108,109:109)-LOOKUP(C34,108:108,109:109)+100</f>
        <v>102</v>
      </c>
      <c r="G34" s="599">
        <f>中指!G5</f>
        <v>11643</v>
      </c>
      <c r="H34" s="405">
        <f>LOOKUP(G34,108:108,109:109)-LOOKUP(C34,108:108,109:109)+100</f>
        <v>98</v>
      </c>
      <c r="I34" s="462">
        <f>中指!G6</f>
        <v>11293</v>
      </c>
      <c r="J34" s="405">
        <f>LOOKUP(I34,108:108,109:109)-LOOKUP(C34,108:108,109:109)+100</f>
        <v>98</v>
      </c>
      <c r="K34" s="539"/>
      <c r="L34" s="2487"/>
      <c r="M34" s="2482"/>
      <c r="N34" s="2482"/>
      <c r="O34" s="2537"/>
      <c r="P34" s="3413"/>
      <c r="Q34" s="1263" t="str">
        <f>B34</f>
        <v>宗地面积</v>
      </c>
      <c r="R34" s="667" t="s">
        <v>14</v>
      </c>
      <c r="S34" s="668">
        <f t="shared" si="10"/>
        <v>102</v>
      </c>
      <c r="T34" s="667" t="s">
        <v>14</v>
      </c>
      <c r="U34" s="668">
        <f t="shared" si="11"/>
        <v>98</v>
      </c>
      <c r="V34" s="667" t="s">
        <v>14</v>
      </c>
      <c r="W34" s="668">
        <f t="shared" si="12"/>
        <v>98</v>
      </c>
      <c r="X34" s="1265"/>
      <c r="Y34" s="3413"/>
      <c r="Z34" s="1264" t="str">
        <f t="shared" si="13"/>
        <v>宗地面积</v>
      </c>
      <c r="AA34" s="1264">
        <f t="shared" si="3"/>
        <v>0.98039215686274506</v>
      </c>
      <c r="AB34" s="1264">
        <f t="shared" si="4"/>
        <v>1.0204081632653061</v>
      </c>
      <c r="AC34" s="1264">
        <f t="shared" si="5"/>
        <v>1.0204081632653061</v>
      </c>
    </row>
    <row r="35" spans="1:31" ht="15">
      <c r="A35" s="409"/>
      <c r="B35" s="364" t="s">
        <v>1875</v>
      </c>
      <c r="C35" s="1759" t="s">
        <v>3519</v>
      </c>
      <c r="D35" s="374">
        <v>100</v>
      </c>
      <c r="E35" s="1759" t="s">
        <v>3519</v>
      </c>
      <c r="F35" s="374">
        <f>SUMIF(110:110,E35,111:111)-SUMIF(110:110,C35,111:111)+100</f>
        <v>100</v>
      </c>
      <c r="G35" s="1759" t="s">
        <v>3519</v>
      </c>
      <c r="H35" s="374">
        <f>SUMIF(110:110,G35,111:111)-SUMIF(110:110,C35,111:111)+100</f>
        <v>100</v>
      </c>
      <c r="I35" s="1759" t="s">
        <v>3519</v>
      </c>
      <c r="J35" s="374">
        <f>SUMIF(110:110,I35,111:111)-SUMIF(110:110,C35,111:111)+100</f>
        <v>100</v>
      </c>
      <c r="K35" s="538">
        <v>2</v>
      </c>
      <c r="L35" s="2487"/>
      <c r="M35" s="2482"/>
      <c r="N35" s="2482"/>
      <c r="O35" s="2537"/>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7" t="s">
        <v>3608</v>
      </c>
      <c r="D36" s="119">
        <v>100</v>
      </c>
      <c r="E36" s="1827" t="s">
        <v>3518</v>
      </c>
      <c r="F36" s="374">
        <f>SUMIF(112:112,E36,113:113)-SUMIF(112:112,C36,113:113)+100</f>
        <v>98</v>
      </c>
      <c r="G36" s="1827" t="s">
        <v>3518</v>
      </c>
      <c r="H36" s="374">
        <f>SUMIF(112:112,G36,113:113)-SUMIF(112:112,C36,113:113)+100</f>
        <v>98</v>
      </c>
      <c r="I36" s="1827" t="s">
        <v>3518</v>
      </c>
      <c r="J36" s="374">
        <f>SUMIF(112:112,I36,113:113)-SUMIF(112:112,C36,113:113)+100</f>
        <v>98</v>
      </c>
      <c r="K36" s="538">
        <v>1</v>
      </c>
      <c r="L36" s="2483"/>
      <c r="M36" s="2435"/>
      <c r="N36" s="2435"/>
      <c r="O36" s="2535"/>
      <c r="P36" s="3413"/>
      <c r="Q36" s="1263" t="str">
        <f t="shared" si="14"/>
        <v>宗地开发程度</v>
      </c>
      <c r="R36" s="664" t="s">
        <v>14</v>
      </c>
      <c r="S36" s="665">
        <f t="shared" si="10"/>
        <v>98</v>
      </c>
      <c r="T36" s="664" t="s">
        <v>14</v>
      </c>
      <c r="U36" s="665">
        <f t="shared" si="11"/>
        <v>98</v>
      </c>
      <c r="V36" s="664" t="s">
        <v>14</v>
      </c>
      <c r="W36" s="665">
        <f t="shared" si="12"/>
        <v>98</v>
      </c>
      <c r="X36" s="666"/>
      <c r="Y36" s="3413"/>
      <c r="Z36" s="50" t="str">
        <f t="shared" si="13"/>
        <v>宗地开发程度</v>
      </c>
      <c r="AA36" s="50">
        <f t="shared" si="3"/>
        <v>1.0204081632653061</v>
      </c>
      <c r="AB36" s="50">
        <f t="shared" si="4"/>
        <v>1.0204081632653061</v>
      </c>
      <c r="AC36" s="50">
        <f t="shared" si="5"/>
        <v>1.0204081632653061</v>
      </c>
    </row>
    <row r="37" spans="1:31" ht="15">
      <c r="A37" s="409"/>
      <c r="B37" s="364" t="s">
        <v>1878</v>
      </c>
      <c r="C37" s="1759" t="s">
        <v>3516</v>
      </c>
      <c r="D37" s="374">
        <v>100</v>
      </c>
      <c r="E37" s="1759" t="s">
        <v>3516</v>
      </c>
      <c r="F37" s="374">
        <f>SUMIF(114:114,E37,115:115)-SUMIF(114:114,C37,115:115)+100</f>
        <v>100</v>
      </c>
      <c r="G37" s="1759" t="s">
        <v>3516</v>
      </c>
      <c r="H37" s="374">
        <f>SUMIF(114:114,G37,115:115)-SUMIF(114:114,C37,115:115)+100</f>
        <v>100</v>
      </c>
      <c r="I37" s="1759" t="s">
        <v>3516</v>
      </c>
      <c r="J37" s="374">
        <f>SUMIF(114:114,I37,115:115)-SUMIF(114:114,C37,115:115)+100</f>
        <v>100</v>
      </c>
      <c r="K37" s="538">
        <v>2</v>
      </c>
      <c r="L37" s="2487"/>
      <c r="M37" s="2482"/>
      <c r="N37" s="2482"/>
      <c r="O37" s="2537"/>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4.4">
      <c r="A41" s="416" t="s">
        <v>1844</v>
      </c>
      <c r="B41" s="1829" t="s">
        <v>1922</v>
      </c>
      <c r="C41" s="602" t="s">
        <v>0</v>
      </c>
      <c r="D41" s="418"/>
      <c r="E41" s="419">
        <f>中指!X2</f>
        <v>940</v>
      </c>
      <c r="F41" s="420"/>
      <c r="G41" s="421">
        <f>中指!X5</f>
        <v>945</v>
      </c>
      <c r="H41" s="422"/>
      <c r="I41" s="419">
        <f>中指!X6</f>
        <v>943</v>
      </c>
      <c r="J41" s="422"/>
      <c r="K41" s="674"/>
      <c r="L41" s="2489"/>
      <c r="M41" s="2482"/>
      <c r="N41" s="2482"/>
      <c r="O41" s="2482"/>
      <c r="P41" s="3406" t="str">
        <f>A41</f>
        <v>成交单价</v>
      </c>
      <c r="Q41" s="3406"/>
      <c r="R41" s="3407">
        <f>E41</f>
        <v>940</v>
      </c>
      <c r="S41" s="3407"/>
      <c r="T41" s="3407">
        <f>G41</f>
        <v>945</v>
      </c>
      <c r="U41" s="3407"/>
      <c r="V41" s="3407">
        <f>I41</f>
        <v>943</v>
      </c>
      <c r="W41" s="3407"/>
      <c r="X41" s="385"/>
      <c r="Y41" s="673"/>
      <c r="Z41" s="385"/>
      <c r="AA41" s="385"/>
      <c r="AB41" s="385"/>
      <c r="AC41" s="385"/>
    </row>
    <row r="42" spans="1:31" ht="15" thickBot="1">
      <c r="A42" s="423" t="s">
        <v>1793</v>
      </c>
      <c r="B42" s="603"/>
      <c r="C42" s="426">
        <f>R43</f>
        <v>851</v>
      </c>
      <c r="D42" s="2140" t="s">
        <v>2138</v>
      </c>
      <c r="E42" s="426">
        <f>R42</f>
        <v>826</v>
      </c>
      <c r="F42" s="2141"/>
      <c r="G42" s="425">
        <f>T42</f>
        <v>864</v>
      </c>
      <c r="H42" s="2141"/>
      <c r="I42" s="426">
        <f>V42</f>
        <v>862</v>
      </c>
      <c r="J42" s="2141"/>
      <c r="K42" s="2143">
        <f>F42+H42+J42</f>
        <v>0</v>
      </c>
      <c r="L42" s="2489"/>
      <c r="M42" s="2482"/>
      <c r="N42" s="2482"/>
      <c r="O42" s="2482"/>
      <c r="P42" s="3406" t="str">
        <f>A42</f>
        <v>比较价值（元/平方米）</v>
      </c>
      <c r="Q42" s="3406"/>
      <c r="R42" s="3465">
        <f>ROUND(PRODUCT(R41,AA7:AA40),0)</f>
        <v>826</v>
      </c>
      <c r="S42" s="3465"/>
      <c r="T42" s="3465">
        <f>ROUND(PRODUCT(T41,AB7:AB40),0)</f>
        <v>864</v>
      </c>
      <c r="U42" s="3465"/>
      <c r="V42" s="3465">
        <f>ROUND(PRODUCT(V41,AC7:AC40),0)</f>
        <v>862</v>
      </c>
      <c r="W42" s="3465"/>
      <c r="X42" s="385"/>
      <c r="Y42" s="385"/>
      <c r="Z42" s="385"/>
      <c r="AA42" s="385"/>
      <c r="AB42" s="385"/>
      <c r="AC42" s="385"/>
    </row>
    <row r="43" spans="1:31" ht="15" thickBot="1">
      <c r="A43" s="427" t="s">
        <v>1794</v>
      </c>
      <c r="B43" s="428"/>
      <c r="C43" s="429">
        <f>R43</f>
        <v>851</v>
      </c>
      <c r="D43" s="429"/>
      <c r="E43" s="429"/>
      <c r="F43" s="429"/>
      <c r="G43" s="429"/>
      <c r="H43" s="429"/>
      <c r="I43" s="429"/>
      <c r="J43" s="429"/>
      <c r="K43" s="675"/>
      <c r="L43" s="2489"/>
      <c r="M43" s="2482"/>
      <c r="N43" s="2482"/>
      <c r="O43" s="2482"/>
      <c r="P43" s="3403" t="str">
        <f>A43</f>
        <v>估价对象XX用房的比较价值（楼面单价，元/平方米）</v>
      </c>
      <c r="Q43" s="3404"/>
      <c r="R43" s="3466">
        <f>ROUND(IF(D42="简单平均",AVERAGE(R42:W42),R42*F42+T42*H42+V42*J42),0)</f>
        <v>851</v>
      </c>
      <c r="S43" s="3466"/>
      <c r="T43" s="3466"/>
      <c r="U43" s="3466"/>
      <c r="V43" s="3466"/>
      <c r="W43" s="3466"/>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f>IF(E41&lt;E42,E42/E41-1,E41/E42-1)</f>
        <v>0.13801452784503643</v>
      </c>
      <c r="F46" s="435" t="str">
        <f>IF(OR(E46&gt;=0.3,E46&lt;=-0.3),"超过30%","")</f>
        <v/>
      </c>
      <c r="G46" s="434">
        <f>IF(G41&lt;G42,G42/G41-1,G41/G42-1)</f>
        <v>9.375E-2</v>
      </c>
      <c r="H46" s="435" t="str">
        <f>IF(OR(G46&gt;=0.3,G46&lt;=-0.3),"超过30%","")</f>
        <v/>
      </c>
      <c r="I46" s="434">
        <f>IF(I41&lt;I42,I42/I41-1,I41/I42-1)</f>
        <v>9.3967517401392087E-2</v>
      </c>
      <c r="J46" s="435" t="str">
        <f>IF(OR(I46&gt;=0.3,I46&lt;=-0.3),"超过30%","")</f>
        <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f>IF(E42&lt;G42,G42/E42-1,E42/G42-1)</f>
        <v>4.6004842615012143E-2</v>
      </c>
      <c r="F47" s="435" t="str">
        <f>IF(OR(E47&gt;=0.2,E47&lt;=-0.2),"超过20%","")</f>
        <v/>
      </c>
      <c r="G47" s="434">
        <f>IF(G42&lt;I42,I42/G42-1,G42/I42-1)</f>
        <v>2.3201856148491462E-3</v>
      </c>
      <c r="H47" s="435" t="str">
        <f>IF(OR(G47&gt;=0.2,G47&lt;=-0.2),"超过20%","")</f>
        <v/>
      </c>
      <c r="I47" s="434">
        <f>IF(I42&lt;E42,E42/I42-1,I42/E42-1)</f>
        <v>4.3583535108958849E-2</v>
      </c>
      <c r="J47" s="435" t="str">
        <f>IF(OR(I47&gt;=0.2,I47&lt;=-0.2),"超过20%","")</f>
        <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f>IF(E41&lt;G41,G41/E41-1,E41/G41-1)</f>
        <v>5.3191489361701372E-3</v>
      </c>
      <c r="F48" s="435" t="str">
        <f>IF(OR(E48&gt;=0.3,E48&lt;=-0.3),"超过30%","")</f>
        <v/>
      </c>
      <c r="G48" s="434">
        <f>IF(G41&lt;I41,I41/G41-1,G41/I41-1)</f>
        <v>2.1208907741250282E-3</v>
      </c>
      <c r="H48" s="435" t="str">
        <f>IF(OR(G48&gt;=0.3,G48&lt;=-0.3),"超过30%","")</f>
        <v/>
      </c>
      <c r="I48" s="434">
        <f>IF(I41&lt;E41,E41/I41-1,I41/E41-1)</f>
        <v>3.1914893617022155E-3</v>
      </c>
      <c r="J48" s="435" t="str">
        <f>IF(OR(I48&gt;=0.3,I48&lt;=-0.3),"超过30%","")</f>
        <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30" t="s">
        <v>1883</v>
      </c>
      <c r="D50" s="1831" t="s">
        <v>1884</v>
      </c>
      <c r="E50" s="606" t="s">
        <v>1885</v>
      </c>
      <c r="F50" s="607" t="s">
        <v>1886</v>
      </c>
      <c r="G50" s="3421" t="s">
        <v>1887</v>
      </c>
      <c r="H50" s="3467"/>
      <c r="I50" s="1264" t="s">
        <v>1923</v>
      </c>
      <c r="J50" s="1264">
        <f>项目基本情况!F35</f>
        <v>0</v>
      </c>
      <c r="K50" s="1833"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f>C43</f>
        <v>851</v>
      </c>
      <c r="C51" s="610">
        <v>1</v>
      </c>
      <c r="D51" s="890">
        <v>1</v>
      </c>
      <c r="E51" s="610">
        <f>'数据-汇总表'!E8+'数据-汇总表'!E9</f>
        <v>29587.64</v>
      </c>
      <c r="F51" s="611">
        <f t="shared" ref="F51:F60" si="15">ROUND(B51*E51/10000,0)</f>
        <v>2518</v>
      </c>
      <c r="G51" s="3417"/>
      <c r="H51" s="3406"/>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f>ROUND($C$43*C52*D52,0)</f>
        <v>0</v>
      </c>
      <c r="C52" s="163">
        <f t="shared" ref="C52:C60" si="16">IF($C$50="北京市系数",I52,J52)</f>
        <v>0</v>
      </c>
      <c r="D52" s="891">
        <v>0.25</v>
      </c>
      <c r="E52" s="614"/>
      <c r="F52" s="611">
        <f t="shared" si="15"/>
        <v>0</v>
      </c>
      <c r="G52" s="2745" t="s">
        <v>1892</v>
      </c>
      <c r="H52" s="834">
        <f>项目基本情况!B37</f>
        <v>0</v>
      </c>
      <c r="I52" s="727">
        <f>SUMIF(修正!A57:A68,H52,修正!B57:B68)</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f t="shared" ref="B53:B60" si="17">ROUND($C$43*C53*D53,0)</f>
        <v>0</v>
      </c>
      <c r="C53" s="163">
        <f t="shared" si="16"/>
        <v>0</v>
      </c>
      <c r="D53" s="891">
        <v>0.25</v>
      </c>
      <c r="E53" s="614"/>
      <c r="F53" s="611">
        <f t="shared" si="15"/>
        <v>0</v>
      </c>
      <c r="G53" s="2746"/>
      <c r="H53" s="834">
        <f>项目基本情况!B37</f>
        <v>0</v>
      </c>
      <c r="I53" s="727">
        <f>SUMIF(修正!A57:A68,H53,修正!C57:C68)</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f t="shared" si="17"/>
        <v>0</v>
      </c>
      <c r="C54" s="163">
        <f t="shared" si="16"/>
        <v>0</v>
      </c>
      <c r="D54" s="891">
        <v>0.25</v>
      </c>
      <c r="E54" s="614"/>
      <c r="F54" s="611">
        <f t="shared" si="15"/>
        <v>0</v>
      </c>
      <c r="G54" s="2746"/>
      <c r="H54" s="834">
        <f>项目基本情况!B37</f>
        <v>0</v>
      </c>
      <c r="I54" s="727">
        <f>SUMIF(修正!A57:A68,H54,修正!D57:D68)</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f t="shared" si="17"/>
        <v>0</v>
      </c>
      <c r="C56" s="163">
        <f t="shared" si="16"/>
        <v>0</v>
      </c>
      <c r="D56" s="891">
        <v>0.25</v>
      </c>
      <c r="E56" s="209">
        <f>'数据-汇总表'!E11</f>
        <v>0</v>
      </c>
      <c r="F56" s="611">
        <f t="shared" si="15"/>
        <v>0</v>
      </c>
      <c r="G56" s="1834" t="s">
        <v>1896</v>
      </c>
      <c r="H56" s="834">
        <f>项目基本情况!C37</f>
        <v>0</v>
      </c>
      <c r="I56" s="727">
        <f>SUMIF(修正!A57:A68,H56,修正!E57:E68)</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SUMIF(修正!A57:A68,H57,修正!F57:F68)</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f t="shared" si="17"/>
        <v>0</v>
      </c>
      <c r="C59" s="163">
        <f t="shared" si="16"/>
        <v>0</v>
      </c>
      <c r="D59" s="891">
        <v>0.25</v>
      </c>
      <c r="E59" s="209">
        <f>'数据-汇总表'!E14</f>
        <v>0</v>
      </c>
      <c r="F59" s="611">
        <f t="shared" si="15"/>
        <v>0</v>
      </c>
      <c r="G59" s="1834" t="s">
        <v>1892</v>
      </c>
      <c r="H59" s="834">
        <f>项目基本情况!B37</f>
        <v>0</v>
      </c>
      <c r="I59" s="727">
        <f>SUMIF(修正!A57:A68,H59,修正!G57:G68)</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1902</v>
      </c>
      <c r="B60" s="210">
        <f t="shared" si="17"/>
        <v>0</v>
      </c>
      <c r="C60" s="163">
        <f t="shared" si="16"/>
        <v>0</v>
      </c>
      <c r="D60" s="891">
        <v>0.25</v>
      </c>
      <c r="E60" s="209">
        <f>'数据-汇总表'!E15</f>
        <v>0</v>
      </c>
      <c r="F60" s="611">
        <f t="shared" si="15"/>
        <v>0</v>
      </c>
      <c r="G60" s="1835" t="s">
        <v>1896</v>
      </c>
      <c r="H60" s="844">
        <f>项目基本情况!C37</f>
        <v>0</v>
      </c>
      <c r="I60" s="727">
        <f>SUMIF(修正!A57:A68,H60,修正!G57:G68)</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1903</v>
      </c>
      <c r="B61" s="616" t="s">
        <v>22</v>
      </c>
      <c r="C61" s="616" t="s">
        <v>23</v>
      </c>
      <c r="D61" s="616" t="s">
        <v>392</v>
      </c>
      <c r="E61" s="616">
        <f>IF(B41="楼面地价",SUM(E51:E60),'数据-汇总表'!D3)</f>
        <v>24593</v>
      </c>
      <c r="F61" s="617">
        <f>IF(B41="楼面地价",SUM(F51:F60),ROUND(C43*E61/10000,0))</f>
        <v>2093</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2"/>
      <c r="Q63" s="2482"/>
      <c r="R63" s="2482"/>
      <c r="S63" s="2482"/>
      <c r="T63" s="2482"/>
      <c r="U63" s="2482"/>
      <c r="V63" s="2482"/>
      <c r="W63" s="2482"/>
      <c r="X63" s="2482"/>
      <c r="Y63" s="2482"/>
      <c r="Z63" s="2482"/>
      <c r="AA63" s="2482"/>
      <c r="AB63" s="2482"/>
      <c r="AC63" s="2482"/>
      <c r="AD63" s="2482"/>
      <c r="AE63" s="2482"/>
    </row>
    <row r="64" spans="1:31" ht="22.2" thickBot="1">
      <c r="A64" s="658" t="s">
        <v>1798</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1924</v>
      </c>
      <c r="B66" s="280" t="str">
        <f>"北京市平均增长率"&amp;TEXT(基准地价修正!P28,"0.00%")</f>
        <v>北京市平均增长率0.00%</v>
      </c>
      <c r="C66" s="530">
        <v>100</v>
      </c>
      <c r="D66" s="6">
        <v>100</v>
      </c>
      <c r="E66" s="6">
        <v>100</v>
      </c>
      <c r="F66" s="6">
        <v>100</v>
      </c>
      <c r="G66" s="6">
        <v>100</v>
      </c>
      <c r="H66" s="6"/>
      <c r="I66" s="6"/>
      <c r="J66" s="6"/>
      <c r="K66" s="6"/>
      <c r="L66" s="6"/>
      <c r="M66" s="1066"/>
      <c r="N66" s="1066"/>
      <c r="O66" s="1099"/>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3149" t="s">
        <v>3515</v>
      </c>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0（含）-1</v>
      </c>
      <c r="D74" s="478" t="str">
        <f t="shared" ref="D74:L74" si="20">D75&amp;"（含）"&amp;"-"&amp;E75</f>
        <v>1（含）-2</v>
      </c>
      <c r="E74" s="478" t="str">
        <f t="shared" si="20"/>
        <v>2（含）-3</v>
      </c>
      <c r="F74" s="478" t="str">
        <f t="shared" si="20"/>
        <v>3（含）-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v>0</v>
      </c>
      <c r="D75" s="480">
        <v>1</v>
      </c>
      <c r="E75" s="480">
        <v>2</v>
      </c>
      <c r="F75" s="480">
        <v>3</v>
      </c>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99</v>
      </c>
      <c r="E76" s="475">
        <f t="shared" ref="E76:M76" si="21">IF($B$41="单位面积地价",D76+$K11,D76-$K11)</f>
        <v>98</v>
      </c>
      <c r="F76" s="475">
        <f t="shared" si="21"/>
        <v>97</v>
      </c>
      <c r="G76" s="475">
        <f t="shared" si="21"/>
        <v>96</v>
      </c>
      <c r="H76" s="475">
        <f t="shared" si="21"/>
        <v>95</v>
      </c>
      <c r="I76" s="475">
        <f t="shared" si="21"/>
        <v>94</v>
      </c>
      <c r="J76" s="475">
        <f t="shared" si="21"/>
        <v>93</v>
      </c>
      <c r="K76" s="475">
        <f t="shared" si="21"/>
        <v>92</v>
      </c>
      <c r="L76" s="475">
        <f t="shared" si="21"/>
        <v>91</v>
      </c>
      <c r="M76" s="475">
        <f t="shared" si="21"/>
        <v>90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97</v>
      </c>
      <c r="E84" s="475">
        <f>D84-$K15</f>
        <v>94</v>
      </c>
      <c r="F84" s="475">
        <f>E84-$K15</f>
        <v>91</v>
      </c>
      <c r="G84" s="475">
        <f>F84-$K15</f>
        <v>88</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98</v>
      </c>
      <c r="E86" s="475">
        <f>D86-$K17</f>
        <v>96</v>
      </c>
      <c r="F86" s="475">
        <f>E86-$K17</f>
        <v>94</v>
      </c>
      <c r="G86" s="475">
        <f>F86-$K17</f>
        <v>92</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98</v>
      </c>
      <c r="E88" s="475">
        <f>D88-$K19</f>
        <v>96</v>
      </c>
      <c r="F88" s="475">
        <f>E88-$K19</f>
        <v>94</v>
      </c>
      <c r="G88" s="475">
        <f>F88-$K19</f>
        <v>92</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98</v>
      </c>
      <c r="E90" s="475">
        <f>D90-$K21</f>
        <v>96</v>
      </c>
      <c r="F90" s="475">
        <f>E90-$K21</f>
        <v>94</v>
      </c>
      <c r="G90" s="475">
        <f>F90-$K21</f>
        <v>92</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98</v>
      </c>
      <c r="E92" s="475">
        <f>D92-$K23</f>
        <v>96</v>
      </c>
      <c r="F92" s="475">
        <f>E92-$K23</f>
        <v>94</v>
      </c>
      <c r="G92" s="475">
        <f>F92-$K23</f>
        <v>92</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99</v>
      </c>
      <c r="E94" s="475">
        <f>D94-$K25</f>
        <v>98</v>
      </c>
      <c r="F94" s="475">
        <f>E94-$K25</f>
        <v>97</v>
      </c>
      <c r="G94" s="475">
        <f>F94-$K25</f>
        <v>96</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27.6">
      <c r="A107" s="379" t="s">
        <v>1694</v>
      </c>
      <c r="B107" s="460" t="s">
        <v>1913</v>
      </c>
      <c r="C107" s="461" t="str">
        <f t="shared" ref="C107:L107" si="25">C108&amp;"(含)"&amp;"-"&amp;D108</f>
        <v>0(含)-20000</v>
      </c>
      <c r="D107" s="461" t="str">
        <f t="shared" si="25"/>
        <v>20000(含)-30000</v>
      </c>
      <c r="E107" s="461" t="str">
        <f t="shared" si="25"/>
        <v>30000(含)-40000</v>
      </c>
      <c r="F107" s="461" t="str">
        <f t="shared" si="25"/>
        <v>40000(含)-50000</v>
      </c>
      <c r="G107" s="461" t="str">
        <f t="shared" si="25"/>
        <v>50000(含)-</v>
      </c>
      <c r="H107" s="461" t="str">
        <f t="shared" si="25"/>
        <v>(含)-</v>
      </c>
      <c r="I107" s="461" t="str">
        <f t="shared" si="25"/>
        <v>(含)-</v>
      </c>
      <c r="J107" s="461" t="str">
        <f t="shared" si="25"/>
        <v>(含)-</v>
      </c>
      <c r="K107" s="1246" t="str">
        <f t="shared" si="25"/>
        <v>(含)-</v>
      </c>
      <c r="L107" s="1246" t="str">
        <f t="shared" si="25"/>
        <v>(含)-</v>
      </c>
      <c r="M107" s="1247"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v>0</v>
      </c>
      <c r="D108" s="6">
        <v>20000</v>
      </c>
      <c r="E108" s="6">
        <v>30000</v>
      </c>
      <c r="F108" s="6">
        <v>40000</v>
      </c>
      <c r="G108" s="6">
        <v>50000</v>
      </c>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v>100</v>
      </c>
      <c r="D109" s="521">
        <v>102</v>
      </c>
      <c r="E109" s="521">
        <v>104</v>
      </c>
      <c r="F109" s="521">
        <v>106</v>
      </c>
      <c r="G109" s="521">
        <v>108</v>
      </c>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3150" t="s">
        <v>3519</v>
      </c>
      <c r="D110" s="3150" t="s">
        <v>3520</v>
      </c>
      <c r="E110" s="513" t="s">
        <v>3521</v>
      </c>
      <c r="F110" s="513" t="s">
        <v>3522</v>
      </c>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98</v>
      </c>
      <c r="E111" s="475">
        <f t="shared" si="26"/>
        <v>96</v>
      </c>
      <c r="F111" s="475">
        <f t="shared" si="26"/>
        <v>94</v>
      </c>
      <c r="G111" s="475">
        <f t="shared" si="26"/>
        <v>92</v>
      </c>
      <c r="H111" s="475">
        <f t="shared" si="26"/>
        <v>90</v>
      </c>
      <c r="I111" s="475">
        <f t="shared" si="26"/>
        <v>88</v>
      </c>
      <c r="J111" s="475">
        <f t="shared" si="26"/>
        <v>86</v>
      </c>
      <c r="K111" s="475">
        <f t="shared" si="26"/>
        <v>84</v>
      </c>
      <c r="L111" s="475">
        <f t="shared" si="26"/>
        <v>82</v>
      </c>
      <c r="M111" s="476">
        <f t="shared" si="26"/>
        <v>80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3151" t="s">
        <v>3523</v>
      </c>
      <c r="D112" s="3151" t="s">
        <v>3524</v>
      </c>
      <c r="E112" s="3151" t="s">
        <v>3525</v>
      </c>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99</v>
      </c>
      <c r="E113" s="475">
        <f t="shared" si="27"/>
        <v>98</v>
      </c>
      <c r="F113" s="475">
        <f t="shared" si="27"/>
        <v>97</v>
      </c>
      <c r="G113" s="475">
        <f t="shared" si="27"/>
        <v>96</v>
      </c>
      <c r="H113" s="475">
        <f t="shared" si="27"/>
        <v>95</v>
      </c>
      <c r="I113" s="475">
        <f t="shared" si="27"/>
        <v>94</v>
      </c>
      <c r="J113" s="475">
        <f t="shared" si="27"/>
        <v>93</v>
      </c>
      <c r="K113" s="475">
        <f t="shared" si="27"/>
        <v>92</v>
      </c>
      <c r="L113" s="475">
        <f t="shared" si="27"/>
        <v>91</v>
      </c>
      <c r="M113" s="476">
        <f t="shared" si="27"/>
        <v>90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t="s">
        <v>3526</v>
      </c>
      <c r="D114" s="485" t="s">
        <v>3516</v>
      </c>
      <c r="E114" s="513" t="s">
        <v>3517</v>
      </c>
      <c r="F114" s="513" t="s">
        <v>3527</v>
      </c>
      <c r="G114" s="513" t="s">
        <v>3528</v>
      </c>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39"/>
      <c r="G1" s="2539"/>
      <c r="H1" s="2539"/>
      <c r="I1" s="2539"/>
      <c r="J1" s="2539"/>
      <c r="K1" s="2539"/>
      <c r="L1" s="2539"/>
      <c r="M1" s="2539"/>
      <c r="N1" s="2539"/>
      <c r="O1" s="2539"/>
      <c r="P1" s="2539"/>
    </row>
    <row r="2" spans="1:16" ht="15.6">
      <c r="A2" s="1983" t="s">
        <v>2073</v>
      </c>
      <c r="B2" s="2383" t="e">
        <f ca="1">SUMIF(B6:B13,"&lt;&gt;#ref!",B6:B13)</f>
        <v>#DIV/0!</v>
      </c>
      <c r="C2" s="1983" t="s">
        <v>2074</v>
      </c>
      <c r="D2" s="1983" t="s">
        <v>2075</v>
      </c>
      <c r="E2" s="2393">
        <f ca="1">SUMIF(E6:E13,"&lt;&gt;#ref!",E6:E13)</f>
        <v>0</v>
      </c>
      <c r="F2" s="2539"/>
      <c r="G2" s="2539"/>
      <c r="H2" s="2539"/>
      <c r="I2" s="2539"/>
      <c r="J2" s="2539"/>
      <c r="K2" s="2539"/>
      <c r="L2" s="2539"/>
      <c r="M2" s="2539"/>
      <c r="N2" s="2539"/>
      <c r="O2" s="2539"/>
      <c r="P2" s="2539"/>
    </row>
    <row r="3" spans="1:16" ht="15.6">
      <c r="A3" s="1983" t="s">
        <v>2076</v>
      </c>
      <c r="B3" s="2383" t="e">
        <f ca="1">ROUND(B2*10000/E2,0)</f>
        <v>#DIV/0!</v>
      </c>
      <c r="C3" s="1983"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4"/>
      <c r="D5" s="2539"/>
      <c r="E5" s="2392" t="s">
        <v>2079</v>
      </c>
      <c r="F5" s="2539"/>
      <c r="G5" s="2539"/>
      <c r="H5" s="2539"/>
      <c r="I5" s="2539"/>
      <c r="J5" s="2539"/>
      <c r="K5" s="2539"/>
      <c r="L5" s="2539"/>
      <c r="M5" s="2539"/>
      <c r="N5" s="2539"/>
      <c r="O5" s="2539"/>
      <c r="P5" s="2539"/>
    </row>
    <row r="6" spans="1:16" ht="15.6">
      <c r="A6" s="2390" t="s">
        <v>2080</v>
      </c>
      <c r="B6" s="2383" t="e">
        <f ca="1">SUMIF(INDIRECT("'"&amp;A6&amp;"'"&amp;"!A:A"),"总价",INDIRECT("'"&amp;A6&amp;"'"&amp;"!B:B"))</f>
        <v>#DIV/0!</v>
      </c>
      <c r="C6" s="1983" t="s">
        <v>2074</v>
      </c>
      <c r="D6" s="2539"/>
      <c r="E6" s="2393">
        <f ca="1">SUMIF(INDIRECT("'"&amp;A6&amp;"'"&amp;"!C:C"),"建筑面积",INDIRECT("'"&amp;A6&amp;"'"&amp;"!D:D"))</f>
        <v>0</v>
      </c>
      <c r="F6" s="2539"/>
      <c r="G6" s="2539"/>
      <c r="H6" s="2539"/>
      <c r="I6" s="2539"/>
      <c r="J6" s="2539"/>
      <c r="K6" s="2539"/>
      <c r="L6" s="2539"/>
      <c r="M6" s="2539"/>
      <c r="N6" s="2539"/>
      <c r="O6" s="2539"/>
      <c r="P6" s="2539"/>
    </row>
    <row r="7" spans="1:16" ht="15.6">
      <c r="A7" s="2390"/>
      <c r="B7" s="2383" t="e">
        <f ca="1">SUMIF(INDIRECT("'"&amp;A7&amp;"'"&amp;"!A:A"),"总价",INDIRECT("'"&amp;A7&amp;"'"&amp;"!B:B"))</f>
        <v>#REF!</v>
      </c>
      <c r="C7" s="1983"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3"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3"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3"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3"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3"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3"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5" t="s">
        <v>1935</v>
      </c>
      <c r="D2" s="162" t="s">
        <v>1936</v>
      </c>
      <c r="E2" s="3115"/>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58">
        <f>ROUND(SUMPRODUCT((B106:B110=R2)*(C105:N105=G2)*(C106:N110)),4)</f>
        <v>0</v>
      </c>
      <c r="T2" s="3058" t="e">
        <f t="shared" ref="T2:T16" si="0">ROUND($C$5*$C$22*$C$23*$C$24*S2*$C$28,0)</f>
        <v>#DIV/0!</v>
      </c>
      <c r="U2" s="1130"/>
      <c r="V2" s="3058"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5" t="s">
        <v>1941</v>
      </c>
      <c r="D3" s="162" t="s">
        <v>1942</v>
      </c>
      <c r="E3" s="3113"/>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58">
        <f>ROUND(SUMPRODUCT((B106:B110=R3)*(C105:N105=G2)*(C106:N110)),4)</f>
        <v>0</v>
      </c>
      <c r="T3" s="3058" t="e">
        <f t="shared" si="0"/>
        <v>#DIV/0!</v>
      </c>
      <c r="U3" s="1130"/>
      <c r="V3" s="3058" t="e">
        <f t="shared" ref="V3:V16" si="1">ROUND(T3*U3/10000,0)</f>
        <v>#DIV/0!</v>
      </c>
      <c r="W3" s="1133"/>
      <c r="X3" s="1133"/>
      <c r="Y3" s="1133"/>
      <c r="Z3" s="1133"/>
      <c r="AA3" s="1133"/>
      <c r="AB3" s="1133"/>
      <c r="AC3" s="1134"/>
      <c r="AD3" s="1135"/>
      <c r="AE3" s="1135"/>
      <c r="AF3" s="1135"/>
      <c r="AG3" s="1135"/>
      <c r="AH3" s="1135"/>
      <c r="AI3" s="1135"/>
      <c r="AJ3" s="1136"/>
    </row>
    <row r="4" spans="1:36" ht="15.6">
      <c r="A4" s="3485"/>
      <c r="B4" s="3486"/>
      <c r="C4" s="3486"/>
      <c r="D4" s="3487"/>
      <c r="E4" s="3487"/>
      <c r="F4" s="3487"/>
      <c r="G4" s="3487"/>
      <c r="H4" s="3487"/>
      <c r="I4" s="3487"/>
      <c r="J4" s="3488"/>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58">
        <f>ROUND(SUMPRODUCT((B106:B110=R4)*(C105:N105=G2)*(C106:N110)),4)</f>
        <v>0</v>
      </c>
      <c r="T4" s="3058" t="e">
        <f t="shared" si="0"/>
        <v>#DIV/0!</v>
      </c>
      <c r="U4" s="1130"/>
      <c r="V4" s="3058" t="e">
        <f t="shared" si="1"/>
        <v>#DIV/0!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58">
        <f>ROUND(SUMPRODUCT((B106:B110=R5)*(C105:N105=G2)*(C106:N110)),4)</f>
        <v>0</v>
      </c>
      <c r="T5" s="3058" t="e">
        <f t="shared" si="0"/>
        <v>#DIV/0!</v>
      </c>
      <c r="U5" s="1130"/>
      <c r="V5" s="3058" t="e">
        <f t="shared" si="1"/>
        <v>#DIV/0!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58">
        <f>ROUND(SUMPRODUCT((B106:B110=R6)*(C105:N105=G2)*(C106:N110)),4)</f>
        <v>0</v>
      </c>
      <c r="T6" s="3058" t="e">
        <f t="shared" si="0"/>
        <v>#DIV/0!</v>
      </c>
      <c r="U6" s="1130"/>
      <c r="V6" s="3058" t="e">
        <f t="shared" si="1"/>
        <v>#DIV/0!</v>
      </c>
      <c r="W6" s="1133"/>
      <c r="X6" s="1133"/>
      <c r="Y6" s="1133"/>
      <c r="Z6" s="1133"/>
      <c r="AA6" s="1133"/>
      <c r="AB6" s="1133"/>
      <c r="AC6" s="1854"/>
      <c r="AD6" s="1855"/>
      <c r="AE6" s="1855"/>
      <c r="AF6" s="1855"/>
      <c r="AG6" s="1855"/>
      <c r="AH6" s="1855"/>
      <c r="AI6" s="1855"/>
      <c r="AJ6" s="1856"/>
    </row>
    <row r="7" spans="1:36" ht="24.6" thickBot="1">
      <c r="A7" s="3007"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2"/>
      <c r="T7" s="3058" t="e">
        <f t="shared" si="0"/>
        <v>#DIV/0!</v>
      </c>
      <c r="U7" s="1130"/>
      <c r="V7" s="3058"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4"/>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58" t="e">
        <f t="shared" si="0"/>
        <v>#DIV/0!</v>
      </c>
      <c r="U8" s="1130"/>
      <c r="V8" s="3058" t="e">
        <f t="shared" si="1"/>
        <v>#DIV/0!</v>
      </c>
      <c r="W8" s="3482" t="s">
        <v>1960</v>
      </c>
      <c r="X8" s="348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4"/>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58" t="e">
        <f t="shared" si="0"/>
        <v>#DIV/0!</v>
      </c>
      <c r="U9" s="1130"/>
      <c r="V9" s="3058" t="e">
        <f t="shared" si="1"/>
        <v>#DIV/0!</v>
      </c>
      <c r="W9" s="3484"/>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8" t="e">
        <f t="shared" si="0"/>
        <v>#DIV/0!</v>
      </c>
      <c r="U10" s="1130"/>
      <c r="V10" s="3058" t="e">
        <f t="shared" si="1"/>
        <v>#DIV/0!</v>
      </c>
      <c r="W10" s="348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8" t="e">
        <f t="shared" si="0"/>
        <v>#DIV/0!</v>
      </c>
      <c r="U11" s="1130"/>
      <c r="V11" s="3058" t="e">
        <f t="shared" si="1"/>
        <v>#DIV/0!</v>
      </c>
      <c r="W11" s="1133"/>
      <c r="X11" s="1133"/>
      <c r="Y11" s="1133"/>
      <c r="Z11" s="1133"/>
      <c r="AA11" s="1133"/>
      <c r="AB11" s="1133"/>
      <c r="AC11" s="1134"/>
      <c r="AD11" s="2548"/>
      <c r="AE11" s="2548"/>
      <c r="AF11" s="2548"/>
      <c r="AG11" s="2548"/>
      <c r="AH11" s="2548"/>
      <c r="AI11" s="2548"/>
      <c r="AJ11" s="2549"/>
    </row>
    <row r="12" spans="1:36" ht="25.8" thickBot="1">
      <c r="A12" s="3007" t="s">
        <v>3238</v>
      </c>
      <c r="B12" s="3008" t="s">
        <v>3239</v>
      </c>
      <c r="C12" s="3009"/>
      <c r="D12" s="3010" t="s">
        <v>3240</v>
      </c>
      <c r="E12" s="3011" t="s">
        <v>3241</v>
      </c>
      <c r="F12" s="3012"/>
      <c r="G12" s="3013"/>
      <c r="H12" s="3013"/>
      <c r="I12" s="3013"/>
      <c r="J12" s="3014"/>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8" t="e">
        <f t="shared" si="0"/>
        <v>#DIV/0!</v>
      </c>
      <c r="U12" s="1130"/>
      <c r="V12" s="3058" t="e">
        <f t="shared" si="1"/>
        <v>#DIV/0!</v>
      </c>
      <c r="W12" s="1133"/>
      <c r="X12" s="1133"/>
      <c r="Y12" s="1133"/>
      <c r="Z12" s="1133"/>
      <c r="AA12" s="1133"/>
      <c r="AB12" s="1133"/>
      <c r="AC12" s="1134"/>
      <c r="AD12" s="2548"/>
      <c r="AE12" s="2548"/>
      <c r="AF12" s="2548"/>
      <c r="AG12" s="2548"/>
      <c r="AH12" s="2548"/>
      <c r="AI12" s="2548"/>
      <c r="AJ12" s="2549"/>
    </row>
    <row r="13" spans="1:36" ht="24.6" thickBot="1">
      <c r="A13" s="3007" t="s">
        <v>3242</v>
      </c>
      <c r="B13" s="1877" t="s">
        <v>1982</v>
      </c>
      <c r="C13" s="711">
        <f>ROUND(C16*D16*E16*F16*G16*H16*I16*J16,4)</f>
        <v>0</v>
      </c>
      <c r="D13" s="1878" t="s">
        <v>1983</v>
      </c>
      <c r="E13" s="1879"/>
      <c r="F13" s="1879"/>
      <c r="G13" s="1880"/>
      <c r="H13" s="1880"/>
      <c r="I13" s="1880"/>
      <c r="J13" s="1881"/>
      <c r="K13" s="1056"/>
      <c r="L13" s="3"/>
      <c r="M13" s="4"/>
      <c r="N13" s="3005"/>
      <c r="O13" s="1056"/>
      <c r="P13" s="1056"/>
      <c r="Q13" s="1056"/>
      <c r="R13" s="1129">
        <v>12</v>
      </c>
      <c r="S13" s="1130"/>
      <c r="T13" s="3058" t="e">
        <f t="shared" si="0"/>
        <v>#DIV/0!</v>
      </c>
      <c r="U13" s="1130"/>
      <c r="V13" s="3058" t="e">
        <f t="shared" si="1"/>
        <v>#DIV/0!</v>
      </c>
      <c r="W13" s="1133"/>
      <c r="X13" s="1133"/>
      <c r="Y13" s="1133"/>
      <c r="Z13" s="1133"/>
      <c r="AA13" s="1133"/>
      <c r="AB13" s="1133"/>
      <c r="AC13" s="1134"/>
      <c r="AD13" s="2548"/>
      <c r="AE13" s="2548"/>
      <c r="AF13" s="2548"/>
      <c r="AG13" s="2548"/>
      <c r="AH13" s="2548"/>
      <c r="AI13" s="2548"/>
      <c r="AJ13" s="2549"/>
    </row>
    <row r="14" spans="1:36" ht="24">
      <c r="A14" s="3003"/>
      <c r="B14" s="1882" t="s">
        <v>1985</v>
      </c>
      <c r="C14" s="1883" t="s">
        <v>1986</v>
      </c>
      <c r="D14" s="1261" t="s">
        <v>1987</v>
      </c>
      <c r="E14" s="27" t="s">
        <v>1988</v>
      </c>
      <c r="F14" s="3015" t="s">
        <v>3243</v>
      </c>
      <c r="G14" s="3015" t="s">
        <v>3243</v>
      </c>
      <c r="H14" s="3015" t="s">
        <v>3243</v>
      </c>
      <c r="I14" s="3015" t="s">
        <v>3243</v>
      </c>
      <c r="J14" s="3015" t="s">
        <v>3243</v>
      </c>
      <c r="K14" s="1056"/>
      <c r="L14" s="1056"/>
      <c r="M14" s="1056"/>
      <c r="N14" s="1056"/>
      <c r="O14" s="1056"/>
      <c r="P14" s="1056"/>
      <c r="Q14" s="1056"/>
      <c r="R14" s="1129">
        <v>13</v>
      </c>
      <c r="S14" s="1130"/>
      <c r="T14" s="3058" t="e">
        <f t="shared" si="0"/>
        <v>#DIV/0!</v>
      </c>
      <c r="U14" s="1130"/>
      <c r="V14" s="3058" t="e">
        <f t="shared" si="1"/>
        <v>#DIV/0!</v>
      </c>
      <c r="W14" s="1133"/>
      <c r="X14" s="1133"/>
      <c r="Y14" s="1133"/>
      <c r="Z14" s="1133"/>
      <c r="AA14" s="1133"/>
      <c r="AB14" s="1133"/>
      <c r="AC14" s="1134"/>
      <c r="AD14" s="2548"/>
      <c r="AE14" s="2548"/>
      <c r="AF14" s="2548"/>
      <c r="AG14" s="2548"/>
      <c r="AH14" s="2548"/>
      <c r="AI14" s="2548"/>
      <c r="AJ14" s="2549"/>
    </row>
    <row r="15" spans="1:36" ht="15">
      <c r="A15" s="3003"/>
      <c r="B15" s="1884"/>
      <c r="C15" s="1885"/>
      <c r="D15" s="1886"/>
      <c r="E15" s="1887"/>
      <c r="F15" s="1470" t="s">
        <v>3244</v>
      </c>
      <c r="G15" s="1927"/>
      <c r="H15" s="3016"/>
      <c r="I15" s="3017"/>
      <c r="J15" s="3018"/>
      <c r="K15" s="1056"/>
      <c r="L15" s="1056"/>
      <c r="M15" s="1056"/>
      <c r="N15" s="1056"/>
      <c r="O15" s="1056"/>
      <c r="P15" s="1056"/>
      <c r="Q15" s="1056"/>
      <c r="R15" s="1129">
        <v>14</v>
      </c>
      <c r="S15" s="1130"/>
      <c r="T15" s="3058" t="e">
        <f t="shared" si="0"/>
        <v>#DIV/0!</v>
      </c>
      <c r="U15" s="1130"/>
      <c r="V15" s="3058" t="e">
        <f t="shared" si="1"/>
        <v>#DIV/0!</v>
      </c>
      <c r="W15" s="1133"/>
      <c r="X15" s="1133"/>
      <c r="Y15" s="1133"/>
      <c r="Z15" s="1133"/>
      <c r="AA15" s="1133"/>
      <c r="AB15" s="1133"/>
      <c r="AC15" s="1134"/>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6"/>
      <c r="L16" s="1843"/>
      <c r="M16" s="1843"/>
      <c r="N16" s="1843"/>
      <c r="O16" s="1843"/>
      <c r="P16" s="1843"/>
      <c r="Q16" s="1056"/>
      <c r="R16" s="1129">
        <v>15</v>
      </c>
      <c r="S16" s="1130"/>
      <c r="T16" s="3058" t="e">
        <f t="shared" si="0"/>
        <v>#DIV/0!</v>
      </c>
      <c r="U16" s="1130"/>
      <c r="V16" s="3058" t="e">
        <f t="shared" si="1"/>
        <v>#DIV/0!</v>
      </c>
      <c r="W16" s="1133"/>
      <c r="X16" s="1133"/>
      <c r="Y16" s="1133"/>
      <c r="Z16" s="1133"/>
      <c r="AA16" s="1133"/>
      <c r="AB16" s="1133"/>
      <c r="AC16" s="1134"/>
      <c r="AD16" s="2548"/>
      <c r="AE16" s="2548"/>
      <c r="AF16" s="2548"/>
      <c r="AG16" s="2548"/>
      <c r="AH16" s="2548"/>
      <c r="AI16" s="2548"/>
      <c r="AJ16" s="2549"/>
    </row>
    <row r="17" spans="1:37" ht="24">
      <c r="A17" s="3030" t="s">
        <v>3245</v>
      </c>
      <c r="B17" s="3022" t="s">
        <v>3246</v>
      </c>
      <c r="C17" s="3031">
        <f>ROUND(IF(OR(E2="工业",E2="公共服务"),1,IF(AND(E18=0,E19=0),1,IF(AND(E18=J24,E19=G19),0.8,IF(E19=0,1+E17*(-0.2),1+E17*G17*(-0.2))))),4)</f>
        <v>1</v>
      </c>
      <c r="D17" s="3023" t="s">
        <v>3247</v>
      </c>
      <c r="E17" s="3031" t="e">
        <f>ROUND(G18/I18,2)</f>
        <v>#DIV/0!</v>
      </c>
      <c r="F17" s="3023" t="s">
        <v>3250</v>
      </c>
      <c r="G17" s="3031" t="e">
        <f>ROUND(E19/G19,2)</f>
        <v>#DIV/0!</v>
      </c>
      <c r="H17" s="3031"/>
      <c r="I17" s="3031"/>
      <c r="J17" s="3032"/>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3"/>
      <c r="B18" s="2305"/>
      <c r="C18" s="3029"/>
      <c r="D18" s="3024" t="s">
        <v>3248</v>
      </c>
      <c r="E18" s="2352"/>
      <c r="F18" s="3025" t="s">
        <v>3251</v>
      </c>
      <c r="G18" s="3029">
        <f>ROUND(1-(1/(POWER(1+G24,E18))),4)</f>
        <v>0</v>
      </c>
      <c r="H18" s="3025" t="s">
        <v>3253</v>
      </c>
      <c r="I18" s="3029">
        <f>ROUND(1-(1/(POWER(1+G24,J24))),4)</f>
        <v>0</v>
      </c>
      <c r="J18" s="3034"/>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7"/>
    </row>
    <row r="19" spans="1:37" s="1857" customFormat="1" ht="14.4" thickBot="1">
      <c r="A19" s="3035"/>
      <c r="B19" s="3036"/>
      <c r="C19" s="3037"/>
      <c r="D19" s="3037" t="s">
        <v>3249</v>
      </c>
      <c r="E19" s="3038"/>
      <c r="F19" s="3039" t="s">
        <v>3252</v>
      </c>
      <c r="G19" s="3038"/>
      <c r="H19" s="3037"/>
      <c r="I19" s="3037"/>
      <c r="J19" s="3040"/>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0"/>
      <c r="AH19" s="1979"/>
      <c r="AI19" s="561"/>
      <c r="AJ19" s="561"/>
      <c r="AK19" s="1898"/>
    </row>
    <row r="20" spans="1:37" s="1857" customFormat="1" ht="13.8">
      <c r="A20" s="3489" t="s">
        <v>3254</v>
      </c>
      <c r="B20" s="159" t="s">
        <v>1994</v>
      </c>
      <c r="C20" s="3026" t="e">
        <f>ROUND(IF(F21="与级别开发程度一致",0,(G21-E21)/C21),0)</f>
        <v>#DIV/0!</v>
      </c>
      <c r="D20" s="3041" t="s">
        <v>1998</v>
      </c>
      <c r="E20" s="3042"/>
      <c r="F20" s="3495" t="s">
        <v>1995</v>
      </c>
      <c r="G20" s="3496"/>
      <c r="H20" s="3027"/>
      <c r="I20" s="3027"/>
      <c r="J20" s="3028"/>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7" customFormat="1" ht="14.4" thickBot="1">
      <c r="A21" s="349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7" customFormat="1" ht="15" thickBot="1">
      <c r="A22" s="1995" t="s">
        <v>363</v>
      </c>
      <c r="B22" s="1996" t="s">
        <v>2000</v>
      </c>
      <c r="C22" s="1997">
        <f>SUMIF(修正!C20:C51,E3,修正!E20:E51)</f>
        <v>0</v>
      </c>
      <c r="D22" s="1998"/>
      <c r="E22" s="1999"/>
      <c r="F22" s="1999"/>
      <c r="G22" s="1999"/>
      <c r="H22" s="1999"/>
      <c r="I22" s="1999"/>
      <c r="J22" s="2000"/>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7">
        <v>44197</v>
      </c>
      <c r="F23" s="1895" t="s">
        <v>2003</v>
      </c>
      <c r="G23" s="718">
        <f>'数据-取费表'!B2</f>
        <v>45594</v>
      </c>
      <c r="H23" s="3043" t="s">
        <v>3256</v>
      </c>
      <c r="I23" s="3044" t="str">
        <f>IF(H23="季度增幅（自定义）",SUMIF(N25:N28,E2,O25:O28),"")</f>
        <v/>
      </c>
      <c r="J23" s="3136" t="s">
        <v>3255</v>
      </c>
      <c r="K23" s="1061"/>
      <c r="L23" s="1896" t="s">
        <v>2004</v>
      </c>
      <c r="M23" s="1241">
        <f>ROUND(SUMIF(地价!B2:G2,E2,地价!B16:G16),0)</f>
        <v>0</v>
      </c>
      <c r="N23" s="1897" t="s">
        <v>2005</v>
      </c>
      <c r="O23" s="719">
        <f>ROUNDDOWN(DATEDIF(E23,G23,"M")/3,0)</f>
        <v>15</v>
      </c>
      <c r="P23" s="1057"/>
      <c r="Q23" s="2547"/>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t="e">
        <f>ROUND(POWER(1+G24,J24-I24)*(POWER(1+G24,I24)-1)/(POWER(1+G24,J24)-1),4)</f>
        <v>#DIV/0!</v>
      </c>
      <c r="D24" s="1901" t="s">
        <v>2007</v>
      </c>
      <c r="E24" s="1248">
        <f>存贷款利率!E27/100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4.4">
      <c r="A25" s="1906" t="s">
        <v>366</v>
      </c>
      <c r="B25" s="1907" t="s">
        <v>3335</v>
      </c>
      <c r="C25" s="461">
        <f>IF(B25="容积率修正",IF(G3&lt;10,D26,J26),C27)</f>
        <v>0</v>
      </c>
      <c r="D25" s="1908"/>
      <c r="E25" s="1908"/>
      <c r="F25" s="1908"/>
      <c r="G25" s="1908"/>
      <c r="H25" s="1908"/>
      <c r="I25" s="1908"/>
      <c r="J25" s="1909"/>
      <c r="K25" s="1061"/>
      <c r="L25" s="2547"/>
      <c r="M25" s="2547"/>
      <c r="N25" s="1910" t="s">
        <v>2013</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3258</v>
      </c>
      <c r="J26" s="374" t="str">
        <f>IF(G3&gt;=10,D115,"——")</f>
        <v>——</v>
      </c>
      <c r="K26" s="1061"/>
      <c r="L26" s="2547"/>
      <c r="M26" s="2547"/>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0</v>
      </c>
      <c r="D28" s="1893"/>
      <c r="E28" s="1918"/>
      <c r="F28" s="1918"/>
      <c r="G28" s="1918"/>
      <c r="H28" s="1918"/>
      <c r="I28" s="1918"/>
      <c r="J28" s="1919"/>
      <c r="K28" s="1061"/>
      <c r="L28" s="2547"/>
      <c r="M28" s="2547"/>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4" t="s">
        <v>2023</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6"/>
      <c r="L30" s="3050" t="s">
        <v>1936</v>
      </c>
      <c r="M30" s="3051" t="s">
        <v>1990</v>
      </c>
      <c r="N30" s="3051" t="s">
        <v>1991</v>
      </c>
      <c r="O30" s="3051" t="s">
        <v>1992</v>
      </c>
      <c r="P30" s="3051" t="s">
        <v>1993</v>
      </c>
      <c r="Q30" s="3054"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t="e">
        <f>E34+SUM(I37:I42)</f>
        <v>#DIV/0!</v>
      </c>
      <c r="D31" s="1928"/>
      <c r="E31" s="1929"/>
      <c r="F31" s="1930"/>
      <c r="G31" s="1929"/>
      <c r="H31" s="1929"/>
      <c r="I31" s="1929"/>
      <c r="J31" s="1931"/>
      <c r="K31" s="1056"/>
      <c r="L31" s="3052" t="s">
        <v>1996</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3" t="s">
        <v>1999</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t="e">
        <f>ROUND(C5*C22*C23*C24*C25*C28,0)</f>
        <v>#DIV/0!</v>
      </c>
      <c r="D33" s="1939"/>
      <c r="E33" s="727" t="e">
        <f>ROUND(C33*D33/10000,0)</f>
        <v>#DIV/0!</v>
      </c>
      <c r="F33" s="3045" t="s">
        <v>3260</v>
      </c>
      <c r="G33" s="1940"/>
      <c r="H33" s="1940"/>
      <c r="I33" s="1940"/>
      <c r="J33" s="1941"/>
      <c r="K33" s="1056"/>
      <c r="L33" s="3048" t="s">
        <v>3263</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48" t="s">
        <v>3264</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6"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93"/>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49"/>
      <c r="K37" s="3056" t="s">
        <v>3266</v>
      </c>
      <c r="L37" s="1963">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94"/>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94"/>
      <c r="B39" s="1883" t="s">
        <v>3259</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57" t="s">
        <v>3267</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5" t="s">
        <v>3269</v>
      </c>
      <c r="B52" s="1262">
        <f>估价对象房地状况!C19</f>
        <v>0</v>
      </c>
      <c r="C52" s="1886"/>
      <c r="D52" s="1002">
        <f t="shared" si="7"/>
        <v>0</v>
      </c>
      <c r="E52" s="703"/>
      <c r="F52" s="1675"/>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5"/>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5"/>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5"/>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2" t="str">
        <f>估价对象房地状况!C22</f>
        <v>估价对象所在区域基础设施水平</v>
      </c>
      <c r="C57" s="1886"/>
      <c r="D57" s="1002">
        <f t="shared" si="7"/>
        <v>0</v>
      </c>
      <c r="E57" s="703"/>
      <c r="F57" s="1675"/>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5" t="s">
        <v>3269</v>
      </c>
      <c r="B63" s="1262">
        <f>估价对象房地状况!C19</f>
        <v>0</v>
      </c>
      <c r="C63" s="1886"/>
      <c r="D63" s="1002">
        <f t="shared" si="12"/>
        <v>0</v>
      </c>
      <c r="E63" s="703"/>
      <c r="F63" s="1675"/>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5"/>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5"/>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c r="D67" s="1002">
        <f t="shared" si="12"/>
        <v>0</v>
      </c>
      <c r="E67" s="703"/>
      <c r="F67" s="1675"/>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c r="D68" s="1002">
        <f t="shared" si="12"/>
        <v>0</v>
      </c>
      <c r="E68" s="703"/>
      <c r="F68" s="1675"/>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5" t="s">
        <v>3269</v>
      </c>
      <c r="B74" s="1262">
        <f>估价对象房地状况!C19</f>
        <v>0</v>
      </c>
      <c r="C74" s="1886"/>
      <c r="D74" s="1002">
        <f t="shared" si="17"/>
        <v>0</v>
      </c>
      <c r="E74" s="705"/>
      <c r="F74" s="1675"/>
      <c r="G74" s="1000"/>
      <c r="H74" s="1003" t="str">
        <f t="shared" si="18"/>
        <v>——</v>
      </c>
      <c r="I74" s="3063">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2">
        <f>估价对象房地状况!C24</f>
        <v>0</v>
      </c>
      <c r="C75" s="1886"/>
      <c r="D75" s="1002">
        <f t="shared" si="17"/>
        <v>0</v>
      </c>
      <c r="E75" s="705"/>
      <c r="F75" s="1675"/>
      <c r="G75" s="1000"/>
      <c r="H75" s="1003" t="str">
        <f t="shared" si="18"/>
        <v>——</v>
      </c>
      <c r="I75" s="3063">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5"/>
      <c r="G76" s="1000"/>
      <c r="H76" s="1003" t="str">
        <f t="shared" si="18"/>
        <v>——</v>
      </c>
      <c r="I76" s="3063">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5"/>
      <c r="G77" s="1000"/>
      <c r="H77" s="1003" t="str">
        <f t="shared" si="18"/>
        <v>——</v>
      </c>
      <c r="I77" s="3063">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5"/>
      <c r="G78" s="1000"/>
      <c r="H78" s="1003" t="str">
        <f t="shared" si="18"/>
        <v>——</v>
      </c>
      <c r="I78" s="3063">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5"/>
      <c r="G79" s="1000"/>
      <c r="H79" s="1003" t="str">
        <f t="shared" si="18"/>
        <v>——</v>
      </c>
      <c r="I79" s="3063">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5"/>
      <c r="G80" s="1000"/>
      <c r="H80" s="1003" t="str">
        <f t="shared" si="18"/>
        <v>——</v>
      </c>
      <c r="I80" s="3064">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158.4">
      <c r="A83" s="1969" t="s">
        <v>2070</v>
      </c>
      <c r="B83" s="1262"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C83" s="1886"/>
      <c r="D83" s="1002">
        <f t="shared" ref="D83:D90" si="22">SUMIF($J$82:$N$82,C83,J83:N83)</f>
        <v>0</v>
      </c>
      <c r="E83" s="702">
        <f>ROUND(SUM(D83:D90),4)</f>
        <v>0</v>
      </c>
      <c r="F83" s="1675"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171.6">
      <c r="A84" s="1969" t="s">
        <v>2053</v>
      </c>
      <c r="B84" s="1262"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C84" s="1886"/>
      <c r="D84" s="1002">
        <f t="shared" si="22"/>
        <v>0</v>
      </c>
      <c r="E84" s="705"/>
      <c r="F84" s="1675"/>
      <c r="G84" s="1000"/>
      <c r="H84" s="1003" t="str">
        <f t="shared" si="23"/>
        <v>——</v>
      </c>
      <c r="I84" s="3063">
        <v>0.3</v>
      </c>
      <c r="J84" s="1001">
        <f t="shared" si="24"/>
        <v>0</v>
      </c>
      <c r="K84" s="1001">
        <f t="shared" si="25"/>
        <v>0</v>
      </c>
      <c r="L84" s="1001">
        <v>0</v>
      </c>
      <c r="M84" s="1001">
        <f t="shared" si="26"/>
        <v>0</v>
      </c>
      <c r="N84" s="1001">
        <f t="shared" si="26"/>
        <v>0</v>
      </c>
      <c r="Z84" s="1844"/>
      <c r="AA84" s="1894"/>
      <c r="AG84" s="1058"/>
      <c r="AK84" s="1894"/>
    </row>
    <row r="85" spans="1:37" ht="48">
      <c r="A85" s="3065" t="s">
        <v>3270</v>
      </c>
      <c r="B85" s="1262">
        <f>估价对象房地状况!G17</f>
        <v>0</v>
      </c>
      <c r="C85" s="1886"/>
      <c r="D85" s="1002">
        <f t="shared" si="22"/>
        <v>0</v>
      </c>
      <c r="E85" s="705"/>
      <c r="F85" s="1675"/>
      <c r="G85" s="1000"/>
      <c r="H85" s="1003" t="str">
        <f t="shared" si="23"/>
        <v>——</v>
      </c>
      <c r="I85" s="3063">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2">
        <f>估价对象房地状况!G22</f>
        <v>0</v>
      </c>
      <c r="C86" s="1886"/>
      <c r="D86" s="1002">
        <f t="shared" si="22"/>
        <v>0</v>
      </c>
      <c r="E86" s="705"/>
      <c r="F86" s="1675"/>
      <c r="G86" s="1000"/>
      <c r="H86" s="1003" t="str">
        <f t="shared" si="23"/>
        <v>——</v>
      </c>
      <c r="I86" s="3063">
        <v>0.05</v>
      </c>
      <c r="J86" s="1001">
        <f t="shared" si="24"/>
        <v>0</v>
      </c>
      <c r="K86" s="1001">
        <f t="shared" si="25"/>
        <v>0</v>
      </c>
      <c r="L86" s="1001">
        <v>0</v>
      </c>
      <c r="M86" s="1001">
        <f t="shared" si="26"/>
        <v>0</v>
      </c>
      <c r="N86" s="1001">
        <f t="shared" si="26"/>
        <v>0</v>
      </c>
      <c r="Z86" s="1844"/>
      <c r="AA86" s="1894"/>
      <c r="AG86" s="1058"/>
      <c r="AK86" s="1894"/>
    </row>
    <row r="87" spans="1:37" ht="158.4">
      <c r="A87" s="1969" t="s">
        <v>2059</v>
      </c>
      <c r="B87" s="1240"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C87" s="1886"/>
      <c r="D87" s="1002">
        <f t="shared" si="22"/>
        <v>0</v>
      </c>
      <c r="E87" s="705"/>
      <c r="F87" s="1675"/>
      <c r="G87" s="1000"/>
      <c r="H87" s="1003" t="str">
        <f t="shared" si="23"/>
        <v>——</v>
      </c>
      <c r="I87" s="3063">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估价对象所在区域基础设施水平：五通</v>
      </c>
      <c r="C88" s="1886"/>
      <c r="D88" s="1002">
        <f t="shared" si="22"/>
        <v>0</v>
      </c>
      <c r="E88" s="705"/>
      <c r="F88" s="1675"/>
      <c r="G88" s="1000"/>
      <c r="H88" s="1003" t="str">
        <f t="shared" si="23"/>
        <v>——</v>
      </c>
      <c r="I88" s="3063">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5"/>
      <c r="G89" s="1000"/>
      <c r="H89" s="1003" t="str">
        <f t="shared" si="23"/>
        <v>——</v>
      </c>
      <c r="I89" s="3063">
        <v>0.06</v>
      </c>
      <c r="J89" s="1001">
        <f t="shared" si="24"/>
        <v>0</v>
      </c>
      <c r="K89" s="1001">
        <f t="shared" si="25"/>
        <v>0</v>
      </c>
      <c r="L89" s="1001">
        <v>0</v>
      </c>
      <c r="M89" s="1001">
        <f t="shared" si="26"/>
        <v>0</v>
      </c>
      <c r="N89" s="1001">
        <f t="shared" si="26"/>
        <v>0</v>
      </c>
    </row>
    <row r="90" spans="1:37" ht="159" thickBot="1">
      <c r="A90" s="1976" t="s">
        <v>2072</v>
      </c>
      <c r="B90" s="1981"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C90" s="1886"/>
      <c r="D90" s="1002">
        <f t="shared" si="22"/>
        <v>0</v>
      </c>
      <c r="E90" s="706"/>
      <c r="F90" s="1675"/>
      <c r="G90" s="1000"/>
      <c r="H90" s="1003" t="str">
        <f t="shared" si="23"/>
        <v>——</v>
      </c>
      <c r="I90" s="3064">
        <v>0.05</v>
      </c>
      <c r="J90" s="1001">
        <f t="shared" si="24"/>
        <v>0</v>
      </c>
      <c r="K90" s="1001">
        <f t="shared" si="25"/>
        <v>0</v>
      </c>
      <c r="L90" s="1001">
        <v>0</v>
      </c>
      <c r="M90" s="1001">
        <f t="shared" si="26"/>
        <v>0</v>
      </c>
      <c r="N90" s="1001">
        <f t="shared" si="26"/>
        <v>0</v>
      </c>
    </row>
    <row r="91" spans="1:37" ht="13.8">
      <c r="A91" s="3073" t="s">
        <v>2612</v>
      </c>
      <c r="B91" s="3074">
        <f>1+E93</f>
        <v>1</v>
      </c>
      <c r="C91" s="3067"/>
      <c r="D91" s="3068"/>
      <c r="E91" s="1675"/>
      <c r="F91" s="1675"/>
      <c r="G91" s="3069"/>
      <c r="H91" s="3070"/>
      <c r="I91" s="3071"/>
      <c r="J91" s="3072"/>
      <c r="K91" s="3072"/>
      <c r="L91" s="3072"/>
      <c r="M91" s="3072"/>
      <c r="N91" s="3072"/>
    </row>
    <row r="92" spans="1:37" ht="25.2">
      <c r="A92" s="3075" t="s">
        <v>3271</v>
      </c>
      <c r="B92" s="2305"/>
      <c r="C92" s="2305" t="s">
        <v>3280</v>
      </c>
      <c r="D92" s="2305" t="s">
        <v>3281</v>
      </c>
      <c r="E92" s="3047" t="s">
        <v>3282</v>
      </c>
      <c r="F92" s="3077" t="s">
        <v>3283</v>
      </c>
      <c r="G92" s="2305" t="s">
        <v>3284</v>
      </c>
      <c r="H92" s="3084" t="s">
        <v>3287</v>
      </c>
      <c r="I92" s="2305" t="s">
        <v>3288</v>
      </c>
      <c r="J92" s="2149" t="s">
        <v>3289</v>
      </c>
      <c r="K92" s="2149" t="s">
        <v>3290</v>
      </c>
      <c r="L92" s="2149" t="s">
        <v>3291</v>
      </c>
      <c r="M92" s="2149" t="s">
        <v>3292</v>
      </c>
      <c r="N92" s="2149" t="s">
        <v>3293</v>
      </c>
    </row>
    <row r="93" spans="1:37" ht="24">
      <c r="A93" s="3065" t="s">
        <v>3272</v>
      </c>
      <c r="B93" s="1221"/>
      <c r="C93" s="1886"/>
      <c r="D93" s="2305">
        <f>SUMIF($J$92:$N$92,C93,J93:N93)</f>
        <v>0</v>
      </c>
      <c r="E93" s="3078">
        <f>ROUND(SUM(D93:D101),4)</f>
        <v>0</v>
      </c>
      <c r="F93" s="1675"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52.8">
      <c r="A94" s="3075" t="s">
        <v>3273</v>
      </c>
      <c r="B94" s="3066" t="str">
        <f>估价对象房地状况!C18</f>
        <v>估价对象周边道路状况、公共交通通达情况、停车便捷程度，综合评价交通便捷度较好</v>
      </c>
      <c r="C94" s="1886"/>
      <c r="D94" s="2305">
        <f t="shared" ref="D94:D101" si="30">SUMIF($J$60:$N$60,C94,J94:N94)</f>
        <v>0</v>
      </c>
      <c r="E94" s="3079"/>
      <c r="F94" s="1675"/>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3269</v>
      </c>
      <c r="B95" s="3066">
        <f>估价对象房地状况!C19</f>
        <v>0</v>
      </c>
      <c r="C95" s="1886"/>
      <c r="D95" s="2305">
        <f t="shared" si="30"/>
        <v>0</v>
      </c>
      <c r="E95" s="3079"/>
      <c r="F95" s="1675"/>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3274</v>
      </c>
      <c r="B96" s="3081" t="s">
        <v>3285</v>
      </c>
      <c r="C96" s="1886"/>
      <c r="D96" s="2305">
        <f t="shared" si="30"/>
        <v>0</v>
      </c>
      <c r="E96" s="3079"/>
      <c r="F96" s="1675"/>
      <c r="G96" s="3069"/>
      <c r="H96" s="3114" t="str">
        <f t="shared" si="31"/>
        <v>——</v>
      </c>
      <c r="I96" s="3063">
        <v>0.05</v>
      </c>
      <c r="J96" s="1911">
        <f t="shared" si="27"/>
        <v>0</v>
      </c>
      <c r="K96" s="1911">
        <f t="shared" si="28"/>
        <v>0</v>
      </c>
      <c r="L96" s="1911">
        <v>0</v>
      </c>
      <c r="M96" s="1911">
        <f t="shared" si="29"/>
        <v>0</v>
      </c>
      <c r="N96" s="1911">
        <f t="shared" si="29"/>
        <v>0</v>
      </c>
    </row>
    <row r="97" spans="1:14" ht="24">
      <c r="A97" s="3075" t="s">
        <v>3275</v>
      </c>
      <c r="B97" s="3066">
        <f>估价对象房地状况!C24</f>
        <v>0</v>
      </c>
      <c r="C97" s="1886"/>
      <c r="D97" s="2305">
        <f t="shared" si="30"/>
        <v>0</v>
      </c>
      <c r="E97" s="3079"/>
      <c r="F97" s="1675"/>
      <c r="G97" s="3069"/>
      <c r="H97" s="3114" t="str">
        <f t="shared" si="31"/>
        <v>——</v>
      </c>
      <c r="I97" s="3063">
        <v>0.05</v>
      </c>
      <c r="J97" s="1911">
        <f t="shared" si="27"/>
        <v>0</v>
      </c>
      <c r="K97" s="1911">
        <f t="shared" si="28"/>
        <v>0</v>
      </c>
      <c r="L97" s="1911">
        <v>0</v>
      </c>
      <c r="M97" s="1911">
        <f t="shared" si="29"/>
        <v>0</v>
      </c>
      <c r="N97" s="1911">
        <f t="shared" si="29"/>
        <v>0</v>
      </c>
    </row>
    <row r="98" spans="1:14" ht="36">
      <c r="A98" s="3075" t="s">
        <v>3276</v>
      </c>
      <c r="B98" s="3082" t="s">
        <v>3286</v>
      </c>
      <c r="C98" s="1886"/>
      <c r="D98" s="2305">
        <f t="shared" si="30"/>
        <v>0</v>
      </c>
      <c r="E98" s="3079"/>
      <c r="F98" s="1675"/>
      <c r="G98" s="3069"/>
      <c r="H98" s="3114" t="str">
        <f t="shared" si="31"/>
        <v>——</v>
      </c>
      <c r="I98" s="3063">
        <v>0.06</v>
      </c>
      <c r="J98" s="1911">
        <f t="shared" si="27"/>
        <v>0</v>
      </c>
      <c r="K98" s="1911">
        <f t="shared" si="28"/>
        <v>0</v>
      </c>
      <c r="L98" s="1911">
        <v>0</v>
      </c>
      <c r="M98" s="1911">
        <f t="shared" si="29"/>
        <v>0</v>
      </c>
      <c r="N98" s="1911">
        <f t="shared" si="29"/>
        <v>0</v>
      </c>
    </row>
    <row r="99" spans="1:14" ht="26.4">
      <c r="A99" s="3075" t="s">
        <v>3277</v>
      </c>
      <c r="B99" s="3066" t="str">
        <f>估价对象房地状况!C21</f>
        <v>估价对象所在区域公共配套设施齐备情况</v>
      </c>
      <c r="C99" s="1886"/>
      <c r="D99" s="2305">
        <f t="shared" si="30"/>
        <v>0</v>
      </c>
      <c r="E99" s="3079"/>
      <c r="F99" s="1675"/>
      <c r="G99" s="3069"/>
      <c r="H99" s="3114" t="str">
        <f t="shared" si="31"/>
        <v>——</v>
      </c>
      <c r="I99" s="3063">
        <v>0.06</v>
      </c>
      <c r="J99" s="1911">
        <f t="shared" si="27"/>
        <v>0</v>
      </c>
      <c r="K99" s="1911">
        <f t="shared" si="28"/>
        <v>0</v>
      </c>
      <c r="L99" s="1911">
        <v>0</v>
      </c>
      <c r="M99" s="1911">
        <f t="shared" si="29"/>
        <v>0</v>
      </c>
      <c r="N99" s="1911">
        <f t="shared" si="29"/>
        <v>0</v>
      </c>
    </row>
    <row r="100" spans="1:14" ht="26.4">
      <c r="A100" s="3075" t="s">
        <v>3278</v>
      </c>
      <c r="B100" s="3066" t="str">
        <f>估价对象房地状况!C22</f>
        <v>估价对象所在区域基础设施水平</v>
      </c>
      <c r="C100" s="1886"/>
      <c r="D100" s="2305">
        <f t="shared" si="30"/>
        <v>0</v>
      </c>
      <c r="E100" s="3079"/>
      <c r="F100" s="1675"/>
      <c r="G100" s="3069"/>
      <c r="H100" s="3114" t="str">
        <f t="shared" si="31"/>
        <v>——</v>
      </c>
      <c r="I100" s="3063">
        <v>0.09</v>
      </c>
      <c r="J100" s="1911">
        <f t="shared" si="27"/>
        <v>0</v>
      </c>
      <c r="K100" s="1911">
        <f t="shared" si="28"/>
        <v>0</v>
      </c>
      <c r="L100" s="1911">
        <v>0</v>
      </c>
      <c r="M100" s="1911">
        <f t="shared" si="29"/>
        <v>0</v>
      </c>
      <c r="N100" s="1911">
        <f t="shared" si="29"/>
        <v>0</v>
      </c>
    </row>
    <row r="101" spans="1:14" ht="40.200000000000003" thickBot="1">
      <c r="A101" s="3076" t="s">
        <v>3279</v>
      </c>
      <c r="B101" s="3083" t="str">
        <f>估价对象房地状况!C20</f>
        <v>区域自然环境：；人文环境；综合评价环境状况一般</v>
      </c>
      <c r="C101" s="1886"/>
      <c r="D101" s="2305">
        <f t="shared" si="30"/>
        <v>0</v>
      </c>
      <c r="E101" s="3080"/>
      <c r="F101" s="1675"/>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491" t="s">
        <v>3294</v>
      </c>
      <c r="B103" s="3491"/>
      <c r="C103" s="3491"/>
      <c r="D103" s="3491"/>
      <c r="E103" s="3491"/>
      <c r="F103" s="3491"/>
      <c r="G103" s="3491"/>
      <c r="H103" s="3491"/>
      <c r="I103" s="3491"/>
      <c r="J103" s="3491"/>
      <c r="K103" s="1667"/>
      <c r="L103" s="1667"/>
      <c r="M103" s="1667"/>
      <c r="N103" s="1667"/>
    </row>
    <row r="104" spans="1:14">
      <c r="A104" s="3492" t="s">
        <v>3295</v>
      </c>
      <c r="B104" s="3492" t="s">
        <v>3296</v>
      </c>
      <c r="C104" s="3085" t="s">
        <v>3297</v>
      </c>
      <c r="D104" s="3086"/>
      <c r="E104" s="3086"/>
      <c r="F104" s="3086"/>
      <c r="G104" s="3086"/>
      <c r="H104" s="3086"/>
      <c r="I104" s="3086"/>
      <c r="J104" s="3087"/>
      <c r="K104" s="3088"/>
      <c r="L104" s="3088"/>
      <c r="M104" s="3088"/>
      <c r="N104" s="3088"/>
    </row>
    <row r="105" spans="1:14">
      <c r="A105" s="3492"/>
      <c r="B105" s="3492"/>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78"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7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7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7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7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79"/>
      <c r="B111" s="3089" t="s">
        <v>3268</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80"/>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81" t="s">
        <v>3311</v>
      </c>
      <c r="B113" s="3481"/>
      <c r="C113" s="3481"/>
      <c r="D113" s="3481"/>
      <c r="E113" s="3481"/>
      <c r="F113" s="3481"/>
      <c r="G113" s="3481"/>
      <c r="H113" s="3481"/>
      <c r="I113" s="3481"/>
      <c r="J113" s="3481"/>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3312</v>
      </c>
      <c r="B116" s="3109">
        <f>G3</f>
        <v>0</v>
      </c>
      <c r="C116" s="3094" t="s">
        <v>3313</v>
      </c>
      <c r="D116" s="3095">
        <f>SUMPRODUCT((A118:A122=F116)*(B117:M117=H116)*B118:M122)</f>
        <v>0</v>
      </c>
      <c r="E116" s="162" t="s">
        <v>3314</v>
      </c>
      <c r="F116" s="3096">
        <f>E2</f>
        <v>0</v>
      </c>
      <c r="G116" s="162" t="s">
        <v>3315</v>
      </c>
      <c r="H116" s="3096">
        <f>G2</f>
        <v>0</v>
      </c>
      <c r="I116" s="162"/>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3329</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3330</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3331</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2612</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2594</v>
      </c>
      <c r="B1" s="2806" t="s">
        <v>2595</v>
      </c>
      <c r="C1" s="2806" t="s">
        <v>2596</v>
      </c>
      <c r="D1" s="2806" t="s">
        <v>2597</v>
      </c>
      <c r="E1" s="2806" t="s">
        <v>2598</v>
      </c>
      <c r="F1" s="2806" t="s">
        <v>2599</v>
      </c>
      <c r="G1" s="2806" t="s">
        <v>2600</v>
      </c>
      <c r="H1" s="2806" t="s">
        <v>2601</v>
      </c>
      <c r="I1" s="2806" t="s">
        <v>2602</v>
      </c>
      <c r="J1" s="2806" t="s">
        <v>2603</v>
      </c>
      <c r="K1" s="2806" t="s">
        <v>2604</v>
      </c>
      <c r="L1" s="2806" t="s">
        <v>2605</v>
      </c>
      <c r="M1" s="2807" t="s">
        <v>2606</v>
      </c>
    </row>
    <row r="2" spans="1:13" ht="19.5" customHeight="1">
      <c r="A2" s="2809" t="s">
        <v>2607</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2608</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2609</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2610</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2611</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2612</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2613</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2614</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2615</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2616</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2617</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2618</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2619</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2620</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2621</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2622</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2623</v>
      </c>
      <c r="B18" s="2831"/>
      <c r="C18" s="2832"/>
      <c r="D18" s="2832"/>
      <c r="E18" s="2831"/>
      <c r="F18" s="2832"/>
      <c r="G18" s="2832"/>
    </row>
    <row r="19" spans="1:13" ht="19.5" customHeight="1" thickBot="1">
      <c r="A19" s="2829" t="s">
        <v>2624</v>
      </c>
      <c r="B19" s="2834" t="s">
        <v>2625</v>
      </c>
      <c r="C19" s="2834" t="s">
        <v>2626</v>
      </c>
      <c r="D19" s="2835"/>
      <c r="E19" s="2829" t="s">
        <v>2627</v>
      </c>
      <c r="F19" s="2836"/>
      <c r="G19" s="2836"/>
    </row>
    <row r="20" spans="1:13" ht="19.5" customHeight="1">
      <c r="A20" s="3506" t="s">
        <v>2607</v>
      </c>
      <c r="B20" s="3501" t="s">
        <v>2628</v>
      </c>
      <c r="C20" s="2837" t="s">
        <v>2439</v>
      </c>
      <c r="D20" s="2838"/>
      <c r="E20" s="2839">
        <v>1</v>
      </c>
      <c r="F20" s="2840" t="s">
        <v>2440</v>
      </c>
      <c r="G20" s="2840"/>
    </row>
    <row r="21" spans="1:13" ht="19.5" customHeight="1">
      <c r="A21" s="3507"/>
      <c r="B21" s="3500"/>
      <c r="C21" s="2841" t="s">
        <v>2441</v>
      </c>
      <c r="D21" s="2842"/>
      <c r="E21" s="2843">
        <v>1</v>
      </c>
      <c r="F21" s="2840" t="s">
        <v>2442</v>
      </c>
      <c r="G21" s="2840"/>
    </row>
    <row r="22" spans="1:13" ht="19.5" customHeight="1">
      <c r="A22" s="3507"/>
      <c r="B22" s="3500"/>
      <c r="C22" s="2841" t="s">
        <v>2443</v>
      </c>
      <c r="D22" s="2842"/>
      <c r="E22" s="2843">
        <v>0.9</v>
      </c>
      <c r="F22" s="2840" t="s">
        <v>2444</v>
      </c>
      <c r="G22" s="2840"/>
    </row>
    <row r="23" spans="1:13" ht="19.5" customHeight="1">
      <c r="A23" s="3507"/>
      <c r="B23" s="3500"/>
      <c r="C23" s="2841" t="s">
        <v>2445</v>
      </c>
      <c r="D23" s="2842"/>
      <c r="E23" s="2843">
        <v>0.9</v>
      </c>
      <c r="F23" s="2840" t="s">
        <v>2446</v>
      </c>
      <c r="G23" s="2840"/>
    </row>
    <row r="24" spans="1:13" ht="19.5" customHeight="1">
      <c r="A24" s="3507"/>
      <c r="B24" s="3500"/>
      <c r="C24" s="2841" t="s">
        <v>2447</v>
      </c>
      <c r="D24" s="2842"/>
      <c r="E24" s="2843">
        <v>0.8</v>
      </c>
      <c r="F24" s="2840" t="s">
        <v>2448</v>
      </c>
      <c r="G24" s="2840"/>
    </row>
    <row r="25" spans="1:13" ht="19.5" customHeight="1" thickBot="1">
      <c r="A25" s="3508"/>
      <c r="B25" s="3502"/>
      <c r="C25" s="2844" t="s">
        <v>2449</v>
      </c>
      <c r="D25" s="2845"/>
      <c r="E25" s="2846">
        <v>0.8</v>
      </c>
      <c r="F25" s="2840" t="s">
        <v>2450</v>
      </c>
      <c r="G25" s="2840"/>
    </row>
    <row r="26" spans="1:13" ht="19.5" customHeight="1" thickBot="1">
      <c r="A26" s="2847" t="s">
        <v>2629</v>
      </c>
      <c r="B26" s="2848" t="s">
        <v>2628</v>
      </c>
      <c r="C26" s="2849" t="s">
        <v>2630</v>
      </c>
      <c r="D26" s="2850"/>
      <c r="E26" s="2851">
        <v>1</v>
      </c>
      <c r="F26" s="2840" t="s">
        <v>2451</v>
      </c>
      <c r="G26" s="2840"/>
    </row>
    <row r="27" spans="1:13" ht="19.5" customHeight="1">
      <c r="A27" s="3503" t="s">
        <v>2631</v>
      </c>
      <c r="B27" s="3501" t="s">
        <v>2612</v>
      </c>
      <c r="C27" s="2837" t="s">
        <v>2452</v>
      </c>
      <c r="D27" s="2838"/>
      <c r="E27" s="2839">
        <v>1</v>
      </c>
      <c r="F27" s="2840" t="s">
        <v>2453</v>
      </c>
      <c r="G27" s="2840"/>
    </row>
    <row r="28" spans="1:13" ht="19.5" customHeight="1">
      <c r="A28" s="3504"/>
      <c r="B28" s="3500"/>
      <c r="C28" s="2841" t="s">
        <v>2454</v>
      </c>
      <c r="D28" s="2842"/>
      <c r="E28" s="2843">
        <v>1</v>
      </c>
      <c r="F28" s="2840" t="s">
        <v>2455</v>
      </c>
      <c r="G28" s="2840"/>
    </row>
    <row r="29" spans="1:13" ht="19.5" customHeight="1">
      <c r="A29" s="3504"/>
      <c r="B29" s="3500"/>
      <c r="C29" s="2841" t="s">
        <v>2456</v>
      </c>
      <c r="D29" s="2842"/>
      <c r="E29" s="2843">
        <v>0.8</v>
      </c>
      <c r="F29" s="2840" t="s">
        <v>2457</v>
      </c>
      <c r="G29" s="2840"/>
    </row>
    <row r="30" spans="1:13" ht="19.5" customHeight="1">
      <c r="A30" s="3504"/>
      <c r="B30" s="3500"/>
      <c r="C30" s="2841" t="s">
        <v>2458</v>
      </c>
      <c r="D30" s="2842"/>
      <c r="E30" s="2843">
        <v>0.8</v>
      </c>
      <c r="F30" s="2840" t="s">
        <v>2459</v>
      </c>
      <c r="G30" s="2840"/>
    </row>
    <row r="31" spans="1:13" ht="19.5" customHeight="1">
      <c r="A31" s="3504"/>
      <c r="B31" s="3500"/>
      <c r="C31" s="2841" t="s">
        <v>2460</v>
      </c>
      <c r="D31" s="2842"/>
      <c r="E31" s="2843">
        <v>0.8</v>
      </c>
      <c r="F31" s="2840" t="s">
        <v>2461</v>
      </c>
      <c r="G31" s="2840"/>
    </row>
    <row r="32" spans="1:13" ht="19.5" customHeight="1">
      <c r="A32" s="3504"/>
      <c r="B32" s="3500"/>
      <c r="C32" s="2841" t="s">
        <v>2462</v>
      </c>
      <c r="D32" s="2842"/>
      <c r="E32" s="2843">
        <v>0.7</v>
      </c>
      <c r="F32" s="2840" t="s">
        <v>2463</v>
      </c>
      <c r="G32" s="2840"/>
    </row>
    <row r="33" spans="1:7" ht="19.5" customHeight="1">
      <c r="A33" s="3504"/>
      <c r="B33" s="3500"/>
      <c r="C33" s="2841" t="s">
        <v>2464</v>
      </c>
      <c r="D33" s="2842"/>
      <c r="E33" s="2843">
        <v>0.8</v>
      </c>
      <c r="F33" s="2840" t="s">
        <v>2465</v>
      </c>
      <c r="G33" s="2840"/>
    </row>
    <row r="34" spans="1:7" ht="19.5" customHeight="1">
      <c r="A34" s="3504"/>
      <c r="B34" s="3500"/>
      <c r="C34" s="2841" t="s">
        <v>2466</v>
      </c>
      <c r="D34" s="2842"/>
      <c r="E34" s="2843">
        <v>0.6</v>
      </c>
      <c r="F34" s="2840" t="s">
        <v>2467</v>
      </c>
      <c r="G34" s="2840"/>
    </row>
    <row r="35" spans="1:7" ht="19.5" customHeight="1">
      <c r="A35" s="3504"/>
      <c r="B35" s="3500"/>
      <c r="C35" s="2841" t="s">
        <v>2468</v>
      </c>
      <c r="D35" s="2842"/>
      <c r="E35" s="2843">
        <v>0.2</v>
      </c>
      <c r="F35" s="2840" t="s">
        <v>2469</v>
      </c>
      <c r="G35" s="2840"/>
    </row>
    <row r="36" spans="1:7" ht="19.5" customHeight="1">
      <c r="A36" s="3504"/>
      <c r="B36" s="3500"/>
      <c r="C36" s="2841" t="s">
        <v>2470</v>
      </c>
      <c r="D36" s="2842"/>
      <c r="E36" s="2843">
        <v>0.2</v>
      </c>
      <c r="F36" s="2840" t="s">
        <v>2471</v>
      </c>
      <c r="G36" s="2840"/>
    </row>
    <row r="37" spans="1:7" ht="19.5" customHeight="1">
      <c r="A37" s="3504"/>
      <c r="B37" s="3498" t="s">
        <v>2632</v>
      </c>
      <c r="C37" s="2841" t="s">
        <v>2472</v>
      </c>
      <c r="D37" s="2842"/>
      <c r="E37" s="2843">
        <v>0.6</v>
      </c>
      <c r="F37" s="2840" t="s">
        <v>2473</v>
      </c>
      <c r="G37" s="2840"/>
    </row>
    <row r="38" spans="1:7" ht="19.5" customHeight="1">
      <c r="A38" s="3504"/>
      <c r="B38" s="3500"/>
      <c r="C38" s="2841" t="s">
        <v>2474</v>
      </c>
      <c r="D38" s="2842"/>
      <c r="E38" s="2843">
        <v>0.6</v>
      </c>
      <c r="F38" s="2840" t="s">
        <v>2475</v>
      </c>
      <c r="G38" s="2840"/>
    </row>
    <row r="39" spans="1:7" ht="19.5" customHeight="1" thickBot="1">
      <c r="A39" s="3505"/>
      <c r="B39" s="3502"/>
      <c r="C39" s="2844" t="s">
        <v>2476</v>
      </c>
      <c r="D39" s="2845"/>
      <c r="E39" s="2846">
        <v>0.6</v>
      </c>
      <c r="F39" s="2840" t="s">
        <v>2477</v>
      </c>
      <c r="G39" s="2840"/>
    </row>
    <row r="40" spans="1:7" ht="19.5" customHeight="1" thickBot="1">
      <c r="A40" s="2847" t="s">
        <v>2609</v>
      </c>
      <c r="B40" s="2848" t="s">
        <v>2609</v>
      </c>
      <c r="C40" s="2849" t="s">
        <v>2633</v>
      </c>
      <c r="D40" s="2850"/>
      <c r="E40" s="2851">
        <v>1</v>
      </c>
      <c r="F40" s="2840" t="s">
        <v>2478</v>
      </c>
      <c r="G40" s="2840"/>
    </row>
    <row r="41" spans="1:7" ht="19.5" customHeight="1">
      <c r="A41" s="3506" t="s">
        <v>2610</v>
      </c>
      <c r="B41" s="3501" t="s">
        <v>2634</v>
      </c>
      <c r="C41" s="2837" t="s">
        <v>2479</v>
      </c>
      <c r="D41" s="2838"/>
      <c r="E41" s="2839">
        <v>1</v>
      </c>
      <c r="F41" s="2840" t="s">
        <v>2480</v>
      </c>
      <c r="G41" s="2840"/>
    </row>
    <row r="42" spans="1:7" ht="19.5" customHeight="1">
      <c r="A42" s="3507"/>
      <c r="B42" s="3500"/>
      <c r="C42" s="2841" t="s">
        <v>2481</v>
      </c>
      <c r="D42" s="2842"/>
      <c r="E42" s="2843">
        <v>1</v>
      </c>
      <c r="F42" s="2840" t="s">
        <v>2482</v>
      </c>
      <c r="G42" s="2840"/>
    </row>
    <row r="43" spans="1:7" ht="19.5" customHeight="1">
      <c r="A43" s="3507"/>
      <c r="B43" s="3499"/>
      <c r="C43" s="2841" t="s">
        <v>2483</v>
      </c>
      <c r="D43" s="2842"/>
      <c r="E43" s="2843">
        <v>1.5</v>
      </c>
      <c r="F43" s="2840" t="s">
        <v>2484</v>
      </c>
      <c r="G43" s="2840"/>
    </row>
    <row r="44" spans="1:7" ht="19.5" customHeight="1">
      <c r="A44" s="3507"/>
      <c r="B44" s="2852" t="s">
        <v>2635</v>
      </c>
      <c r="C44" s="2841" t="s">
        <v>2636</v>
      </c>
      <c r="D44" s="2842"/>
      <c r="E44" s="2843">
        <v>2</v>
      </c>
      <c r="F44" s="2840" t="s">
        <v>2485</v>
      </c>
      <c r="G44" s="2840"/>
    </row>
    <row r="45" spans="1:7" ht="19.5" customHeight="1">
      <c r="A45" s="3507"/>
      <c r="B45" s="3498" t="s">
        <v>2637</v>
      </c>
      <c r="C45" s="2841" t="s">
        <v>2486</v>
      </c>
      <c r="D45" s="2842"/>
      <c r="E45" s="2843">
        <v>1</v>
      </c>
      <c r="F45" s="2840" t="s">
        <v>2487</v>
      </c>
      <c r="G45" s="2840"/>
    </row>
    <row r="46" spans="1:7" ht="19.5" customHeight="1">
      <c r="A46" s="3507"/>
      <c r="B46" s="3500"/>
      <c r="C46" s="2841" t="s">
        <v>2488</v>
      </c>
      <c r="D46" s="2842"/>
      <c r="E46" s="2843">
        <v>1</v>
      </c>
      <c r="F46" s="2840" t="s">
        <v>2489</v>
      </c>
      <c r="G46" s="2840"/>
    </row>
    <row r="47" spans="1:7" ht="19.5" customHeight="1">
      <c r="A47" s="3507"/>
      <c r="B47" s="3500"/>
      <c r="C47" s="2841" t="s">
        <v>2490</v>
      </c>
      <c r="D47" s="2842"/>
      <c r="E47" s="2843">
        <v>1</v>
      </c>
      <c r="F47" s="2840" t="s">
        <v>2491</v>
      </c>
      <c r="G47" s="2840"/>
    </row>
    <row r="48" spans="1:7" ht="19.5" customHeight="1">
      <c r="A48" s="3507"/>
      <c r="B48" s="3500"/>
      <c r="C48" s="2841" t="s">
        <v>2492</v>
      </c>
      <c r="D48" s="2842"/>
      <c r="E48" s="2843">
        <v>1</v>
      </c>
      <c r="F48" s="2840" t="s">
        <v>2493</v>
      </c>
      <c r="G48" s="2840"/>
    </row>
    <row r="49" spans="1:7" ht="19.5" customHeight="1">
      <c r="A49" s="3507"/>
      <c r="B49" s="3500"/>
      <c r="C49" s="2841" t="s">
        <v>2494</v>
      </c>
      <c r="D49" s="2842"/>
      <c r="E49" s="2843">
        <v>1</v>
      </c>
      <c r="F49" s="2840" t="s">
        <v>2495</v>
      </c>
      <c r="G49" s="2840"/>
    </row>
    <row r="50" spans="1:7" ht="19.5" customHeight="1">
      <c r="A50" s="3507"/>
      <c r="B50" s="3500"/>
      <c r="C50" s="2841" t="s">
        <v>2496</v>
      </c>
      <c r="D50" s="2842"/>
      <c r="E50" s="2843">
        <v>1</v>
      </c>
      <c r="F50" s="2840" t="s">
        <v>2497</v>
      </c>
      <c r="G50" s="2840"/>
    </row>
    <row r="51" spans="1:7" ht="19.5" customHeight="1" thickBot="1">
      <c r="A51" s="3508"/>
      <c r="B51" s="3502"/>
      <c r="C51" s="2844" t="s">
        <v>2498</v>
      </c>
      <c r="D51" s="2845"/>
      <c r="E51" s="2846">
        <v>1</v>
      </c>
      <c r="F51" s="2840" t="s">
        <v>2499</v>
      </c>
      <c r="G51" s="2840"/>
    </row>
    <row r="52" spans="1:7" ht="19.5" customHeight="1">
      <c r="A52" s="2853"/>
      <c r="B52" s="2853"/>
      <c r="C52" s="2853"/>
      <c r="D52" s="2853"/>
      <c r="E52" s="2853"/>
      <c r="F52" s="2853"/>
      <c r="G52" s="2853"/>
    </row>
    <row r="54" spans="1:7" ht="19.5" customHeight="1">
      <c r="A54" s="2854"/>
      <c r="B54" s="2826" t="s">
        <v>2638</v>
      </c>
      <c r="C54" s="2826" t="s">
        <v>2638</v>
      </c>
      <c r="D54" s="2826" t="s">
        <v>2638</v>
      </c>
      <c r="E54" s="2829" t="s">
        <v>2638</v>
      </c>
      <c r="F54" s="2829" t="s">
        <v>2639</v>
      </c>
      <c r="G54" s="2829" t="s">
        <v>2640</v>
      </c>
    </row>
    <row r="55" spans="1:7" ht="19.5" customHeight="1">
      <c r="A55" s="2855"/>
      <c r="B55" s="2829" t="s">
        <v>2607</v>
      </c>
      <c r="C55" s="2829" t="s">
        <v>2607</v>
      </c>
      <c r="D55" s="2829" t="s">
        <v>2607</v>
      </c>
      <c r="E55" s="2826" t="s">
        <v>2608</v>
      </c>
      <c r="F55" s="2826" t="s">
        <v>2610</v>
      </c>
      <c r="G55" s="2826" t="s">
        <v>2641</v>
      </c>
    </row>
    <row r="56" spans="1:7" ht="19.5" customHeight="1">
      <c r="A56" s="2856"/>
      <c r="B56" s="2826">
        <v>1</v>
      </c>
      <c r="C56" s="2826">
        <v>2</v>
      </c>
      <c r="D56" s="2826">
        <v>3</v>
      </c>
      <c r="E56" s="2857" t="s">
        <v>2642</v>
      </c>
      <c r="F56" s="2857" t="s">
        <v>2642</v>
      </c>
      <c r="G56" s="2857" t="s">
        <v>2642</v>
      </c>
    </row>
    <row r="57" spans="1:7" ht="19.5" customHeight="1">
      <c r="A57" s="2858" t="s">
        <v>2595</v>
      </c>
      <c r="B57" s="2826">
        <v>0.7</v>
      </c>
      <c r="C57" s="2826">
        <v>0.4</v>
      </c>
      <c r="D57" s="2826">
        <v>0.3</v>
      </c>
      <c r="E57" s="2857">
        <v>0.3</v>
      </c>
      <c r="F57" s="2826">
        <v>0.3</v>
      </c>
      <c r="G57" s="2826">
        <v>0.2</v>
      </c>
    </row>
    <row r="58" spans="1:7" ht="19.5" customHeight="1">
      <c r="A58" s="2858" t="s">
        <v>2596</v>
      </c>
      <c r="B58" s="2826">
        <v>0.7</v>
      </c>
      <c r="C58" s="2826">
        <v>0.4</v>
      </c>
      <c r="D58" s="2826">
        <v>0.3</v>
      </c>
      <c r="E58" s="2826">
        <v>0.3</v>
      </c>
      <c r="F58" s="2826">
        <v>0.3</v>
      </c>
      <c r="G58" s="2826">
        <v>0.2</v>
      </c>
    </row>
    <row r="59" spans="1:7" ht="19.5" customHeight="1">
      <c r="A59" s="2858" t="s">
        <v>2597</v>
      </c>
      <c r="B59" s="2826">
        <v>0.6</v>
      </c>
      <c r="C59" s="2826">
        <v>0.3</v>
      </c>
      <c r="D59" s="2826">
        <v>0.25</v>
      </c>
      <c r="E59" s="2826">
        <v>0.25</v>
      </c>
      <c r="F59" s="2826">
        <v>0.25</v>
      </c>
      <c r="G59" s="2826">
        <v>0.15</v>
      </c>
    </row>
    <row r="60" spans="1:7" ht="19.5" customHeight="1">
      <c r="A60" s="2858" t="s">
        <v>2598</v>
      </c>
      <c r="B60" s="2826">
        <v>0.6</v>
      </c>
      <c r="C60" s="2826">
        <v>0.3</v>
      </c>
      <c r="D60" s="2826">
        <v>0.25</v>
      </c>
      <c r="E60" s="2826">
        <v>0.25</v>
      </c>
      <c r="F60" s="2826">
        <v>0.25</v>
      </c>
      <c r="G60" s="2826">
        <v>0.15</v>
      </c>
    </row>
    <row r="61" spans="1:7" ht="19.5" customHeight="1">
      <c r="A61" s="2858" t="s">
        <v>2599</v>
      </c>
      <c r="B61" s="2826">
        <v>0.6</v>
      </c>
      <c r="C61" s="2826">
        <v>0.3</v>
      </c>
      <c r="D61" s="2826">
        <v>0.25</v>
      </c>
      <c r="E61" s="2826">
        <v>0.25</v>
      </c>
      <c r="F61" s="2826">
        <v>0.25</v>
      </c>
      <c r="G61" s="2826">
        <v>0.15</v>
      </c>
    </row>
    <row r="62" spans="1:7" ht="19.5" customHeight="1">
      <c r="A62" s="2858" t="s">
        <v>2600</v>
      </c>
      <c r="B62" s="2826">
        <v>0.6</v>
      </c>
      <c r="C62" s="2826">
        <v>0.3</v>
      </c>
      <c r="D62" s="2826">
        <v>0.25</v>
      </c>
      <c r="E62" s="2826">
        <v>0.25</v>
      </c>
      <c r="F62" s="2826">
        <v>0.25</v>
      </c>
      <c r="G62" s="2826">
        <v>0.15</v>
      </c>
    </row>
    <row r="63" spans="1:7" ht="19.5" customHeight="1">
      <c r="A63" s="2858" t="s">
        <v>2601</v>
      </c>
      <c r="B63" s="2826">
        <v>0.6</v>
      </c>
      <c r="C63" s="2826">
        <v>0.3</v>
      </c>
      <c r="D63" s="2826">
        <v>0.25</v>
      </c>
      <c r="E63" s="2826">
        <v>0.25</v>
      </c>
      <c r="F63" s="2826">
        <v>0.25</v>
      </c>
      <c r="G63" s="2826">
        <v>0.15</v>
      </c>
    </row>
    <row r="64" spans="1:7" ht="19.5" customHeight="1">
      <c r="A64" s="2858" t="s">
        <v>2602</v>
      </c>
      <c r="B64" s="2826">
        <v>0.5</v>
      </c>
      <c r="C64" s="2826">
        <v>0.2</v>
      </c>
      <c r="D64" s="2826">
        <v>0.2</v>
      </c>
      <c r="E64" s="2826">
        <v>0.2</v>
      </c>
      <c r="F64" s="2826">
        <v>0.2</v>
      </c>
      <c r="G64" s="2826">
        <v>0.1</v>
      </c>
    </row>
    <row r="65" spans="1:7" ht="19.5" customHeight="1">
      <c r="A65" s="2858" t="s">
        <v>2603</v>
      </c>
      <c r="B65" s="2826">
        <v>0.5</v>
      </c>
      <c r="C65" s="2826">
        <v>0.2</v>
      </c>
      <c r="D65" s="2826">
        <v>0.2</v>
      </c>
      <c r="E65" s="2826">
        <v>0.2</v>
      </c>
      <c r="F65" s="2826">
        <v>0.2</v>
      </c>
      <c r="G65" s="2826">
        <v>0.1</v>
      </c>
    </row>
    <row r="66" spans="1:7" ht="19.5" customHeight="1">
      <c r="A66" s="2858" t="s">
        <v>2604</v>
      </c>
      <c r="B66" s="2826">
        <v>0.5</v>
      </c>
      <c r="C66" s="2826">
        <v>0.2</v>
      </c>
      <c r="D66" s="2826">
        <v>0.2</v>
      </c>
      <c r="E66" s="2826">
        <v>0.2</v>
      </c>
      <c r="F66" s="2826">
        <v>0.2</v>
      </c>
      <c r="G66" s="2826">
        <v>0.1</v>
      </c>
    </row>
    <row r="67" spans="1:7" ht="19.5" customHeight="1">
      <c r="A67" s="2858" t="s">
        <v>2605</v>
      </c>
      <c r="B67" s="2826">
        <v>0.5</v>
      </c>
      <c r="C67" s="2826">
        <v>0.2</v>
      </c>
      <c r="D67" s="2826">
        <v>0.2</v>
      </c>
      <c r="E67" s="2826">
        <v>0.2</v>
      </c>
      <c r="F67" s="2826">
        <v>0.2</v>
      </c>
      <c r="G67" s="2826">
        <v>0.1</v>
      </c>
    </row>
    <row r="68" spans="1:7" ht="19.5" customHeight="1">
      <c r="A68" s="2858" t="s">
        <v>2606</v>
      </c>
      <c r="B68" s="2826">
        <v>0.5</v>
      </c>
      <c r="C68" s="2826">
        <v>0.2</v>
      </c>
      <c r="D68" s="2826">
        <v>0.2</v>
      </c>
      <c r="E68" s="2826">
        <v>0.2</v>
      </c>
      <c r="F68" s="2826">
        <v>0.2</v>
      </c>
      <c r="G68" s="2826">
        <v>0.1</v>
      </c>
    </row>
    <row r="70" spans="1:7" ht="19.5" customHeight="1">
      <c r="A70" s="2840"/>
      <c r="B70" s="2859"/>
      <c r="C70" s="2859"/>
      <c r="D70" s="2859" t="s">
        <v>2643</v>
      </c>
      <c r="E70" s="2859"/>
      <c r="F70" s="2859"/>
    </row>
    <row r="71" spans="1:7" ht="19.5" customHeight="1">
      <c r="A71" s="2852" t="s">
        <v>2644</v>
      </c>
      <c r="B71" s="2852" t="s">
        <v>2645</v>
      </c>
      <c r="C71" s="2852" t="s">
        <v>2646</v>
      </c>
      <c r="D71" s="2852" t="s">
        <v>2647</v>
      </c>
      <c r="E71" s="2852" t="s">
        <v>2648</v>
      </c>
      <c r="F71" s="2852" t="s">
        <v>2649</v>
      </c>
    </row>
    <row r="72" spans="1:7" ht="14.4">
      <c r="A72" s="2852"/>
      <c r="B72" s="2852"/>
      <c r="C72" s="2852" t="s">
        <v>2650</v>
      </c>
      <c r="D72" s="2852"/>
      <c r="E72" s="2852" t="s">
        <v>2621</v>
      </c>
      <c r="F72" s="2852" t="s">
        <v>2621</v>
      </c>
    </row>
    <row r="73" spans="1:7" ht="14.4">
      <c r="A73" s="2852">
        <v>1</v>
      </c>
      <c r="B73" s="3498" t="s">
        <v>2651</v>
      </c>
      <c r="C73" s="2826" t="s">
        <v>2652</v>
      </c>
      <c r="D73" s="2826" t="s">
        <v>2653</v>
      </c>
      <c r="E73" s="2852">
        <v>0.2</v>
      </c>
      <c r="F73" s="2852">
        <v>25</v>
      </c>
    </row>
    <row r="74" spans="1:7" ht="24">
      <c r="A74" s="2852">
        <v>2</v>
      </c>
      <c r="B74" s="3500"/>
      <c r="C74" s="2826" t="s">
        <v>2654</v>
      </c>
      <c r="D74" s="2826" t="s">
        <v>2655</v>
      </c>
      <c r="E74" s="2852">
        <v>0.2</v>
      </c>
      <c r="F74" s="2852">
        <v>25</v>
      </c>
    </row>
    <row r="75" spans="1:7" ht="24">
      <c r="A75" s="2852">
        <v>3</v>
      </c>
      <c r="B75" s="3500"/>
      <c r="C75" s="2826" t="s">
        <v>2656</v>
      </c>
      <c r="D75" s="2826" t="s">
        <v>2657</v>
      </c>
      <c r="E75" s="2852">
        <v>0.2</v>
      </c>
      <c r="F75" s="2852">
        <v>25</v>
      </c>
    </row>
    <row r="76" spans="1:7" ht="14.4">
      <c r="A76" s="2852">
        <v>4</v>
      </c>
      <c r="B76" s="3500"/>
      <c r="C76" s="2826" t="s">
        <v>2658</v>
      </c>
      <c r="D76" s="2826" t="s">
        <v>2659</v>
      </c>
      <c r="E76" s="2852">
        <v>0.15</v>
      </c>
      <c r="F76" s="2852">
        <v>20</v>
      </c>
    </row>
    <row r="77" spans="1:7" ht="24">
      <c r="A77" s="2852">
        <v>5</v>
      </c>
      <c r="B77" s="3500"/>
      <c r="C77" s="2826" t="s">
        <v>2660</v>
      </c>
      <c r="D77" s="2826" t="s">
        <v>2661</v>
      </c>
      <c r="E77" s="2852">
        <v>0.15</v>
      </c>
      <c r="F77" s="2852">
        <v>20</v>
      </c>
    </row>
    <row r="78" spans="1:7" ht="24">
      <c r="A78" s="2852">
        <v>6</v>
      </c>
      <c r="B78" s="3500"/>
      <c r="C78" s="2826" t="s">
        <v>2662</v>
      </c>
      <c r="D78" s="2826" t="s">
        <v>2663</v>
      </c>
      <c r="E78" s="2852">
        <v>0.15</v>
      </c>
      <c r="F78" s="2852">
        <v>20</v>
      </c>
    </row>
    <row r="79" spans="1:7" ht="24">
      <c r="A79" s="2852">
        <v>7</v>
      </c>
      <c r="B79" s="3500"/>
      <c r="C79" s="2826" t="s">
        <v>2664</v>
      </c>
      <c r="D79" s="2826" t="s">
        <v>2665</v>
      </c>
      <c r="E79" s="2852">
        <v>0.15</v>
      </c>
      <c r="F79" s="2852">
        <v>20</v>
      </c>
    </row>
    <row r="80" spans="1:7" ht="24">
      <c r="A80" s="2852">
        <v>8</v>
      </c>
      <c r="B80" s="3500"/>
      <c r="C80" s="2826" t="s">
        <v>2666</v>
      </c>
      <c r="D80" s="2826" t="s">
        <v>2667</v>
      </c>
      <c r="E80" s="2852">
        <v>0.1</v>
      </c>
      <c r="F80" s="2852">
        <v>15</v>
      </c>
    </row>
    <row r="81" spans="1:6" ht="24">
      <c r="A81" s="2852">
        <v>9</v>
      </c>
      <c r="B81" s="3500"/>
      <c r="C81" s="2826" t="s">
        <v>2668</v>
      </c>
      <c r="D81" s="2826" t="s">
        <v>2669</v>
      </c>
      <c r="E81" s="2852">
        <v>0.1</v>
      </c>
      <c r="F81" s="2852">
        <v>15</v>
      </c>
    </row>
    <row r="82" spans="1:6" ht="24">
      <c r="A82" s="2852">
        <v>10</v>
      </c>
      <c r="B82" s="3500"/>
      <c r="C82" s="2826" t="s">
        <v>2670</v>
      </c>
      <c r="D82" s="2826" t="s">
        <v>2671</v>
      </c>
      <c r="E82" s="2852">
        <v>0.1</v>
      </c>
      <c r="F82" s="2852">
        <v>15</v>
      </c>
    </row>
    <row r="83" spans="1:6" ht="24">
      <c r="A83" s="2852">
        <v>11</v>
      </c>
      <c r="B83" s="3500"/>
      <c r="C83" s="2826" t="s">
        <v>2672</v>
      </c>
      <c r="D83" s="2826" t="s">
        <v>2673</v>
      </c>
      <c r="E83" s="2852">
        <v>0.1</v>
      </c>
      <c r="F83" s="2852">
        <v>15</v>
      </c>
    </row>
    <row r="84" spans="1:6" ht="24">
      <c r="A84" s="2852">
        <v>12</v>
      </c>
      <c r="B84" s="3500"/>
      <c r="C84" s="2826" t="s">
        <v>2674</v>
      </c>
      <c r="D84" s="2826" t="s">
        <v>2675</v>
      </c>
      <c r="E84" s="2852">
        <v>0.1</v>
      </c>
      <c r="F84" s="2852">
        <v>15</v>
      </c>
    </row>
    <row r="85" spans="1:6" ht="24">
      <c r="A85" s="2852">
        <v>13</v>
      </c>
      <c r="B85" s="3500"/>
      <c r="C85" s="2826" t="s">
        <v>2676</v>
      </c>
      <c r="D85" s="2826" t="s">
        <v>2677</v>
      </c>
      <c r="E85" s="2852">
        <v>0.1</v>
      </c>
      <c r="F85" s="2852">
        <v>15</v>
      </c>
    </row>
    <row r="86" spans="1:6" ht="24">
      <c r="A86" s="2852">
        <v>14</v>
      </c>
      <c r="B86" s="3500"/>
      <c r="C86" s="2826" t="s">
        <v>2678</v>
      </c>
      <c r="D86" s="2826" t="s">
        <v>2679</v>
      </c>
      <c r="E86" s="2852">
        <v>0.1</v>
      </c>
      <c r="F86" s="2852">
        <v>15</v>
      </c>
    </row>
    <row r="87" spans="1:6" ht="24">
      <c r="A87" s="2852">
        <v>15</v>
      </c>
      <c r="B87" s="3500"/>
      <c r="C87" s="2826" t="s">
        <v>2680</v>
      </c>
      <c r="D87" s="2826" t="s">
        <v>2681</v>
      </c>
      <c r="E87" s="2852">
        <v>0.1</v>
      </c>
      <c r="F87" s="2852">
        <v>15</v>
      </c>
    </row>
    <row r="88" spans="1:6" ht="24">
      <c r="A88" s="2852">
        <v>16</v>
      </c>
      <c r="B88" s="3500"/>
      <c r="C88" s="2826" t="s">
        <v>2682</v>
      </c>
      <c r="D88" s="2826" t="s">
        <v>2683</v>
      </c>
      <c r="E88" s="2852">
        <v>0.1</v>
      </c>
      <c r="F88" s="2852">
        <v>15</v>
      </c>
    </row>
    <row r="89" spans="1:6" ht="24">
      <c r="A89" s="2852">
        <v>17</v>
      </c>
      <c r="B89" s="3499"/>
      <c r="C89" s="2826" t="s">
        <v>2684</v>
      </c>
      <c r="D89" s="2826" t="s">
        <v>2685</v>
      </c>
      <c r="E89" s="2852">
        <v>0.1</v>
      </c>
      <c r="F89" s="2852">
        <v>15</v>
      </c>
    </row>
    <row r="90" spans="1:6" ht="14.4">
      <c r="A90" s="2852">
        <v>18</v>
      </c>
      <c r="B90" s="3498" t="s">
        <v>2686</v>
      </c>
      <c r="C90" s="2826" t="s">
        <v>2687</v>
      </c>
      <c r="D90" s="2826" t="s">
        <v>2688</v>
      </c>
      <c r="E90" s="2852">
        <v>0.2</v>
      </c>
      <c r="F90" s="2852">
        <v>25</v>
      </c>
    </row>
    <row r="91" spans="1:6" ht="24">
      <c r="A91" s="2852">
        <v>19</v>
      </c>
      <c r="B91" s="3500"/>
      <c r="C91" s="2826" t="s">
        <v>2689</v>
      </c>
      <c r="D91" s="2826" t="s">
        <v>2690</v>
      </c>
      <c r="E91" s="2852">
        <v>0.2</v>
      </c>
      <c r="F91" s="2852">
        <v>25</v>
      </c>
    </row>
    <row r="92" spans="1:6" ht="14.4">
      <c r="A92" s="2852">
        <v>20</v>
      </c>
      <c r="B92" s="3500"/>
      <c r="C92" s="2826" t="s">
        <v>2691</v>
      </c>
      <c r="D92" s="2826" t="s">
        <v>2692</v>
      </c>
      <c r="E92" s="2852">
        <v>0.15</v>
      </c>
      <c r="F92" s="2852">
        <v>20</v>
      </c>
    </row>
    <row r="93" spans="1:6" ht="24">
      <c r="A93" s="2852">
        <v>21</v>
      </c>
      <c r="B93" s="3500"/>
      <c r="C93" s="2826" t="s">
        <v>2693</v>
      </c>
      <c r="D93" s="2826" t="s">
        <v>2694</v>
      </c>
      <c r="E93" s="2852">
        <v>0.15</v>
      </c>
      <c r="F93" s="2852">
        <v>20</v>
      </c>
    </row>
    <row r="94" spans="1:6" ht="24">
      <c r="A94" s="2852">
        <v>22</v>
      </c>
      <c r="B94" s="3500"/>
      <c r="C94" s="2826" t="s">
        <v>2695</v>
      </c>
      <c r="D94" s="2826" t="s">
        <v>2696</v>
      </c>
      <c r="E94" s="2852">
        <v>0.15</v>
      </c>
      <c r="F94" s="2852">
        <v>20</v>
      </c>
    </row>
    <row r="95" spans="1:6" ht="36">
      <c r="A95" s="2852">
        <v>23</v>
      </c>
      <c r="B95" s="3500"/>
      <c r="C95" s="2826" t="s">
        <v>2697</v>
      </c>
      <c r="D95" s="2826" t="s">
        <v>2698</v>
      </c>
      <c r="E95" s="2852">
        <v>0.15</v>
      </c>
      <c r="F95" s="2852">
        <v>20</v>
      </c>
    </row>
    <row r="96" spans="1:6" ht="24">
      <c r="A96" s="2852">
        <v>24</v>
      </c>
      <c r="B96" s="3500"/>
      <c r="C96" s="2826" t="s">
        <v>2699</v>
      </c>
      <c r="D96" s="2826" t="s">
        <v>2700</v>
      </c>
      <c r="E96" s="2852">
        <v>0.1</v>
      </c>
      <c r="F96" s="2852">
        <v>15</v>
      </c>
    </row>
    <row r="97" spans="1:6" ht="24">
      <c r="A97" s="2852">
        <v>25</v>
      </c>
      <c r="B97" s="3500"/>
      <c r="C97" s="2826" t="s">
        <v>2701</v>
      </c>
      <c r="D97" s="2826" t="s">
        <v>2702</v>
      </c>
      <c r="E97" s="2852">
        <v>0.1</v>
      </c>
      <c r="F97" s="2852">
        <v>15</v>
      </c>
    </row>
    <row r="98" spans="1:6" ht="24">
      <c r="A98" s="2852">
        <v>26</v>
      </c>
      <c r="B98" s="3500"/>
      <c r="C98" s="2826" t="s">
        <v>2703</v>
      </c>
      <c r="D98" s="2826" t="s">
        <v>2704</v>
      </c>
      <c r="E98" s="2852">
        <v>0.1</v>
      </c>
      <c r="F98" s="2852">
        <v>15</v>
      </c>
    </row>
    <row r="99" spans="1:6" ht="24">
      <c r="A99" s="2852">
        <v>27</v>
      </c>
      <c r="B99" s="3500"/>
      <c r="C99" s="2826" t="s">
        <v>2705</v>
      </c>
      <c r="D99" s="2826" t="s">
        <v>2706</v>
      </c>
      <c r="E99" s="2852">
        <v>0.1</v>
      </c>
      <c r="F99" s="2852">
        <v>15</v>
      </c>
    </row>
    <row r="100" spans="1:6" ht="24">
      <c r="A100" s="2852">
        <v>28</v>
      </c>
      <c r="B100" s="3500"/>
      <c r="C100" s="2826" t="s">
        <v>2707</v>
      </c>
      <c r="D100" s="2826" t="s">
        <v>2708</v>
      </c>
      <c r="E100" s="2852">
        <v>0.1</v>
      </c>
      <c r="F100" s="2852">
        <v>15</v>
      </c>
    </row>
    <row r="101" spans="1:6" ht="24">
      <c r="A101" s="2852">
        <v>29</v>
      </c>
      <c r="B101" s="3500"/>
      <c r="C101" s="2826" t="s">
        <v>2709</v>
      </c>
      <c r="D101" s="2826" t="s">
        <v>2710</v>
      </c>
      <c r="E101" s="2852">
        <v>0.1</v>
      </c>
      <c r="F101" s="2852">
        <v>15</v>
      </c>
    </row>
    <row r="102" spans="1:6" ht="24">
      <c r="A102" s="2852">
        <v>30</v>
      </c>
      <c r="B102" s="3500"/>
      <c r="C102" s="2826" t="s">
        <v>2711</v>
      </c>
      <c r="D102" s="2826" t="s">
        <v>2712</v>
      </c>
      <c r="E102" s="2852">
        <v>0.1</v>
      </c>
      <c r="F102" s="2852">
        <v>15</v>
      </c>
    </row>
    <row r="103" spans="1:6" ht="24">
      <c r="A103" s="2852">
        <v>31</v>
      </c>
      <c r="B103" s="3500"/>
      <c r="C103" s="2826" t="s">
        <v>2713</v>
      </c>
      <c r="D103" s="2826" t="s">
        <v>2714</v>
      </c>
      <c r="E103" s="2852">
        <v>0.1</v>
      </c>
      <c r="F103" s="2852">
        <v>15</v>
      </c>
    </row>
    <row r="104" spans="1:6" ht="24">
      <c r="A104" s="2852">
        <v>32</v>
      </c>
      <c r="B104" s="3500"/>
      <c r="C104" s="2826" t="s">
        <v>2715</v>
      </c>
      <c r="D104" s="2826" t="s">
        <v>2716</v>
      </c>
      <c r="E104" s="2852">
        <v>0.1</v>
      </c>
      <c r="F104" s="2852">
        <v>15</v>
      </c>
    </row>
    <row r="105" spans="1:6" ht="24">
      <c r="A105" s="2852">
        <v>33</v>
      </c>
      <c r="B105" s="3500"/>
      <c r="C105" s="2826" t="s">
        <v>2717</v>
      </c>
      <c r="D105" s="2826" t="s">
        <v>2718</v>
      </c>
      <c r="E105" s="2852">
        <v>0.1</v>
      </c>
      <c r="F105" s="2852">
        <v>15</v>
      </c>
    </row>
    <row r="106" spans="1:6" ht="24">
      <c r="A106" s="2852">
        <v>34</v>
      </c>
      <c r="B106" s="3499"/>
      <c r="C106" s="2826" t="s">
        <v>2719</v>
      </c>
      <c r="D106" s="2826" t="s">
        <v>2720</v>
      </c>
      <c r="E106" s="2852">
        <v>0.1</v>
      </c>
      <c r="F106" s="2852">
        <v>15</v>
      </c>
    </row>
    <row r="107" spans="1:6" ht="36">
      <c r="A107" s="2852">
        <v>35</v>
      </c>
      <c r="B107" s="3498" t="s">
        <v>2721</v>
      </c>
      <c r="C107" s="2852" t="s">
        <v>2722</v>
      </c>
      <c r="D107" s="2826" t="s">
        <v>2723</v>
      </c>
      <c r="E107" s="2852">
        <v>0.15</v>
      </c>
      <c r="F107" s="2852">
        <v>20</v>
      </c>
    </row>
    <row r="108" spans="1:6" ht="24">
      <c r="A108" s="2852">
        <v>36</v>
      </c>
      <c r="B108" s="3500"/>
      <c r="C108" s="2852" t="s">
        <v>2724</v>
      </c>
      <c r="D108" s="2826" t="s">
        <v>2725</v>
      </c>
      <c r="E108" s="2852">
        <v>0.15</v>
      </c>
      <c r="F108" s="2852">
        <v>20</v>
      </c>
    </row>
    <row r="109" spans="1:6" ht="24">
      <c r="A109" s="2852">
        <v>37</v>
      </c>
      <c r="B109" s="3500"/>
      <c r="C109" s="2852" t="s">
        <v>2726</v>
      </c>
      <c r="D109" s="2826" t="s">
        <v>2727</v>
      </c>
      <c r="E109" s="2852">
        <v>0.15</v>
      </c>
      <c r="F109" s="2852">
        <v>20</v>
      </c>
    </row>
    <row r="110" spans="1:6" ht="24">
      <c r="A110" s="2852">
        <v>38</v>
      </c>
      <c r="B110" s="3500"/>
      <c r="C110" s="2852" t="s">
        <v>2728</v>
      </c>
      <c r="D110" s="2826" t="s">
        <v>2729</v>
      </c>
      <c r="E110" s="2852">
        <v>0.1</v>
      </c>
      <c r="F110" s="2852">
        <v>15</v>
      </c>
    </row>
    <row r="111" spans="1:6" ht="24">
      <c r="A111" s="2852">
        <v>39</v>
      </c>
      <c r="B111" s="3500"/>
      <c r="C111" s="2852" t="s">
        <v>2730</v>
      </c>
      <c r="D111" s="2826" t="s">
        <v>2731</v>
      </c>
      <c r="E111" s="2852">
        <v>0.1</v>
      </c>
      <c r="F111" s="2852">
        <v>15</v>
      </c>
    </row>
    <row r="112" spans="1:6" ht="24">
      <c r="A112" s="2852">
        <v>40</v>
      </c>
      <c r="B112" s="3499"/>
      <c r="C112" s="2852" t="s">
        <v>2732</v>
      </c>
      <c r="D112" s="2826" t="s">
        <v>2733</v>
      </c>
      <c r="E112" s="2852">
        <v>0.1</v>
      </c>
      <c r="F112" s="2852">
        <v>15</v>
      </c>
    </row>
    <row r="113" spans="1:6" ht="24">
      <c r="A113" s="2852">
        <v>41</v>
      </c>
      <c r="B113" s="3497" t="s">
        <v>2734</v>
      </c>
      <c r="C113" s="2852" t="s">
        <v>2735</v>
      </c>
      <c r="D113" s="2826" t="s">
        <v>2736</v>
      </c>
      <c r="E113" s="2852">
        <v>0.1</v>
      </c>
      <c r="F113" s="2852">
        <v>15</v>
      </c>
    </row>
    <row r="114" spans="1:6" ht="24">
      <c r="A114" s="2852">
        <v>42</v>
      </c>
      <c r="B114" s="3497"/>
      <c r="C114" s="2852" t="s">
        <v>2737</v>
      </c>
      <c r="D114" s="2826" t="s">
        <v>2738</v>
      </c>
      <c r="E114" s="2852">
        <v>0.1</v>
      </c>
      <c r="F114" s="2852">
        <v>15</v>
      </c>
    </row>
    <row r="115" spans="1:6" ht="24">
      <c r="A115" s="2852">
        <v>43</v>
      </c>
      <c r="B115" s="3497"/>
      <c r="C115" s="2852" t="s">
        <v>2739</v>
      </c>
      <c r="D115" s="2826" t="s">
        <v>2740</v>
      </c>
      <c r="E115" s="2852">
        <v>0.1</v>
      </c>
      <c r="F115" s="2852">
        <v>15</v>
      </c>
    </row>
    <row r="116" spans="1:6" ht="24">
      <c r="A116" s="2852">
        <v>44</v>
      </c>
      <c r="B116" s="3498" t="s">
        <v>2741</v>
      </c>
      <c r="C116" s="2852" t="s">
        <v>2742</v>
      </c>
      <c r="D116" s="2826" t="s">
        <v>2743</v>
      </c>
      <c r="E116" s="2852">
        <v>0.1</v>
      </c>
      <c r="F116" s="2852">
        <v>15</v>
      </c>
    </row>
    <row r="117" spans="1:6" ht="24">
      <c r="A117" s="2852">
        <v>45</v>
      </c>
      <c r="B117" s="3499"/>
      <c r="C117" s="2826" t="s">
        <v>2744</v>
      </c>
      <c r="D117" s="2826" t="s">
        <v>2745</v>
      </c>
      <c r="E117" s="2852">
        <v>0.1</v>
      </c>
      <c r="F117" s="2852">
        <v>15</v>
      </c>
    </row>
    <row r="118" spans="1:6" ht="24">
      <c r="A118" s="2852">
        <v>46</v>
      </c>
      <c r="B118" s="3498" t="s">
        <v>2746</v>
      </c>
      <c r="C118" s="2852" t="s">
        <v>2747</v>
      </c>
      <c r="D118" s="2826" t="s">
        <v>2748</v>
      </c>
      <c r="E118" s="2852">
        <v>0.1</v>
      </c>
      <c r="F118" s="2852">
        <v>15</v>
      </c>
    </row>
    <row r="119" spans="1:6" ht="24">
      <c r="A119" s="2852">
        <v>47</v>
      </c>
      <c r="B119" s="3499"/>
      <c r="C119" s="2852" t="s">
        <v>2749</v>
      </c>
      <c r="D119" s="2826" t="s">
        <v>2750</v>
      </c>
      <c r="E119" s="2852">
        <v>0.1</v>
      </c>
      <c r="F119" s="2852">
        <v>15</v>
      </c>
    </row>
    <row r="120" spans="1:6" ht="24">
      <c r="A120" s="2852">
        <v>48</v>
      </c>
      <c r="B120" s="3498" t="s">
        <v>2751</v>
      </c>
      <c r="C120" s="2852" t="s">
        <v>2752</v>
      </c>
      <c r="D120" s="2826" t="s">
        <v>2753</v>
      </c>
      <c r="E120" s="2852">
        <v>0.1</v>
      </c>
      <c r="F120" s="2852">
        <v>15</v>
      </c>
    </row>
    <row r="121" spans="1:6" ht="24">
      <c r="A121" s="2852">
        <v>49</v>
      </c>
      <c r="B121" s="3499"/>
      <c r="C121" s="2852" t="s">
        <v>2754</v>
      </c>
      <c r="D121" s="2826" t="s">
        <v>2755</v>
      </c>
      <c r="E121" s="2852">
        <v>0.1</v>
      </c>
      <c r="F121" s="2852">
        <v>15</v>
      </c>
    </row>
    <row r="122" spans="1:6" ht="24">
      <c r="A122" s="2852">
        <v>50</v>
      </c>
      <c r="B122" s="3497" t="s">
        <v>2756</v>
      </c>
      <c r="C122" s="2852" t="s">
        <v>2757</v>
      </c>
      <c r="D122" s="2826" t="s">
        <v>2758</v>
      </c>
      <c r="E122" s="2852">
        <v>0.1</v>
      </c>
      <c r="F122" s="2852">
        <v>15</v>
      </c>
    </row>
    <row r="123" spans="1:6" ht="24">
      <c r="A123" s="2852">
        <v>51</v>
      </c>
      <c r="B123" s="3497"/>
      <c r="C123" s="2852" t="s">
        <v>2759</v>
      </c>
      <c r="D123" s="2826" t="s">
        <v>2760</v>
      </c>
      <c r="E123" s="2852">
        <v>0.1</v>
      </c>
      <c r="F123" s="2852">
        <v>15</v>
      </c>
    </row>
    <row r="124" spans="1:6" ht="24">
      <c r="A124" s="2852">
        <v>52</v>
      </c>
      <c r="B124" s="3497" t="s">
        <v>2761</v>
      </c>
      <c r="C124" s="2852" t="s">
        <v>2762</v>
      </c>
      <c r="D124" s="2826" t="s">
        <v>2763</v>
      </c>
      <c r="E124" s="2852">
        <v>0.1</v>
      </c>
      <c r="F124" s="2852">
        <v>15</v>
      </c>
    </row>
    <row r="125" spans="1:6" ht="24">
      <c r="A125" s="2852">
        <v>53</v>
      </c>
      <c r="B125" s="3497"/>
      <c r="C125" s="2852" t="s">
        <v>2764</v>
      </c>
      <c r="D125" s="2826" t="s">
        <v>2765</v>
      </c>
      <c r="E125" s="2852">
        <v>0.1</v>
      </c>
      <c r="F125" s="2852">
        <v>15</v>
      </c>
    </row>
    <row r="126" spans="1:6" ht="24">
      <c r="A126" s="2852">
        <v>54</v>
      </c>
      <c r="B126" s="2852" t="s">
        <v>2766</v>
      </c>
      <c r="C126" s="2852" t="s">
        <v>2767</v>
      </c>
      <c r="D126" s="2826" t="s">
        <v>2768</v>
      </c>
      <c r="E126" s="2852">
        <v>0.1</v>
      </c>
      <c r="F126" s="2852">
        <v>15</v>
      </c>
    </row>
    <row r="127" spans="1:6" ht="24">
      <c r="A127" s="2852">
        <v>55</v>
      </c>
      <c r="B127" s="3497" t="s">
        <v>2769</v>
      </c>
      <c r="C127" s="2852" t="s">
        <v>2770</v>
      </c>
      <c r="D127" s="2826" t="s">
        <v>2771</v>
      </c>
      <c r="E127" s="2852">
        <v>0.1</v>
      </c>
      <c r="F127" s="2852">
        <v>15</v>
      </c>
    </row>
    <row r="128" spans="1:6" ht="24">
      <c r="A128" s="2852">
        <v>56</v>
      </c>
      <c r="B128" s="3497"/>
      <c r="C128" s="2852" t="s">
        <v>2772</v>
      </c>
      <c r="D128" s="2826" t="s">
        <v>2773</v>
      </c>
      <c r="E128" s="2852">
        <v>0.1</v>
      </c>
      <c r="F128" s="2852">
        <v>15</v>
      </c>
    </row>
    <row r="129" spans="1:6" ht="24">
      <c r="A129" s="2852">
        <v>57</v>
      </c>
      <c r="B129" s="3497"/>
      <c r="C129" s="2852" t="s">
        <v>2774</v>
      </c>
      <c r="D129" s="2826" t="s">
        <v>2775</v>
      </c>
      <c r="E129" s="2852">
        <v>0.1</v>
      </c>
      <c r="F129" s="2852">
        <v>15</v>
      </c>
    </row>
    <row r="130" spans="1:6" ht="24">
      <c r="A130" s="2852">
        <v>58</v>
      </c>
      <c r="B130" s="3497" t="s">
        <v>2776</v>
      </c>
      <c r="C130" s="2852" t="s">
        <v>2777</v>
      </c>
      <c r="D130" s="2826" t="s">
        <v>2778</v>
      </c>
      <c r="E130" s="2852">
        <v>0.1</v>
      </c>
      <c r="F130" s="2852">
        <v>15</v>
      </c>
    </row>
    <row r="131" spans="1:6" ht="24">
      <c r="A131" s="2852">
        <v>59</v>
      </c>
      <c r="B131" s="3497"/>
      <c r="C131" s="2852" t="s">
        <v>2779</v>
      </c>
      <c r="D131" s="2826" t="s">
        <v>2780</v>
      </c>
      <c r="E131" s="2852">
        <v>0.1</v>
      </c>
      <c r="F131" s="2852">
        <v>15</v>
      </c>
    </row>
    <row r="132" spans="1:6" ht="24">
      <c r="A132" s="2852">
        <v>60</v>
      </c>
      <c r="B132" s="3498" t="s">
        <v>2781</v>
      </c>
      <c r="C132" s="2852" t="s">
        <v>2782</v>
      </c>
      <c r="D132" s="2826" t="s">
        <v>2783</v>
      </c>
      <c r="E132" s="2852">
        <v>0.1</v>
      </c>
      <c r="F132" s="2852">
        <v>15</v>
      </c>
    </row>
    <row r="133" spans="1:6" ht="24">
      <c r="A133" s="2852">
        <v>61</v>
      </c>
      <c r="B133" s="3499"/>
      <c r="C133" s="2852" t="s">
        <v>2784</v>
      </c>
      <c r="D133" s="2826" t="s">
        <v>2785</v>
      </c>
      <c r="E133" s="2852">
        <v>0.1</v>
      </c>
      <c r="F133" s="2852">
        <v>15</v>
      </c>
    </row>
    <row r="134" spans="1:6" ht="24">
      <c r="A134" s="2852">
        <v>62</v>
      </c>
      <c r="B134" s="2852" t="s">
        <v>2786</v>
      </c>
      <c r="C134" s="2852" t="s">
        <v>2787</v>
      </c>
      <c r="D134" s="2826" t="s">
        <v>2788</v>
      </c>
      <c r="E134" s="2852">
        <v>0.1</v>
      </c>
      <c r="F134" s="2852">
        <v>15</v>
      </c>
    </row>
    <row r="135" spans="1:6" ht="24">
      <c r="A135" s="2852">
        <v>63</v>
      </c>
      <c r="B135" s="3497" t="s">
        <v>2789</v>
      </c>
      <c r="C135" s="2852" t="s">
        <v>2790</v>
      </c>
      <c r="D135" s="2826" t="s">
        <v>2791</v>
      </c>
      <c r="E135" s="2852">
        <v>0.1</v>
      </c>
      <c r="F135" s="2852">
        <v>15</v>
      </c>
    </row>
    <row r="136" spans="1:6" ht="24">
      <c r="A136" s="2852">
        <v>64</v>
      </c>
      <c r="B136" s="3497"/>
      <c r="C136" s="2852" t="s">
        <v>2792</v>
      </c>
      <c r="D136" s="2826" t="s">
        <v>2793</v>
      </c>
      <c r="E136" s="2852">
        <v>0.1</v>
      </c>
      <c r="F136" s="2852">
        <v>15</v>
      </c>
    </row>
    <row r="137" spans="1:6" ht="24">
      <c r="A137" s="2852">
        <v>65</v>
      </c>
      <c r="B137" s="2852" t="s">
        <v>2794</v>
      </c>
      <c r="C137" s="2852" t="s">
        <v>2795</v>
      </c>
      <c r="D137" s="2826" t="s">
        <v>2796</v>
      </c>
      <c r="E137" s="2852">
        <v>0.1</v>
      </c>
      <c r="F137" s="2852">
        <v>15</v>
      </c>
    </row>
    <row r="138" spans="1:6" ht="14.4">
      <c r="A138" s="2852"/>
      <c r="B138" s="2852"/>
      <c r="C138" s="2852"/>
      <c r="D138" s="2852"/>
      <c r="E138" s="2852" t="s">
        <v>2797</v>
      </c>
      <c r="F138" s="2852"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2798</v>
      </c>
      <c r="B1" s="2860"/>
      <c r="C1" s="2860"/>
      <c r="D1" s="2860"/>
      <c r="E1" s="2860"/>
      <c r="F1" s="2860"/>
      <c r="G1" s="2860"/>
      <c r="H1" s="2860"/>
      <c r="I1" s="2860"/>
      <c r="J1" s="2860"/>
      <c r="K1" s="2860"/>
      <c r="L1" s="2860"/>
      <c r="M1" s="2860"/>
      <c r="N1" s="707"/>
    </row>
    <row r="2" spans="1:20">
      <c r="A2" s="2861" t="s">
        <v>2799</v>
      </c>
      <c r="B2" s="2862" t="s">
        <v>2595</v>
      </c>
      <c r="C2" s="2862" t="s">
        <v>2596</v>
      </c>
      <c r="D2" s="2862" t="s">
        <v>2597</v>
      </c>
      <c r="E2" s="2862" t="s">
        <v>2598</v>
      </c>
      <c r="F2" s="2862" t="s">
        <v>2599</v>
      </c>
      <c r="G2" s="2862" t="s">
        <v>2600</v>
      </c>
      <c r="H2" s="2863" t="s">
        <v>2601</v>
      </c>
      <c r="I2" s="2863" t="s">
        <v>2602</v>
      </c>
      <c r="J2" s="2864" t="s">
        <v>2603</v>
      </c>
      <c r="K2" s="2864" t="s">
        <v>2604</v>
      </c>
      <c r="L2" s="2864" t="s">
        <v>2605</v>
      </c>
      <c r="M2" s="2865" t="s">
        <v>2606</v>
      </c>
      <c r="Q2" s="2875" t="s">
        <v>2804</v>
      </c>
      <c r="R2" s="2875" t="s">
        <v>2805</v>
      </c>
      <c r="S2" s="2875" t="s">
        <v>2806</v>
      </c>
      <c r="T2" s="2875" t="s">
        <v>2807</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2800</v>
      </c>
      <c r="B93" s="2860"/>
      <c r="C93" s="2860"/>
      <c r="D93" s="2860"/>
      <c r="E93" s="2860"/>
      <c r="F93" s="2860"/>
      <c r="G93" s="2860"/>
      <c r="H93" s="2860"/>
      <c r="I93" s="2860"/>
      <c r="J93" s="2860"/>
      <c r="K93" s="2860"/>
      <c r="L93" s="2860"/>
      <c r="M93" s="2860"/>
    </row>
    <row r="94" spans="1:20">
      <c r="A94" s="2861" t="s">
        <v>2799</v>
      </c>
      <c r="B94" s="2862" t="s">
        <v>2595</v>
      </c>
      <c r="C94" s="2862" t="s">
        <v>2596</v>
      </c>
      <c r="D94" s="2862" t="s">
        <v>2597</v>
      </c>
      <c r="E94" s="2862" t="s">
        <v>2598</v>
      </c>
      <c r="F94" s="2862" t="s">
        <v>2599</v>
      </c>
      <c r="G94" s="2862" t="s">
        <v>2600</v>
      </c>
      <c r="H94" s="2863" t="s">
        <v>2601</v>
      </c>
      <c r="I94" s="2863" t="s">
        <v>2602</v>
      </c>
      <c r="J94" s="2864" t="s">
        <v>2603</v>
      </c>
      <c r="K94" s="2864" t="s">
        <v>2604</v>
      </c>
      <c r="L94" s="2864" t="s">
        <v>2605</v>
      </c>
      <c r="M94" s="2865" t="s">
        <v>2606</v>
      </c>
      <c r="N94">
        <f>SUMPRODUCT((A95:A184=ROUNDDOWN(基准地价修正!G3,1))*(B94:M94=基准地价修正!G2)*(B95:M184))</f>
        <v>0</v>
      </c>
      <c r="Q94" s="2875" t="s">
        <v>2804</v>
      </c>
      <c r="R94" s="2875" t="s">
        <v>2805</v>
      </c>
      <c r="S94" s="2875" t="s">
        <v>2806</v>
      </c>
      <c r="T94" s="2875" t="s">
        <v>2807</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2801</v>
      </c>
      <c r="B185" s="2860"/>
      <c r="C185" s="2860"/>
      <c r="D185" s="2860"/>
      <c r="E185" s="2860"/>
      <c r="F185" s="2860"/>
      <c r="G185" s="2860"/>
      <c r="H185" s="2860"/>
      <c r="I185" s="2860"/>
      <c r="J185" s="2860"/>
      <c r="K185" s="2860"/>
      <c r="L185" s="2860"/>
      <c r="M185" s="2860"/>
    </row>
    <row r="186" spans="1:20">
      <c r="A186" s="2861" t="s">
        <v>2799</v>
      </c>
      <c r="B186" s="2862" t="s">
        <v>2595</v>
      </c>
      <c r="C186" s="2862" t="s">
        <v>2596</v>
      </c>
      <c r="D186" s="2862" t="s">
        <v>2597</v>
      </c>
      <c r="E186" s="2862" t="s">
        <v>2598</v>
      </c>
      <c r="F186" s="2862" t="s">
        <v>2599</v>
      </c>
      <c r="G186" s="2862" t="s">
        <v>2600</v>
      </c>
      <c r="H186" s="2863" t="s">
        <v>2601</v>
      </c>
      <c r="I186" s="2863" t="s">
        <v>2602</v>
      </c>
      <c r="J186" s="2864" t="s">
        <v>2603</v>
      </c>
      <c r="K186" s="2864" t="s">
        <v>2604</v>
      </c>
      <c r="L186" s="2864" t="s">
        <v>2605</v>
      </c>
      <c r="M186" s="2865" t="s">
        <v>2606</v>
      </c>
      <c r="Q186" s="2875" t="s">
        <v>2804</v>
      </c>
      <c r="R186" s="2875" t="s">
        <v>2805</v>
      </c>
      <c r="S186" s="2875" t="s">
        <v>2806</v>
      </c>
      <c r="T186" s="2875" t="s">
        <v>2807</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2802</v>
      </c>
      <c r="B277" s="2860"/>
      <c r="C277" s="2860"/>
      <c r="D277" s="2860"/>
      <c r="E277" s="2860"/>
      <c r="F277" s="2860"/>
      <c r="G277" s="2860"/>
      <c r="H277" s="2860"/>
      <c r="I277" s="2860"/>
      <c r="J277" s="2860"/>
      <c r="K277" s="2860"/>
      <c r="L277" s="2860"/>
      <c r="M277" s="2860"/>
    </row>
    <row r="278" spans="1:21">
      <c r="A278" s="2861" t="s">
        <v>2799</v>
      </c>
      <c r="B278" s="2862" t="s">
        <v>2595</v>
      </c>
      <c r="C278" s="2862" t="s">
        <v>2596</v>
      </c>
      <c r="D278" s="2862" t="s">
        <v>2597</v>
      </c>
      <c r="E278" s="2862" t="s">
        <v>2598</v>
      </c>
      <c r="F278" s="2862" t="s">
        <v>2599</v>
      </c>
      <c r="G278" s="2862" t="s">
        <v>2600</v>
      </c>
      <c r="H278" s="2863" t="s">
        <v>2601</v>
      </c>
      <c r="I278" s="2863" t="s">
        <v>2602</v>
      </c>
      <c r="J278" s="2864" t="s">
        <v>2603</v>
      </c>
      <c r="K278" s="2864" t="s">
        <v>2604</v>
      </c>
      <c r="L278" s="2864" t="s">
        <v>2605</v>
      </c>
      <c r="M278" s="2865" t="s">
        <v>2606</v>
      </c>
      <c r="Q278" s="2875" t="s">
        <v>2804</v>
      </c>
      <c r="R278" s="2875" t="s">
        <v>2805</v>
      </c>
      <c r="S278" s="2875" t="s">
        <v>2808</v>
      </c>
      <c r="T278" s="2875" t="s">
        <v>2809</v>
      </c>
      <c r="U278" s="2875" t="s">
        <v>2807</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2803</v>
      </c>
      <c r="B369" s="2873"/>
      <c r="C369" s="2873"/>
      <c r="D369" s="2873"/>
      <c r="E369" s="2873"/>
      <c r="F369" s="2873"/>
      <c r="G369" s="2873"/>
      <c r="H369" s="2873"/>
      <c r="I369" s="2873"/>
      <c r="J369" s="2873"/>
      <c r="K369" s="2873"/>
      <c r="L369" s="2873"/>
      <c r="M369" s="2873"/>
    </row>
    <row r="370" spans="1:20">
      <c r="A370" s="2861" t="s">
        <v>2799</v>
      </c>
      <c r="B370" s="2862" t="s">
        <v>2595</v>
      </c>
      <c r="C370" s="2862" t="s">
        <v>2596</v>
      </c>
      <c r="D370" s="2862" t="s">
        <v>2597</v>
      </c>
      <c r="E370" s="2862" t="s">
        <v>2598</v>
      </c>
      <c r="F370" s="2862" t="s">
        <v>2599</v>
      </c>
      <c r="G370" s="2862" t="s">
        <v>2600</v>
      </c>
      <c r="H370" s="2863" t="s">
        <v>2601</v>
      </c>
      <c r="I370" s="2863" t="s">
        <v>2602</v>
      </c>
      <c r="J370" s="2864" t="s">
        <v>2603</v>
      </c>
      <c r="K370" s="2864" t="s">
        <v>2604</v>
      </c>
      <c r="L370" s="2864" t="s">
        <v>2605</v>
      </c>
      <c r="M370" s="2865" t="s">
        <v>2606</v>
      </c>
      <c r="N370">
        <f>SUMPRODUCT((A371:A460=ROUNDDOWN(基准地价修正!G3,1))*(B370:M370=基准地价修正!G2)*(B371:M460))</f>
        <v>0</v>
      </c>
      <c r="Q370" s="2875" t="s">
        <v>2804</v>
      </c>
      <c r="R370" s="2875" t="s">
        <v>2805</v>
      </c>
      <c r="S370" s="2875" t="s">
        <v>2806</v>
      </c>
      <c r="T370" s="2875" t="s">
        <v>2807</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33559</v>
      </c>
      <c r="C2" s="2" t="s">
        <v>106</v>
      </c>
      <c r="D2" s="191"/>
      <c r="E2" s="191"/>
      <c r="F2" s="191"/>
      <c r="G2" s="191"/>
    </row>
    <row r="3" spans="1:7" s="192" customFormat="1" ht="18" customHeight="1" thickBot="1">
      <c r="A3" s="195" t="s">
        <v>58</v>
      </c>
      <c r="B3" s="196">
        <f ca="1">ROUND(B2*10000/'数据-汇总表'!E3,0)</f>
        <v>11342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89</v>
      </c>
      <c r="D10" s="795">
        <f>'数据-汇总表'!E6</f>
        <v>29587.64</v>
      </c>
      <c r="E10" s="217">
        <f>'数据-取费表'!B28</f>
        <v>30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592</v>
      </c>
      <c r="D19" s="204">
        <f>'数据-汇总表'!E3</f>
        <v>29587.64</v>
      </c>
      <c r="E19" s="203">
        <f>'数据-取费表'!B31</f>
        <v>200</v>
      </c>
      <c r="F19" s="223"/>
      <c r="G19" s="1" t="s">
        <v>436</v>
      </c>
    </row>
    <row r="20" spans="1:7" s="206" customFormat="1" ht="13.5" customHeight="1">
      <c r="A20" s="731" t="s">
        <v>419</v>
      </c>
      <c r="B20" s="202" t="s">
        <v>77</v>
      </c>
      <c r="C20" s="224">
        <f>ROUND((C5+C19)*F20,0)</f>
        <v>424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664</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1081</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1081</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25230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8254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7297</v>
      </c>
      <c r="D34" s="209"/>
      <c r="E34" s="212"/>
      <c r="F34" s="249">
        <f>IF('数据-取费表'!B24=0,1,'数据-取费表'!N16)</f>
        <v>1</v>
      </c>
      <c r="G34" s="211" t="s">
        <v>89</v>
      </c>
    </row>
    <row r="35" spans="1:7" ht="13.5" customHeight="1">
      <c r="A35" s="734" t="s">
        <v>351</v>
      </c>
      <c r="B35" s="207" t="s">
        <v>33</v>
      </c>
      <c r="C35" s="212">
        <f>ROUND(C34*F35,0)</f>
        <v>219</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592</v>
      </c>
      <c r="D37" s="209">
        <f>'数据-汇总表'!E3</f>
        <v>29587.64</v>
      </c>
      <c r="E37" s="241">
        <f>'数据-取费表'!B35</f>
        <v>200</v>
      </c>
      <c r="F37" s="251"/>
      <c r="G37" s="253" t="s">
        <v>92</v>
      </c>
    </row>
    <row r="38" spans="1:7" ht="13.5" customHeight="1">
      <c r="A38" s="734" t="s">
        <v>354</v>
      </c>
      <c r="B38" s="207" t="s">
        <v>36</v>
      </c>
      <c r="C38" s="212">
        <f>ROUND(C34*F38,0)</f>
        <v>146</v>
      </c>
      <c r="D38" s="212"/>
      <c r="E38" s="212"/>
      <c r="F38" s="251">
        <f>'数据-取费表'!B36</f>
        <v>0.02</v>
      </c>
      <c r="G38" s="211" t="s">
        <v>90</v>
      </c>
    </row>
    <row r="39" spans="1:7" s="206" customFormat="1" ht="13.5" customHeight="1">
      <c r="A39" s="731" t="s">
        <v>338</v>
      </c>
      <c r="B39" s="202" t="s">
        <v>77</v>
      </c>
      <c r="C39" s="224">
        <f>ROUND(C33*F20,0)</f>
        <v>165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128</v>
      </c>
      <c r="D42" s="230"/>
      <c r="E42" s="230"/>
      <c r="F42" s="231"/>
      <c r="G42" s="3374" t="s">
        <v>94</v>
      </c>
    </row>
    <row r="43" spans="1:7" ht="13.5" customHeight="1">
      <c r="A43" s="734" t="s">
        <v>347</v>
      </c>
      <c r="B43" s="207" t="s">
        <v>426</v>
      </c>
      <c r="C43" s="230">
        <f ca="1">ROUND(IF('数据-取费表'!B22&lt;=1,C39*F22*'数据-取费表'!B21/2,C39*(POWER((1+F22),'数据-取费表'!B21/2)-1)),0)</f>
        <v>3</v>
      </c>
      <c r="D43" s="230"/>
      <c r="E43" s="230"/>
      <c r="F43" s="231"/>
      <c r="G43" s="3375"/>
    </row>
    <row r="44" spans="1:7" ht="13.5" customHeight="1">
      <c r="A44" s="734" t="s">
        <v>348</v>
      </c>
      <c r="B44" s="207" t="s">
        <v>428</v>
      </c>
      <c r="C44" s="230">
        <f ca="1">ROUND(IF('数据-取费表'!B22&lt;=1,C40*F22*'数据-取费表'!B21/2,C40*(POWER((1+F22),'数据-取费表'!B21/2)-1)),4)</f>
        <v>2.9999999999999997E-4</v>
      </c>
      <c r="D44" s="230"/>
      <c r="E44" s="230"/>
      <c r="F44" s="231"/>
      <c r="G44" s="3376"/>
    </row>
    <row r="45" spans="1:7" s="206" customFormat="1" ht="13.5" customHeight="1">
      <c r="A45" s="731" t="s">
        <v>341</v>
      </c>
      <c r="B45" s="236" t="s">
        <v>85</v>
      </c>
      <c r="C45" s="237">
        <f>C46</f>
        <v>421</v>
      </c>
      <c r="D45" s="227">
        <f>C47</f>
        <v>1E-3</v>
      </c>
      <c r="E45" s="228" t="s">
        <v>102</v>
      </c>
      <c r="F45" s="238"/>
      <c r="G45" s="239" t="s">
        <v>434</v>
      </c>
    </row>
    <row r="46" spans="1:7" s="206" customFormat="1" ht="13.5" customHeight="1">
      <c r="A46" s="734" t="s">
        <v>349</v>
      </c>
      <c r="B46" s="240" t="s">
        <v>427</v>
      </c>
      <c r="C46" s="241">
        <f>ROUND((C33+C39)*F27,0)</f>
        <v>421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9685</v>
      </c>
      <c r="D49" s="224"/>
      <c r="E49" s="224"/>
      <c r="F49" s="256"/>
      <c r="G49" s="226" t="s">
        <v>435</v>
      </c>
    </row>
    <row r="50" spans="1:7" s="250" customFormat="1" ht="24">
      <c r="A50" s="731" t="s">
        <v>344</v>
      </c>
      <c r="B50" s="202" t="s">
        <v>97</v>
      </c>
      <c r="C50" s="224"/>
      <c r="D50" s="224"/>
      <c r="E50" s="224"/>
      <c r="F50" s="256">
        <f>IF('数据-取费表'!B24=0,'数据-取费表'!N16,1)</f>
        <v>0.86</v>
      </c>
      <c r="G50" s="239" t="s">
        <v>98</v>
      </c>
    </row>
    <row r="51" spans="1:7" ht="16.5" customHeight="1">
      <c r="A51" s="731" t="s">
        <v>345</v>
      </c>
      <c r="B51" s="202" t="s">
        <v>105</v>
      </c>
      <c r="C51" s="224">
        <f ca="1">ROUND(C49*F50,0)</f>
        <v>8329</v>
      </c>
      <c r="D51" s="224"/>
      <c r="E51" s="224"/>
      <c r="F51" s="256"/>
      <c r="G51" s="226" t="s">
        <v>37</v>
      </c>
    </row>
    <row r="52" spans="1:7" s="200" customFormat="1" ht="16.8" thickBot="1">
      <c r="A52" s="257" t="s">
        <v>38</v>
      </c>
      <c r="B52" s="258"/>
      <c r="C52" s="259">
        <f ca="1">C31+C51</f>
        <v>33559</v>
      </c>
      <c r="D52" s="258"/>
      <c r="E52" s="258"/>
      <c r="F52" s="258"/>
      <c r="G52" s="260"/>
    </row>
    <row r="55" spans="1:7" ht="15">
      <c r="B55" s="262" t="s">
        <v>39</v>
      </c>
      <c r="C55" s="263"/>
    </row>
    <row r="56" spans="1:7">
      <c r="B56" s="265" t="s">
        <v>40</v>
      </c>
      <c r="C56" s="266">
        <f ca="1">ROUND(C51/C52,3)</f>
        <v>0.248</v>
      </c>
    </row>
    <row r="57" spans="1:7">
      <c r="B57" s="265" t="s">
        <v>41</v>
      </c>
      <c r="C57" s="267">
        <f ca="1">1-C56</f>
        <v>0.752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8" thickBot="1">
      <c r="A4" s="1391"/>
      <c r="B4" s="3193" t="s">
        <v>917</v>
      </c>
      <c r="C4" s="3193"/>
      <c r="D4" s="3193"/>
      <c r="E4" s="1391"/>
    </row>
    <row r="5" spans="1:5" ht="16.2" thickTop="1">
      <c r="B5" s="3191" t="s">
        <v>909</v>
      </c>
      <c r="C5" s="1392" t="s">
        <v>910</v>
      </c>
      <c r="D5" s="797">
        <f ca="1">结果表!H101</f>
        <v>11048</v>
      </c>
    </row>
    <row r="6" spans="1:5" ht="15.6">
      <c r="B6" s="3191"/>
      <c r="C6" s="1392" t="s">
        <v>911</v>
      </c>
      <c r="D6" s="797" t="str">
        <f ca="1">NUMBERSTRING(INT(D5*10000),2)&amp;"元整"</f>
        <v>壹亿壹仟零肆拾捌万元整</v>
      </c>
    </row>
    <row r="7" spans="1:5" ht="15.6">
      <c r="B7" s="3196"/>
      <c r="C7" s="1393" t="s">
        <v>912</v>
      </c>
      <c r="D7" s="798">
        <f ca="1">结果表!H102</f>
        <v>3734</v>
      </c>
    </row>
    <row r="8" spans="1:5" ht="15.6">
      <c r="B8" s="3197" t="str">
        <f>结果表!E103</f>
        <v>2.估价师知悉的法定优先受偿款</v>
      </c>
      <c r="C8" s="1394" t="s">
        <v>913</v>
      </c>
      <c r="D8" s="798">
        <f>结果表!H103</f>
        <v>0</v>
      </c>
    </row>
    <row r="9" spans="1:5" ht="15.6">
      <c r="B9" s="319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0" t="str">
        <f>结果表!E107</f>
        <v>3.房地产抵押价值</v>
      </c>
      <c r="C13" s="1397" t="s">
        <v>910</v>
      </c>
      <c r="D13" s="800">
        <f ca="1">结果表!H107</f>
        <v>11048</v>
      </c>
    </row>
    <row r="14" spans="1:5" ht="15.6">
      <c r="B14" s="3191"/>
      <c r="C14" s="1392" t="s">
        <v>911</v>
      </c>
      <c r="D14" s="797" t="str">
        <f ca="1">NUMBERSTRING(INT(D13*10000),2)&amp;"元整"</f>
        <v>壹亿壹仟零肆拾捌万元整</v>
      </c>
    </row>
    <row r="15" spans="1:5" ht="15.6">
      <c r="B15" s="3196"/>
      <c r="C15" s="1393" t="s">
        <v>921</v>
      </c>
      <c r="D15" s="806">
        <f ca="1">结果表!H108</f>
        <v>3734</v>
      </c>
    </row>
    <row r="16" spans="1:5" ht="15.6">
      <c r="B16" s="3197" t="str">
        <f>结果表!E109</f>
        <v>——</v>
      </c>
      <c r="C16" s="1397" t="s">
        <v>922</v>
      </c>
      <c r="D16" s="1398" t="str">
        <f>结果表!H109</f>
        <v>——</v>
      </c>
    </row>
    <row r="17" spans="1:5" ht="15.6">
      <c r="B17" s="3198"/>
      <c r="C17" s="1392" t="s">
        <v>923</v>
      </c>
      <c r="D17" s="797" t="e">
        <f>NUMBERSTRING(INT(D16*10000),2)&amp;"元整"</f>
        <v>#VALUE!</v>
      </c>
    </row>
    <row r="18" spans="1:5" ht="15.6">
      <c r="B18" s="3199"/>
      <c r="C18" s="1393" t="s">
        <v>912</v>
      </c>
      <c r="D18" s="806" t="str">
        <f>结果表!H110</f>
        <v>——</v>
      </c>
    </row>
    <row r="19" spans="1:5" ht="15.6">
      <c r="B19" s="3190" t="str">
        <f>结果表!E111</f>
        <v>——</v>
      </c>
      <c r="C19" s="1397" t="s">
        <v>910</v>
      </c>
      <c r="D19" s="798" t="str">
        <f>结果表!H111</f>
        <v>——</v>
      </c>
    </row>
    <row r="20" spans="1:5" ht="15.6">
      <c r="B20" s="3191"/>
      <c r="C20" s="1392" t="s">
        <v>923</v>
      </c>
      <c r="D20" s="797" t="e">
        <f>NUMBERSTRING(INT(D19*10000),2)&amp;"元整"</f>
        <v>#VALUE!</v>
      </c>
    </row>
    <row r="21" spans="1:5" ht="16.2" thickBot="1">
      <c r="B21" s="319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E459E-7E58-4E8E-9FAC-42CA09404FFC}">
  <sheetPr>
    <tabColor rgb="FFFFFF00"/>
  </sheetPr>
  <dimension ref="A1:O30"/>
  <sheetViews>
    <sheetView tabSelected="1" workbookViewId="0">
      <selection activeCell="E10" sqref="E10"/>
    </sheetView>
  </sheetViews>
  <sheetFormatPr defaultRowHeight="14.4"/>
  <cols>
    <col min="1" max="1" width="6.33203125" style="3139" customWidth="1"/>
    <col min="2" max="2" width="19.5546875" style="3139" customWidth="1"/>
    <col min="3" max="3" width="17" style="3139" customWidth="1"/>
    <col min="4" max="4" width="26.88671875" style="3139" customWidth="1"/>
    <col min="5" max="5" width="12.33203125" style="3139" customWidth="1"/>
    <col min="6" max="6" width="10.44140625" style="3139" customWidth="1"/>
    <col min="7" max="7" width="8.88671875" style="3139"/>
    <col min="8" max="8" width="9.5546875" style="3139" bestFit="1" customWidth="1"/>
    <col min="9" max="11" width="8.88671875" style="3139"/>
    <col min="12" max="12" width="15" style="3139" bestFit="1" customWidth="1"/>
    <col min="13" max="13" width="16.33203125" style="3139" customWidth="1"/>
    <col min="14" max="16384" width="8.88671875" style="3139"/>
  </cols>
  <sheetData>
    <row r="1" spans="1:15" ht="28.8">
      <c r="A1" s="3143" t="s">
        <v>3416</v>
      </c>
      <c r="B1" s="3143" t="s">
        <v>3388</v>
      </c>
      <c r="C1" s="3143" t="s">
        <v>3389</v>
      </c>
      <c r="D1" s="3143" t="s">
        <v>3390</v>
      </c>
      <c r="E1" s="3143" t="s">
        <v>3391</v>
      </c>
      <c r="F1" s="3143" t="s">
        <v>2543</v>
      </c>
      <c r="G1" s="3143" t="s">
        <v>3417</v>
      </c>
      <c r="H1" s="3143" t="s">
        <v>3418</v>
      </c>
      <c r="I1" s="3143" t="s">
        <v>3394</v>
      </c>
      <c r="J1" s="3143" t="s">
        <v>3403</v>
      </c>
      <c r="K1" s="3143" t="s">
        <v>3404</v>
      </c>
      <c r="L1" s="3143" t="s">
        <v>3395</v>
      </c>
      <c r="M1" s="3143" t="s">
        <v>3396</v>
      </c>
    </row>
    <row r="2" spans="1:15" ht="28.8">
      <c r="A2" s="3141">
        <v>1</v>
      </c>
      <c r="B2" s="3140" t="s">
        <v>3397</v>
      </c>
      <c r="C2" s="3140" t="s">
        <v>3398</v>
      </c>
      <c r="D2" s="3140" t="s">
        <v>3399</v>
      </c>
      <c r="E2" s="3140" t="s">
        <v>3400</v>
      </c>
      <c r="F2" s="3140" t="s">
        <v>3401</v>
      </c>
      <c r="G2" s="3141">
        <v>24593</v>
      </c>
      <c r="H2" s="3141">
        <v>2506.31</v>
      </c>
      <c r="I2" s="3140" t="s">
        <v>3402</v>
      </c>
      <c r="J2" s="3140">
        <v>1</v>
      </c>
      <c r="K2" s="3140">
        <v>1</v>
      </c>
      <c r="L2" s="3142">
        <v>43945</v>
      </c>
      <c r="M2" s="3140" t="s">
        <v>3405</v>
      </c>
      <c r="N2" s="2444" t="s">
        <v>3564</v>
      </c>
    </row>
    <row r="3" spans="1:15">
      <c r="A3" s="3143" t="s">
        <v>3416</v>
      </c>
      <c r="B3" s="3143" t="s">
        <v>3415</v>
      </c>
      <c r="C3" s="3143" t="s">
        <v>3389</v>
      </c>
      <c r="D3" s="3143" t="s">
        <v>3390</v>
      </c>
      <c r="E3" s="3143" t="s">
        <v>3409</v>
      </c>
      <c r="F3" s="3143" t="s">
        <v>3408</v>
      </c>
      <c r="G3" s="3143" t="s">
        <v>3392</v>
      </c>
      <c r="H3" s="3143" t="s">
        <v>3393</v>
      </c>
      <c r="I3" s="3143" t="s">
        <v>3394</v>
      </c>
      <c r="J3" s="3143" t="s">
        <v>3403</v>
      </c>
      <c r="K3" s="3143" t="s">
        <v>3404</v>
      </c>
      <c r="L3" s="3143" t="s">
        <v>3395</v>
      </c>
      <c r="M3" s="3143" t="s">
        <v>3396</v>
      </c>
    </row>
    <row r="4" spans="1:15" ht="43.2">
      <c r="A4" s="3141">
        <v>2</v>
      </c>
      <c r="B4" s="3140" t="s">
        <v>3406</v>
      </c>
      <c r="C4" s="3140" t="s">
        <v>3398</v>
      </c>
      <c r="D4" s="3144" t="s">
        <v>3419</v>
      </c>
      <c r="E4" s="3141"/>
      <c r="F4" s="3140" t="s">
        <v>3407</v>
      </c>
      <c r="G4" s="3141"/>
      <c r="H4" s="3144">
        <v>6911.56</v>
      </c>
      <c r="I4" s="3141"/>
      <c r="J4" s="3141">
        <v>2</v>
      </c>
      <c r="K4" s="3141"/>
      <c r="L4" s="3141"/>
      <c r="M4" s="3140" t="s">
        <v>3410</v>
      </c>
      <c r="N4" s="2444" t="s">
        <v>3562</v>
      </c>
      <c r="O4" s="3181"/>
    </row>
    <row r="5" spans="1:15" ht="28.8">
      <c r="A5" s="3141">
        <v>3</v>
      </c>
      <c r="B5" s="3140" t="s">
        <v>3411</v>
      </c>
      <c r="C5" s="3140" t="s">
        <v>3398</v>
      </c>
      <c r="D5" s="3140" t="s">
        <v>3412</v>
      </c>
      <c r="E5" s="3141"/>
      <c r="F5" s="3140" t="s">
        <v>3407</v>
      </c>
      <c r="G5" s="3141"/>
      <c r="H5" s="3141">
        <v>15515.58</v>
      </c>
      <c r="I5" s="3141"/>
      <c r="J5" s="3141">
        <v>3</v>
      </c>
      <c r="K5" s="3141"/>
      <c r="L5" s="3141"/>
      <c r="M5" s="3140" t="s">
        <v>3410</v>
      </c>
      <c r="N5" s="2444" t="s">
        <v>3563</v>
      </c>
    </row>
    <row r="6" spans="1:15" ht="28.8">
      <c r="A6" s="3141">
        <v>4</v>
      </c>
      <c r="B6" s="3140" t="s">
        <v>3414</v>
      </c>
      <c r="C6" s="3140" t="s">
        <v>3398</v>
      </c>
      <c r="D6" s="3140" t="s">
        <v>3413</v>
      </c>
      <c r="E6" s="3141"/>
      <c r="F6" s="3140" t="s">
        <v>2812</v>
      </c>
      <c r="G6" s="3141"/>
      <c r="H6" s="3141">
        <v>4654.1899999999996</v>
      </c>
      <c r="I6" s="3141"/>
      <c r="J6" s="3141">
        <v>4</v>
      </c>
      <c r="K6" s="3141"/>
      <c r="L6" s="3141"/>
      <c r="M6" s="3140" t="s">
        <v>3410</v>
      </c>
      <c r="N6" s="2444" t="s">
        <v>3434</v>
      </c>
    </row>
    <row r="9" spans="1:15" ht="43.2">
      <c r="E9" s="3181" t="s">
        <v>3614</v>
      </c>
    </row>
    <row r="10" spans="1:15">
      <c r="B10" s="2444" t="s">
        <v>3562</v>
      </c>
      <c r="C10" s="2444">
        <v>6911.56</v>
      </c>
    </row>
    <row r="11" spans="1:15">
      <c r="B11" s="2444" t="s">
        <v>3563</v>
      </c>
      <c r="C11" s="2444">
        <v>15515.58</v>
      </c>
      <c r="H11" s="3139">
        <f>H4+H5+H6+H2</f>
        <v>29587.64</v>
      </c>
    </row>
    <row r="12" spans="1:15">
      <c r="B12" s="2444" t="s">
        <v>3434</v>
      </c>
      <c r="C12" s="2444">
        <v>4654.1899999999996</v>
      </c>
    </row>
    <row r="13" spans="1:15">
      <c r="B13" s="2444" t="s">
        <v>3564</v>
      </c>
      <c r="C13" s="2444">
        <v>2506.31</v>
      </c>
    </row>
    <row r="19" spans="2:7">
      <c r="B19" s="3181" t="s">
        <v>3610</v>
      </c>
    </row>
    <row r="20" spans="2:7">
      <c r="E20" s="3181" t="s">
        <v>3611</v>
      </c>
    </row>
    <row r="30" spans="2:7" ht="57.6">
      <c r="B30" s="3181" t="s">
        <v>3610</v>
      </c>
      <c r="C30" s="3139">
        <v>66030233.039999999</v>
      </c>
      <c r="E30" s="3181" t="s">
        <v>3611</v>
      </c>
      <c r="F30" s="3139">
        <v>5250400</v>
      </c>
      <c r="G30" s="3181" t="s">
        <v>3613</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DF85C-32B1-48CE-A45B-3CAE384BE398}">
  <sheetPr>
    <tabColor rgb="FFFFFF00"/>
  </sheetPr>
  <dimension ref="A1:X23"/>
  <sheetViews>
    <sheetView topLeftCell="C1" workbookViewId="0">
      <selection activeCell="F6" sqref="F6"/>
    </sheetView>
  </sheetViews>
  <sheetFormatPr defaultRowHeight="14.4"/>
  <cols>
    <col min="15" max="15" width="11.5546875" customWidth="1"/>
  </cols>
  <sheetData>
    <row r="1" spans="1:24" s="1156" customFormat="1">
      <c r="B1" s="1156" t="s">
        <v>3441</v>
      </c>
      <c r="C1" s="1156" t="s">
        <v>3442</v>
      </c>
      <c r="D1" s="1156" t="s">
        <v>3443</v>
      </c>
      <c r="E1" s="1156" t="s">
        <v>3444</v>
      </c>
      <c r="F1" s="1156" t="s">
        <v>3445</v>
      </c>
      <c r="G1" s="1156" t="s">
        <v>3446</v>
      </c>
      <c r="H1" s="1156" t="s">
        <v>3447</v>
      </c>
      <c r="I1" s="1156" t="s">
        <v>3448</v>
      </c>
      <c r="J1" s="1156" t="s">
        <v>3449</v>
      </c>
      <c r="K1" s="1156" t="s">
        <v>3450</v>
      </c>
      <c r="L1" s="1156" t="s">
        <v>3451</v>
      </c>
      <c r="M1" s="1156" t="s">
        <v>3452</v>
      </c>
      <c r="N1" s="1156" t="s">
        <v>3453</v>
      </c>
      <c r="O1" s="1156" t="s">
        <v>3454</v>
      </c>
      <c r="P1" s="1156" t="s">
        <v>3455</v>
      </c>
      <c r="Q1" s="1156" t="s">
        <v>3456</v>
      </c>
      <c r="R1" s="1156" t="s">
        <v>3457</v>
      </c>
      <c r="S1" s="1156" t="s">
        <v>3458</v>
      </c>
      <c r="T1" s="1156" t="s">
        <v>3459</v>
      </c>
      <c r="U1" s="1156" t="s">
        <v>3460</v>
      </c>
      <c r="V1" s="1156" t="s">
        <v>3461</v>
      </c>
      <c r="W1" s="1156" t="s">
        <v>3462</v>
      </c>
      <c r="X1" s="1156" t="s">
        <v>3463</v>
      </c>
    </row>
    <row r="2" spans="1:24" s="3153" customFormat="1">
      <c r="A2" s="3152" t="s">
        <v>3513</v>
      </c>
      <c r="B2" s="3152" t="s">
        <v>3531</v>
      </c>
      <c r="C2" s="3153" t="s">
        <v>3465</v>
      </c>
      <c r="D2" s="3153" t="s">
        <v>633</v>
      </c>
      <c r="E2" s="3152" t="s">
        <v>3535</v>
      </c>
      <c r="F2" s="3152" t="s">
        <v>3531</v>
      </c>
      <c r="G2" s="3153">
        <v>38632</v>
      </c>
      <c r="H2" s="3153">
        <v>77264</v>
      </c>
      <c r="I2" s="3153" t="s">
        <v>2479</v>
      </c>
      <c r="J2" s="3153" t="s">
        <v>2479</v>
      </c>
      <c r="K2" s="3153" t="s">
        <v>3466</v>
      </c>
      <c r="L2" s="3153" t="s">
        <v>3467</v>
      </c>
      <c r="M2" s="3153">
        <v>2</v>
      </c>
      <c r="N2" s="3153" t="s">
        <v>3468</v>
      </c>
      <c r="O2" s="3154">
        <v>45392.333831018521</v>
      </c>
      <c r="P2" s="3153" t="s">
        <v>3469</v>
      </c>
      <c r="Q2" s="3152" t="s">
        <v>3534</v>
      </c>
      <c r="R2" s="3153">
        <v>3600</v>
      </c>
      <c r="S2" s="3153">
        <v>3630</v>
      </c>
      <c r="T2" s="3153">
        <v>62.64</v>
      </c>
      <c r="U2" s="3153">
        <v>470</v>
      </c>
      <c r="V2" s="3153">
        <v>8.3000000000000001E-3</v>
      </c>
      <c r="W2" s="3153" t="s">
        <v>633</v>
      </c>
      <c r="X2" s="3153">
        <f>ROUND(S2/G2*10000,0)</f>
        <v>940</v>
      </c>
    </row>
    <row r="3" spans="1:24" s="1156" customFormat="1">
      <c r="A3" s="2576"/>
      <c r="B3" s="1156" t="s">
        <v>3471</v>
      </c>
      <c r="C3" s="1156" t="s">
        <v>3465</v>
      </c>
      <c r="D3" s="1156" t="s">
        <v>633</v>
      </c>
      <c r="E3" s="1156" t="s">
        <v>3472</v>
      </c>
      <c r="F3" s="1156" t="s">
        <v>3471</v>
      </c>
      <c r="G3" s="1156">
        <v>21000</v>
      </c>
      <c r="H3" s="1156">
        <v>42000</v>
      </c>
      <c r="I3" s="1156" t="s">
        <v>2479</v>
      </c>
      <c r="J3" s="1156" t="s">
        <v>2479</v>
      </c>
      <c r="K3" s="1156" t="s">
        <v>3466</v>
      </c>
      <c r="L3" s="1156" t="s">
        <v>3467</v>
      </c>
      <c r="M3" s="1156">
        <v>2</v>
      </c>
      <c r="N3" s="1156" t="s">
        <v>3468</v>
      </c>
      <c r="O3" s="3148">
        <v>45314.333831018521</v>
      </c>
      <c r="P3" s="1156" t="s">
        <v>3469</v>
      </c>
      <c r="Q3" s="1156" t="s">
        <v>3473</v>
      </c>
      <c r="R3" s="1156">
        <v>2160</v>
      </c>
      <c r="S3" s="1156">
        <v>2175</v>
      </c>
      <c r="T3" s="1156">
        <v>69.05</v>
      </c>
      <c r="U3" s="1156">
        <v>518</v>
      </c>
      <c r="V3" s="1156">
        <v>6.8999999999999999E-3</v>
      </c>
      <c r="W3" s="1156" t="s">
        <v>633</v>
      </c>
      <c r="X3" s="1156">
        <f t="shared" ref="X3:X17" si="0">ROUND(S3/G3*10000,0)</f>
        <v>1036</v>
      </c>
    </row>
    <row r="4" spans="1:24" s="1156" customFormat="1">
      <c r="A4" s="2576"/>
      <c r="B4" s="1156" t="s">
        <v>3474</v>
      </c>
      <c r="C4" s="1156" t="s">
        <v>3465</v>
      </c>
      <c r="D4" s="1156" t="s">
        <v>633</v>
      </c>
      <c r="E4" s="1156" t="s">
        <v>3475</v>
      </c>
      <c r="F4" s="1156" t="s">
        <v>3474</v>
      </c>
      <c r="G4" s="1156">
        <v>30089</v>
      </c>
      <c r="H4" s="1156">
        <v>60178</v>
      </c>
      <c r="I4" s="1156" t="s">
        <v>2479</v>
      </c>
      <c r="J4" s="1156" t="s">
        <v>2479</v>
      </c>
      <c r="K4" s="1156" t="s">
        <v>3466</v>
      </c>
      <c r="L4" s="1156" t="s">
        <v>3467</v>
      </c>
      <c r="M4" s="1156">
        <v>2</v>
      </c>
      <c r="N4" s="1156" t="s">
        <v>3468</v>
      </c>
      <c r="O4" s="3148">
        <v>45314.333831018521</v>
      </c>
      <c r="P4" s="1156" t="s">
        <v>3469</v>
      </c>
      <c r="Q4" s="1156" t="s">
        <v>3473</v>
      </c>
      <c r="R4" s="1156">
        <v>3100</v>
      </c>
      <c r="S4" s="1156">
        <v>3125</v>
      </c>
      <c r="T4" s="1156">
        <v>69.239999999999995</v>
      </c>
      <c r="U4" s="1156">
        <v>519</v>
      </c>
      <c r="V4" s="1156">
        <v>8.1000000000000013E-3</v>
      </c>
      <c r="W4" s="1156" t="s">
        <v>633</v>
      </c>
      <c r="X4" s="1156">
        <f t="shared" si="0"/>
        <v>1039</v>
      </c>
    </row>
    <row r="5" spans="1:24" s="3153" customFormat="1">
      <c r="A5" s="3152" t="s">
        <v>3529</v>
      </c>
      <c r="B5" s="3153" t="s">
        <v>3476</v>
      </c>
      <c r="C5" s="3153" t="s">
        <v>3465</v>
      </c>
      <c r="D5" s="3153" t="s">
        <v>633</v>
      </c>
      <c r="E5" s="3153" t="s">
        <v>3477</v>
      </c>
      <c r="F5" s="3152" t="s">
        <v>3532</v>
      </c>
      <c r="G5" s="3153">
        <v>11643</v>
      </c>
      <c r="H5" s="3153">
        <v>23286</v>
      </c>
      <c r="I5" s="3153" t="s">
        <v>2479</v>
      </c>
      <c r="J5" s="3153" t="s">
        <v>2479</v>
      </c>
      <c r="K5" s="3153" t="s">
        <v>3466</v>
      </c>
      <c r="L5" s="3153" t="s">
        <v>3478</v>
      </c>
      <c r="M5" s="3153">
        <v>2</v>
      </c>
      <c r="N5" s="3153" t="s">
        <v>3468</v>
      </c>
      <c r="O5" s="3154">
        <v>45289.333831018521</v>
      </c>
      <c r="P5" s="3153" t="s">
        <v>3469</v>
      </c>
      <c r="Q5" s="3152" t="s">
        <v>3546</v>
      </c>
      <c r="R5" s="3153">
        <v>1090</v>
      </c>
      <c r="S5" s="3153">
        <v>1100</v>
      </c>
      <c r="T5" s="3153">
        <v>62.98</v>
      </c>
      <c r="U5" s="3153">
        <v>472</v>
      </c>
      <c r="V5" s="3153">
        <v>9.1999999999999998E-3</v>
      </c>
      <c r="W5" s="3153" t="s">
        <v>633</v>
      </c>
      <c r="X5" s="3153">
        <f t="shared" si="0"/>
        <v>945</v>
      </c>
    </row>
    <row r="6" spans="1:24" s="3153" customFormat="1">
      <c r="A6" s="3152" t="s">
        <v>3530</v>
      </c>
      <c r="B6" s="3153" t="s">
        <v>3480</v>
      </c>
      <c r="C6" s="3153" t="s">
        <v>3465</v>
      </c>
      <c r="D6" s="3153" t="s">
        <v>633</v>
      </c>
      <c r="E6" s="3153" t="s">
        <v>3481</v>
      </c>
      <c r="F6" s="3152" t="s">
        <v>3533</v>
      </c>
      <c r="G6" s="3153">
        <v>11293</v>
      </c>
      <c r="H6" s="3153">
        <v>22586</v>
      </c>
      <c r="I6" s="3153" t="s">
        <v>2479</v>
      </c>
      <c r="J6" s="3153" t="s">
        <v>2479</v>
      </c>
      <c r="K6" s="3153" t="s">
        <v>3466</v>
      </c>
      <c r="L6" s="3153" t="s">
        <v>3478</v>
      </c>
      <c r="M6" s="3153">
        <v>2</v>
      </c>
      <c r="N6" s="3153" t="s">
        <v>3468</v>
      </c>
      <c r="O6" s="3154">
        <v>45289.333831018521</v>
      </c>
      <c r="P6" s="3153" t="s">
        <v>3469</v>
      </c>
      <c r="Q6" s="3153" t="s">
        <v>3482</v>
      </c>
      <c r="R6" s="3153">
        <v>1055</v>
      </c>
      <c r="S6" s="3153">
        <v>1065</v>
      </c>
      <c r="T6" s="3153">
        <v>62.87</v>
      </c>
      <c r="U6" s="3153">
        <v>472</v>
      </c>
      <c r="V6" s="3153">
        <v>9.4999999999999998E-3</v>
      </c>
      <c r="W6" s="3153" t="s">
        <v>633</v>
      </c>
      <c r="X6" s="3153">
        <f t="shared" si="0"/>
        <v>943</v>
      </c>
    </row>
    <row r="7" spans="1:24" s="1156" customFormat="1">
      <c r="B7" s="1156" t="s">
        <v>3483</v>
      </c>
      <c r="C7" s="1156" t="s">
        <v>3465</v>
      </c>
      <c r="D7" s="1156" t="s">
        <v>633</v>
      </c>
      <c r="E7" s="1156" t="s">
        <v>3484</v>
      </c>
      <c r="F7" s="1156" t="s">
        <v>3483</v>
      </c>
      <c r="G7" s="1156">
        <v>7388</v>
      </c>
      <c r="H7" s="1156">
        <v>14776</v>
      </c>
      <c r="I7" s="1156" t="s">
        <v>2479</v>
      </c>
      <c r="J7" s="1156" t="s">
        <v>2479</v>
      </c>
      <c r="K7" s="1156" t="s">
        <v>3466</v>
      </c>
      <c r="L7" s="1156" t="s">
        <v>3478</v>
      </c>
      <c r="M7" s="1156">
        <v>2</v>
      </c>
      <c r="N7" s="1156" t="s">
        <v>3468</v>
      </c>
      <c r="O7" s="3148">
        <v>45282.333831018521</v>
      </c>
      <c r="P7" s="1156" t="s">
        <v>3469</v>
      </c>
      <c r="Q7" s="2576" t="s">
        <v>3566</v>
      </c>
      <c r="R7" s="1156">
        <v>690</v>
      </c>
      <c r="S7" s="1156">
        <v>695</v>
      </c>
      <c r="T7" s="1156">
        <v>62.71</v>
      </c>
      <c r="U7" s="1156">
        <v>470</v>
      </c>
      <c r="V7" s="1156">
        <v>7.1999999999999998E-3</v>
      </c>
      <c r="W7" s="1156" t="s">
        <v>633</v>
      </c>
      <c r="X7" s="1156">
        <f t="shared" si="0"/>
        <v>941</v>
      </c>
    </row>
    <row r="8" spans="1:24" s="1156" customFormat="1">
      <c r="B8" s="1156" t="s">
        <v>3485</v>
      </c>
      <c r="C8" s="1156" t="s">
        <v>3465</v>
      </c>
      <c r="D8" s="1156" t="s">
        <v>633</v>
      </c>
      <c r="E8" s="1156" t="s">
        <v>3486</v>
      </c>
      <c r="F8" s="2576" t="s">
        <v>3567</v>
      </c>
      <c r="G8" s="1156">
        <v>33105</v>
      </c>
      <c r="H8" s="1156">
        <v>66210</v>
      </c>
      <c r="I8" s="1156" t="s">
        <v>2479</v>
      </c>
      <c r="J8" s="1156" t="s">
        <v>2479</v>
      </c>
      <c r="K8" s="1156" t="s">
        <v>3466</v>
      </c>
      <c r="L8" s="1156" t="s">
        <v>3478</v>
      </c>
      <c r="M8" s="1156">
        <v>2</v>
      </c>
      <c r="N8" s="1156" t="s">
        <v>3468</v>
      </c>
      <c r="O8" s="3148">
        <v>45120.333831018521</v>
      </c>
      <c r="P8" s="1156" t="s">
        <v>3469</v>
      </c>
      <c r="Q8" s="1156" t="s">
        <v>3479</v>
      </c>
      <c r="R8" s="1156">
        <v>3100</v>
      </c>
      <c r="S8" s="1156">
        <v>3125</v>
      </c>
      <c r="T8" s="1156">
        <v>62.93</v>
      </c>
      <c r="U8" s="1156">
        <v>472</v>
      </c>
      <c r="V8" s="1156">
        <v>8.1000000000000013E-3</v>
      </c>
      <c r="W8" s="1156" t="s">
        <v>633</v>
      </c>
      <c r="X8" s="1156">
        <f t="shared" si="0"/>
        <v>944</v>
      </c>
    </row>
    <row r="9" spans="1:24" s="1156" customFormat="1">
      <c r="B9" s="1156" t="s">
        <v>3464</v>
      </c>
      <c r="C9" s="1156" t="s">
        <v>3465</v>
      </c>
      <c r="D9" s="1156" t="s">
        <v>633</v>
      </c>
      <c r="E9" s="1156" t="s">
        <v>3487</v>
      </c>
      <c r="F9" s="1156" t="s">
        <v>3464</v>
      </c>
      <c r="G9" s="1156">
        <v>76977</v>
      </c>
      <c r="H9" s="1156">
        <v>153954</v>
      </c>
      <c r="I9" s="1156" t="s">
        <v>2479</v>
      </c>
      <c r="J9" s="1156" t="s">
        <v>2479</v>
      </c>
      <c r="K9" s="1156" t="s">
        <v>3466</v>
      </c>
      <c r="L9" s="1156" t="s">
        <v>3488</v>
      </c>
      <c r="M9" s="1156">
        <v>2</v>
      </c>
      <c r="N9" s="1156" t="s">
        <v>3468</v>
      </c>
      <c r="O9" s="3148">
        <v>45098.333831018521</v>
      </c>
      <c r="P9" s="1156" t="s">
        <v>3469</v>
      </c>
      <c r="Q9" s="1156" t="s">
        <v>3470</v>
      </c>
      <c r="R9" s="1156">
        <v>7200</v>
      </c>
      <c r="S9" s="1156">
        <v>7260</v>
      </c>
      <c r="T9" s="1156">
        <v>62.88</v>
      </c>
      <c r="U9" s="1156">
        <v>472</v>
      </c>
      <c r="V9" s="1156">
        <v>8.3000000000000001E-3</v>
      </c>
      <c r="W9" s="1156" t="s">
        <v>633</v>
      </c>
      <c r="X9" s="1156">
        <f t="shared" si="0"/>
        <v>943</v>
      </c>
    </row>
    <row r="10" spans="1:24" s="1156" customFormat="1">
      <c r="B10" s="1156" t="s">
        <v>3489</v>
      </c>
      <c r="C10" s="1156" t="s">
        <v>3465</v>
      </c>
      <c r="D10" s="1156" t="s">
        <v>633</v>
      </c>
      <c r="E10" s="1156" t="s">
        <v>3490</v>
      </c>
      <c r="F10" s="1156" t="s">
        <v>3489</v>
      </c>
      <c r="G10" s="1156">
        <v>15655</v>
      </c>
      <c r="H10" s="1156">
        <v>31310</v>
      </c>
      <c r="I10" s="1156" t="s">
        <v>2479</v>
      </c>
      <c r="J10" s="1156" t="s">
        <v>2479</v>
      </c>
      <c r="K10" s="1156" t="s">
        <v>3466</v>
      </c>
      <c r="L10" s="1156" t="s">
        <v>3488</v>
      </c>
      <c r="M10" s="1156">
        <v>2</v>
      </c>
      <c r="N10" s="1156" t="s">
        <v>3468</v>
      </c>
      <c r="O10" s="3148">
        <v>45077.333831018521</v>
      </c>
      <c r="P10" s="1156" t="s">
        <v>3469</v>
      </c>
      <c r="Q10" s="1156" t="s">
        <v>3491</v>
      </c>
      <c r="R10" s="1156">
        <v>1610</v>
      </c>
      <c r="S10" s="1156">
        <v>1620</v>
      </c>
      <c r="T10" s="1156">
        <v>68.989999999999995</v>
      </c>
      <c r="U10" s="1156">
        <v>517</v>
      </c>
      <c r="V10" s="1156">
        <v>6.1999999999999998E-3</v>
      </c>
      <c r="W10" s="1156" t="s">
        <v>633</v>
      </c>
      <c r="X10" s="1156">
        <f t="shared" si="0"/>
        <v>1035</v>
      </c>
    </row>
    <row r="11" spans="1:24" s="1156" customFormat="1">
      <c r="B11" s="1156" t="s">
        <v>3489</v>
      </c>
      <c r="C11" s="1156" t="s">
        <v>3465</v>
      </c>
      <c r="D11" s="1156" t="s">
        <v>633</v>
      </c>
      <c r="E11" s="1156" t="s">
        <v>3492</v>
      </c>
      <c r="F11" s="1156" t="s">
        <v>3489</v>
      </c>
      <c r="G11" s="1156">
        <v>34739</v>
      </c>
      <c r="H11" s="1156">
        <v>69478</v>
      </c>
      <c r="I11" s="1156" t="s">
        <v>2479</v>
      </c>
      <c r="J11" s="1156" t="s">
        <v>2479</v>
      </c>
      <c r="K11" s="1156" t="s">
        <v>3466</v>
      </c>
      <c r="L11" s="1156" t="s">
        <v>3493</v>
      </c>
      <c r="M11" s="1156">
        <v>2</v>
      </c>
      <c r="N11" s="1156" t="s">
        <v>3468</v>
      </c>
      <c r="O11" s="3148">
        <v>45028.333831018521</v>
      </c>
      <c r="P11" s="1156" t="s">
        <v>3469</v>
      </c>
      <c r="Q11" s="1156" t="s">
        <v>3494</v>
      </c>
      <c r="R11" s="1156">
        <v>3560</v>
      </c>
      <c r="S11" s="1156">
        <v>3585</v>
      </c>
      <c r="T11" s="1156">
        <v>68.8</v>
      </c>
      <c r="U11" s="1156">
        <v>516</v>
      </c>
      <c r="V11" s="1156">
        <v>6.9999999999999993E-3</v>
      </c>
      <c r="W11" s="1156" t="s">
        <v>633</v>
      </c>
      <c r="X11" s="1156">
        <f t="shared" si="0"/>
        <v>1032</v>
      </c>
    </row>
    <row r="12" spans="1:24" s="1156" customFormat="1">
      <c r="B12" s="1156" t="s">
        <v>3495</v>
      </c>
      <c r="C12" s="1156" t="s">
        <v>3465</v>
      </c>
      <c r="D12" s="1156" t="s">
        <v>633</v>
      </c>
      <c r="E12" s="1156" t="s">
        <v>3496</v>
      </c>
      <c r="F12" s="1156" t="s">
        <v>3495</v>
      </c>
      <c r="G12" s="1156">
        <v>10943</v>
      </c>
      <c r="H12" s="1156">
        <v>21886</v>
      </c>
      <c r="I12" s="1156" t="s">
        <v>2479</v>
      </c>
      <c r="J12" s="1156" t="s">
        <v>2479</v>
      </c>
      <c r="K12" s="1156" t="s">
        <v>3466</v>
      </c>
      <c r="L12" s="1156" t="s">
        <v>3493</v>
      </c>
      <c r="M12" s="1156">
        <v>2</v>
      </c>
      <c r="N12" s="1156" t="s">
        <v>3468</v>
      </c>
      <c r="O12" s="3148">
        <v>45028.333831018521</v>
      </c>
      <c r="P12" s="1156" t="s">
        <v>3469</v>
      </c>
      <c r="Q12" s="1156" t="s">
        <v>3497</v>
      </c>
      <c r="R12" s="1156">
        <v>1020</v>
      </c>
      <c r="S12" s="1156">
        <v>1030</v>
      </c>
      <c r="T12" s="1156">
        <v>62.75</v>
      </c>
      <c r="U12" s="1156">
        <v>471</v>
      </c>
      <c r="V12" s="1156">
        <v>9.7999999999999997E-3</v>
      </c>
      <c r="W12" s="1156" t="s">
        <v>633</v>
      </c>
      <c r="X12" s="1156">
        <f t="shared" si="0"/>
        <v>941</v>
      </c>
    </row>
    <row r="13" spans="1:24" s="1156" customFormat="1">
      <c r="B13" s="1156" t="s">
        <v>3498</v>
      </c>
      <c r="C13" s="1156" t="s">
        <v>3465</v>
      </c>
      <c r="D13" s="1156" t="s">
        <v>633</v>
      </c>
      <c r="E13" s="1156" t="s">
        <v>3499</v>
      </c>
      <c r="F13" s="1156" t="s">
        <v>3498</v>
      </c>
      <c r="G13" s="1156">
        <v>46040</v>
      </c>
      <c r="H13" s="1156">
        <v>92080</v>
      </c>
      <c r="I13" s="1156" t="s">
        <v>2479</v>
      </c>
      <c r="J13" s="1156" t="s">
        <v>2479</v>
      </c>
      <c r="K13" s="1156" t="s">
        <v>3466</v>
      </c>
      <c r="L13" s="1156" t="s">
        <v>3493</v>
      </c>
      <c r="M13" s="1156">
        <v>2</v>
      </c>
      <c r="N13" s="1156" t="s">
        <v>3468</v>
      </c>
      <c r="O13" s="3148">
        <v>45015.333831018521</v>
      </c>
      <c r="P13" s="1156" t="s">
        <v>3469</v>
      </c>
      <c r="Q13" s="1156" t="s">
        <v>3482</v>
      </c>
      <c r="R13" s="1156">
        <v>4300</v>
      </c>
      <c r="S13" s="1156">
        <v>4335</v>
      </c>
      <c r="T13" s="1156">
        <v>62.77</v>
      </c>
      <c r="U13" s="1156">
        <v>471</v>
      </c>
      <c r="V13" s="1156">
        <v>8.1000000000000013E-3</v>
      </c>
      <c r="W13" s="1156" t="s">
        <v>633</v>
      </c>
      <c r="X13" s="1156">
        <f t="shared" si="0"/>
        <v>942</v>
      </c>
    </row>
    <row r="14" spans="1:24" s="1156" customFormat="1">
      <c r="B14" s="1156" t="s">
        <v>3500</v>
      </c>
      <c r="C14" s="1156" t="s">
        <v>3465</v>
      </c>
      <c r="D14" s="1156" t="s">
        <v>633</v>
      </c>
      <c r="E14" s="1156" t="s">
        <v>3501</v>
      </c>
      <c r="F14" s="1156" t="s">
        <v>3500</v>
      </c>
      <c r="G14" s="1156">
        <v>29882</v>
      </c>
      <c r="H14" s="1156">
        <v>59764</v>
      </c>
      <c r="I14" s="1156" t="s">
        <v>2479</v>
      </c>
      <c r="J14" s="1156" t="s">
        <v>2479</v>
      </c>
      <c r="K14" s="1156" t="s">
        <v>3466</v>
      </c>
      <c r="L14" s="1156" t="s">
        <v>3488</v>
      </c>
      <c r="M14" s="1156">
        <v>2</v>
      </c>
      <c r="N14" s="1156" t="s">
        <v>3468</v>
      </c>
      <c r="O14" s="3148">
        <v>44917.333831018521</v>
      </c>
      <c r="P14" s="1156" t="s">
        <v>3469</v>
      </c>
      <c r="Q14" s="1156" t="s">
        <v>3502</v>
      </c>
      <c r="R14" s="1156">
        <v>2750</v>
      </c>
      <c r="S14" s="1156">
        <v>2770</v>
      </c>
      <c r="T14" s="1156">
        <v>61.8</v>
      </c>
      <c r="U14" s="1156">
        <v>463</v>
      </c>
      <c r="V14" s="1156">
        <v>7.3000000000000001E-3</v>
      </c>
      <c r="W14" s="1156" t="s">
        <v>633</v>
      </c>
      <c r="X14" s="1156">
        <f t="shared" si="0"/>
        <v>927</v>
      </c>
    </row>
    <row r="15" spans="1:24" s="1156" customFormat="1">
      <c r="B15" s="1156" t="s">
        <v>3503</v>
      </c>
      <c r="C15" s="1156" t="s">
        <v>3465</v>
      </c>
      <c r="D15" s="1156" t="s">
        <v>633</v>
      </c>
      <c r="E15" s="1156" t="s">
        <v>3504</v>
      </c>
      <c r="F15" s="1156" t="s">
        <v>3503</v>
      </c>
      <c r="G15" s="1156">
        <v>19203</v>
      </c>
      <c r="H15" s="1156">
        <v>23043.599999999999</v>
      </c>
      <c r="I15" s="1156" t="s">
        <v>2479</v>
      </c>
      <c r="J15" s="1156" t="s">
        <v>2479</v>
      </c>
      <c r="K15" s="1156" t="s">
        <v>3466</v>
      </c>
      <c r="L15" s="1156" t="s">
        <v>3505</v>
      </c>
      <c r="M15" s="1156">
        <v>0</v>
      </c>
      <c r="N15" s="1156" t="s">
        <v>3468</v>
      </c>
      <c r="O15" s="3148">
        <v>44741.333831018521</v>
      </c>
      <c r="P15" s="1156" t="s">
        <v>3469</v>
      </c>
      <c r="Q15" s="1156" t="s">
        <v>3506</v>
      </c>
      <c r="R15" s="1156">
        <v>1670</v>
      </c>
      <c r="S15" s="1156">
        <v>1685</v>
      </c>
      <c r="T15" s="1156">
        <v>58.5</v>
      </c>
      <c r="U15" s="1156">
        <v>731</v>
      </c>
      <c r="V15" s="1156">
        <v>9.0000000000000011E-3</v>
      </c>
      <c r="W15" s="1156" t="s">
        <v>633</v>
      </c>
      <c r="X15" s="1156">
        <f t="shared" si="0"/>
        <v>877</v>
      </c>
    </row>
    <row r="16" spans="1:24" s="1156" customFormat="1">
      <c r="B16" s="1156" t="s">
        <v>3507</v>
      </c>
      <c r="C16" s="1156" t="s">
        <v>3465</v>
      </c>
      <c r="D16" s="1156" t="s">
        <v>633</v>
      </c>
      <c r="E16" s="1156" t="s">
        <v>3508</v>
      </c>
      <c r="F16" s="1156" t="s">
        <v>3507</v>
      </c>
      <c r="G16" s="1156">
        <v>53884</v>
      </c>
      <c r="H16" s="1156">
        <v>107768</v>
      </c>
      <c r="I16" s="1156" t="s">
        <v>2479</v>
      </c>
      <c r="J16" s="1156" t="s">
        <v>2479</v>
      </c>
      <c r="K16" s="1156" t="s">
        <v>3466</v>
      </c>
      <c r="L16" s="1156" t="s">
        <v>3488</v>
      </c>
      <c r="M16" s="1156">
        <v>2</v>
      </c>
      <c r="N16" s="1156" t="s">
        <v>3468</v>
      </c>
      <c r="O16" s="3148">
        <v>44581.333831018521</v>
      </c>
      <c r="P16" s="1156" t="s">
        <v>3469</v>
      </c>
      <c r="Q16" s="1156" t="s">
        <v>3509</v>
      </c>
      <c r="R16" s="1156">
        <v>4880</v>
      </c>
      <c r="S16" s="1156">
        <v>4920</v>
      </c>
      <c r="T16" s="1156">
        <v>60.87</v>
      </c>
      <c r="U16" s="1156">
        <v>457</v>
      </c>
      <c r="V16" s="1156">
        <v>8.199999999999999E-3</v>
      </c>
      <c r="W16" s="1156" t="s">
        <v>633</v>
      </c>
      <c r="X16" s="1156">
        <f t="shared" si="0"/>
        <v>913</v>
      </c>
    </row>
    <row r="17" spans="2:24" s="1156" customFormat="1">
      <c r="B17" s="1156" t="s">
        <v>3510</v>
      </c>
      <c r="C17" s="1156" t="s">
        <v>3465</v>
      </c>
      <c r="D17" s="1156" t="s">
        <v>633</v>
      </c>
      <c r="E17" s="1156" t="s">
        <v>3511</v>
      </c>
      <c r="F17" s="1156" t="s">
        <v>3510</v>
      </c>
      <c r="G17" s="1156">
        <v>11599</v>
      </c>
      <c r="H17" s="1156">
        <v>23198</v>
      </c>
      <c r="I17" s="1156" t="s">
        <v>2479</v>
      </c>
      <c r="J17" s="1156" t="s">
        <v>2479</v>
      </c>
      <c r="K17" s="1156" t="s">
        <v>3466</v>
      </c>
      <c r="L17" s="1156" t="s">
        <v>3488</v>
      </c>
      <c r="M17" s="1156">
        <v>2</v>
      </c>
      <c r="N17" s="1156" t="s">
        <v>3468</v>
      </c>
      <c r="O17" s="3148">
        <v>44581.333831018521</v>
      </c>
      <c r="P17" s="1156" t="s">
        <v>3469</v>
      </c>
      <c r="Q17" s="1156" t="s">
        <v>3512</v>
      </c>
      <c r="R17" s="1156">
        <v>1050</v>
      </c>
      <c r="S17" s="1156">
        <v>1060</v>
      </c>
      <c r="T17" s="1156">
        <v>60.92</v>
      </c>
      <c r="U17" s="1156">
        <v>457</v>
      </c>
      <c r="V17" s="1156">
        <v>9.4999999999999998E-3</v>
      </c>
      <c r="W17" s="1156" t="s">
        <v>633</v>
      </c>
      <c r="X17" s="1156">
        <f t="shared" si="0"/>
        <v>914</v>
      </c>
    </row>
    <row r="21" spans="2:24">
      <c r="L21">
        <f>H2/G2</f>
        <v>2</v>
      </c>
    </row>
    <row r="22" spans="2:24">
      <c r="L22">
        <f>H5/G5</f>
        <v>2</v>
      </c>
    </row>
    <row r="23" spans="2:24">
      <c r="L23">
        <f>H6/G6</f>
        <v>2</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C87E-4E82-4D22-998B-39FE36BD3F9C}">
  <sheetPr>
    <tabColor rgb="FFFFFF00"/>
  </sheetPr>
  <dimension ref="A1"/>
  <sheetViews>
    <sheetView workbookViewId="0">
      <selection activeCell="A67" sqref="A67"/>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11" t="s">
        <v>2839</v>
      </c>
      <c r="B1" s="3511"/>
      <c r="C1" s="3511"/>
      <c r="D1" s="3511"/>
      <c r="E1" s="3511"/>
      <c r="F1" s="3511"/>
      <c r="G1" s="3512"/>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1.4"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09" t="s">
        <v>2866</v>
      </c>
      <c r="B3" s="2939"/>
      <c r="C3" s="2940" t="s">
        <v>2811</v>
      </c>
      <c r="D3" s="2940" t="s">
        <v>2867</v>
      </c>
      <c r="E3" s="2940" t="s">
        <v>2813</v>
      </c>
      <c r="F3" s="2940" t="s">
        <v>2868</v>
      </c>
      <c r="G3" s="2940" t="s">
        <v>2631</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1.4" thickBot="1">
      <c r="A4" s="3510"/>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1.4"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1.4"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1.4"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1.4"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13" t="s">
        <v>3181</v>
      </c>
      <c r="B1" s="3513"/>
    </row>
    <row r="2" spans="1:7" ht="15" thickBot="1">
      <c r="A2" s="2963"/>
      <c r="B2" s="2963"/>
    </row>
    <row r="3" spans="1:7" ht="15" thickBot="1">
      <c r="A3" s="2963"/>
      <c r="B3" s="2963"/>
      <c r="C3" s="2964" t="s">
        <v>2811</v>
      </c>
      <c r="D3" s="2964" t="s">
        <v>2867</v>
      </c>
      <c r="E3" s="2964" t="s">
        <v>2813</v>
      </c>
      <c r="F3" s="2964" t="s">
        <v>2868</v>
      </c>
      <c r="G3" s="2964" t="s">
        <v>2631</v>
      </c>
    </row>
    <row r="4" spans="1:7" ht="1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8"/>
  </cols>
  <sheetData>
    <row r="1" spans="1:6">
      <c r="A1" s="3514" t="s">
        <v>3232</v>
      </c>
      <c r="B1" s="3514"/>
      <c r="C1" s="3514"/>
      <c r="D1" s="3514"/>
      <c r="E1" s="3514"/>
      <c r="F1" s="3515"/>
    </row>
    <row r="2" spans="1:6">
      <c r="A2" s="2997" t="s">
        <v>3233</v>
      </c>
    </row>
    <row r="3" spans="1:6">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2">
        <f>基准地价修正!G23</f>
        <v>45594</v>
      </c>
      <c r="B1" s="2924" t="s">
        <v>3382</v>
      </c>
      <c r="C1" s="2925"/>
      <c r="D1" s="2925"/>
      <c r="E1" s="2925"/>
      <c r="F1" s="2925"/>
      <c r="G1" s="2925"/>
      <c r="H1" s="2925"/>
      <c r="I1" s="2925"/>
      <c r="J1" s="2891"/>
      <c r="K1" s="2925" t="s">
        <v>454</v>
      </c>
      <c r="L1" s="2925"/>
      <c r="M1" s="2925"/>
      <c r="N1" s="2925"/>
      <c r="O1" s="2925"/>
      <c r="P1" s="2925"/>
      <c r="Q1" s="2891"/>
      <c r="R1" s="3516" t="s">
        <v>456</v>
      </c>
      <c r="S1" s="3517"/>
      <c r="T1" s="3517"/>
      <c r="U1" s="3517"/>
      <c r="V1" s="3517"/>
      <c r="W1" s="3517"/>
      <c r="X1" s="2891"/>
      <c r="Y1" s="3516" t="s">
        <v>457</v>
      </c>
      <c r="Z1" s="3517"/>
      <c r="AA1" s="3517"/>
      <c r="AB1" s="3517"/>
      <c r="AC1" s="3517"/>
      <c r="AD1" s="3517"/>
    </row>
    <row r="2" spans="1:30" s="2009" customFormat="1" ht="15" thickBot="1">
      <c r="B2" s="2876"/>
      <c r="C2" s="2877"/>
      <c r="D2" s="2010" t="s">
        <v>2810</v>
      </c>
      <c r="E2" s="2011" t="s">
        <v>2811</v>
      </c>
      <c r="F2" s="2011" t="s">
        <v>2812</v>
      </c>
      <c r="G2" s="2011" t="s">
        <v>2813</v>
      </c>
      <c r="H2" s="2011" t="s">
        <v>2814</v>
      </c>
      <c r="I2" s="2011" t="s">
        <v>2631</v>
      </c>
      <c r="J2" s="2878"/>
      <c r="K2" s="2010" t="s">
        <v>2810</v>
      </c>
      <c r="L2" s="2011" t="s">
        <v>2811</v>
      </c>
      <c r="M2" s="2011" t="s">
        <v>2812</v>
      </c>
      <c r="N2" s="2011" t="s">
        <v>2813</v>
      </c>
      <c r="O2" s="2011" t="s">
        <v>2815</v>
      </c>
      <c r="P2" s="2011" t="s">
        <v>2631</v>
      </c>
      <c r="Q2" s="2878"/>
      <c r="R2" s="2010" t="s">
        <v>2810</v>
      </c>
      <c r="S2" s="2011" t="s">
        <v>2811</v>
      </c>
      <c r="T2" s="2011" t="s">
        <v>2812</v>
      </c>
      <c r="U2" s="2011" t="s">
        <v>2816</v>
      </c>
      <c r="V2" s="2011" t="s">
        <v>2817</v>
      </c>
      <c r="W2" s="2011" t="s">
        <v>2631</v>
      </c>
      <c r="X2" s="2878"/>
      <c r="Y2" s="2010" t="s">
        <v>2810</v>
      </c>
      <c r="Z2" s="2011" t="s">
        <v>2811</v>
      </c>
      <c r="AA2" s="2011" t="s">
        <v>2812</v>
      </c>
      <c r="AB2" s="2011" t="s">
        <v>2818</v>
      </c>
      <c r="AC2" s="2011" t="s">
        <v>2817</v>
      </c>
      <c r="AD2" s="2011" t="s">
        <v>2631</v>
      </c>
    </row>
    <row r="3" spans="1:30" s="2881" customFormat="1" ht="13.2">
      <c r="A3" s="2879" t="s">
        <v>2819</v>
      </c>
      <c r="B3" s="2880"/>
      <c r="D3" s="2881">
        <f>ROUND(AVERAGEIF(D4:D21,"&lt;&gt;0"),2)</f>
        <v>0.47</v>
      </c>
      <c r="E3" s="2881">
        <f t="shared" ref="E3:H3" si="0">ROUND(AVERAGEIF(E4:E21,"&lt;&gt;0"),2)</f>
        <v>0.3</v>
      </c>
      <c r="F3" s="2881">
        <f t="shared" si="0"/>
        <v>0.04</v>
      </c>
      <c r="G3" s="2881">
        <f t="shared" si="0"/>
        <v>0.51</v>
      </c>
      <c r="H3" s="2881">
        <f t="shared" si="0"/>
        <v>0.55000000000000004</v>
      </c>
      <c r="I3" s="2881">
        <f>F3</f>
        <v>0.04</v>
      </c>
      <c r="J3" s="2882"/>
      <c r="K3" s="2883">
        <f>ROUND(AVERAGEIF(K4:K21,"&lt;&gt;0"),4)</f>
        <v>4.7000000000000002E-3</v>
      </c>
      <c r="L3" s="2884">
        <f t="shared" ref="L3:O3" si="1">ROUND(AVERAGEIF(L4:L21,"&lt;&gt;0"),4)</f>
        <v>3.0000000000000001E-3</v>
      </c>
      <c r="M3" s="2884">
        <f t="shared" si="1"/>
        <v>4.0000000000000002E-4</v>
      </c>
      <c r="N3" s="2884">
        <f t="shared" si="1"/>
        <v>5.1000000000000004E-3</v>
      </c>
      <c r="O3" s="2884">
        <f t="shared" si="1"/>
        <v>5.4999999999999997E-3</v>
      </c>
      <c r="P3" s="2884">
        <f>M3</f>
        <v>4.0000000000000002E-4</v>
      </c>
      <c r="Q3" s="2882"/>
      <c r="R3" s="2885">
        <f>ROUND(SUMPRODUCT(PRODUCT(1+K4:K21)),4)</f>
        <v>1.0723</v>
      </c>
      <c r="S3" s="2886">
        <f t="shared" ref="S3:V3" si="2">ROUND(SUMPRODUCT(PRODUCT(1+L4:L21)),4)</f>
        <v>1.0465</v>
      </c>
      <c r="T3" s="2886">
        <f t="shared" si="2"/>
        <v>1.0054000000000001</v>
      </c>
      <c r="U3" s="2886">
        <f t="shared" si="2"/>
        <v>1.0790999999999999</v>
      </c>
      <c r="V3" s="2886">
        <f t="shared" si="2"/>
        <v>1.0857000000000001</v>
      </c>
      <c r="W3" s="2885">
        <f>T3</f>
        <v>1.0054000000000001</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30" s="2044" customFormat="1" ht="13.2">
      <c r="A5" s="2039" t="s">
        <v>3378</v>
      </c>
      <c r="B5" s="2030">
        <v>2025</v>
      </c>
      <c r="C5" s="2041">
        <v>1</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M5</f>
        <v>0</v>
      </c>
      <c r="Q5" s="2901"/>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1"/>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1" customFormat="1" ht="13.2">
      <c r="A6" s="2902" t="s">
        <v>3387</v>
      </c>
      <c r="B6" s="2903">
        <v>2024</v>
      </c>
      <c r="C6" s="2904">
        <v>4</v>
      </c>
      <c r="D6" s="2905">
        <v>0</v>
      </c>
      <c r="E6" s="2905">
        <v>0</v>
      </c>
      <c r="F6" s="2905">
        <v>0</v>
      </c>
      <c r="G6" s="2905">
        <v>0</v>
      </c>
      <c r="H6" s="2906">
        <v>0</v>
      </c>
      <c r="I6" s="2907">
        <f t="shared" ref="I6" si="15">F6</f>
        <v>0</v>
      </c>
      <c r="J6" s="2908"/>
      <c r="K6" s="2909">
        <f t="shared" ref="K6" si="16">D6/100</f>
        <v>0</v>
      </c>
      <c r="L6" s="2910">
        <f t="shared" ref="L6" si="17">E6/100</f>
        <v>0</v>
      </c>
      <c r="M6" s="2910">
        <f t="shared" ref="M6" si="18">F6/100</f>
        <v>0</v>
      </c>
      <c r="N6" s="2910">
        <f t="shared" ref="N6" si="19">G6/100</f>
        <v>0</v>
      </c>
      <c r="O6" s="2910">
        <f t="shared" ref="O6" si="20">H6/100</f>
        <v>0</v>
      </c>
      <c r="P6" s="2910">
        <f>M6</f>
        <v>0</v>
      </c>
      <c r="Q6" s="2908"/>
      <c r="R6" s="2908">
        <f>ROUND(IF(项目基本情况!$B$8="出让",SUMPRODUCT(PRODUCT(1+K6:$K$21)),SUMPRODUCT(PRODUCT(1+K6:$K$20))),4)</f>
        <v>1.0620000000000001</v>
      </c>
      <c r="S6" s="2908">
        <f>ROUND(IF(项目基本情况!$B$8="出让",SUMPRODUCT(PRODUCT(1+L6:$L$21)),SUMPRODUCT(PRODUCT(1+L6:$L$20))),4)</f>
        <v>1.0448</v>
      </c>
      <c r="T6" s="2908">
        <f>ROUND(IF(项目基本情况!$B$8="出让",SUMPRODUCT(PRODUCT(1+M6:$M$21)),SUMPRODUCT(PRODUCT(1+M6:$M$20))),4)</f>
        <v>1.0079</v>
      </c>
      <c r="U6" s="2908">
        <f>ROUND(IF(项目基本情况!$B$8="出让",SUMPRODUCT(PRODUCT(1+N6:$N$21)),SUMPRODUCT(PRODUCT(1+N6:$N$20))),4)</f>
        <v>1.0672999999999999</v>
      </c>
      <c r="V6" s="2908">
        <f>ROUND(IF(项目基本情况!$B$8="出让",SUMPRODUCT(PRODUCT(1+O6:$O$21)),SUMPRODUCT(PRODUCT(1+O6:$O$20))),4)</f>
        <v>1.0818000000000001</v>
      </c>
      <c r="W6" s="2908">
        <f>T6</f>
        <v>1.0079</v>
      </c>
      <c r="X6" s="2908"/>
      <c r="Y6" s="2910">
        <f>IF(D6=0,0,ROUND(AVERAGE(D6:D19)/100,4))</f>
        <v>0</v>
      </c>
      <c r="Z6" s="2910">
        <f t="shared" ref="Z6" si="21">IF(E6=0,0,ROUND(AVERAGE(E6:E19)/100,4))</f>
        <v>0</v>
      </c>
      <c r="AA6" s="2910">
        <f t="shared" ref="AA6" si="22">IF(F6=0,0,ROUND(AVERAGE(F6:F19)/100,4))</f>
        <v>0</v>
      </c>
      <c r="AB6" s="2910">
        <f t="shared" ref="AB6" si="23">IF(G6=0,0,ROUND(AVERAGE(G6:G19)/100,4))</f>
        <v>0</v>
      </c>
      <c r="AC6" s="2910">
        <f t="shared" ref="AC6" si="24">IF(H6=0,0,ROUND(AVERAGE(H6:H19)/100,4))</f>
        <v>0</v>
      </c>
      <c r="AD6" s="2910">
        <f t="shared" ref="AD6" si="25">AA6</f>
        <v>0</v>
      </c>
    </row>
    <row r="7" spans="1:30" s="2044" customFormat="1" ht="13.2">
      <c r="A7" s="2039" t="s">
        <v>3386</v>
      </c>
      <c r="B7" s="2030">
        <v>2024</v>
      </c>
      <c r="C7" s="2041">
        <v>3</v>
      </c>
      <c r="D7" s="2006">
        <v>-1.19</v>
      </c>
      <c r="E7" s="2006">
        <v>-0.47</v>
      </c>
      <c r="F7" s="2006">
        <v>-0.28999999999999998</v>
      </c>
      <c r="G7" s="2006">
        <v>-0.74</v>
      </c>
      <c r="H7" s="2006">
        <v>-0.21</v>
      </c>
      <c r="I7" s="2007">
        <f t="shared" ref="I7" si="26">F7</f>
        <v>-0.28999999999999998</v>
      </c>
      <c r="J7" s="2901"/>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1"/>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1"/>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0" t="s">
        <v>3379</v>
      </c>
      <c r="B8" s="2030">
        <v>2024</v>
      </c>
      <c r="C8" s="2041">
        <v>2</v>
      </c>
      <c r="D8" s="2006">
        <v>-0.59</v>
      </c>
      <c r="E8" s="2006">
        <v>-0.21</v>
      </c>
      <c r="F8" s="2006">
        <v>-1.38</v>
      </c>
      <c r="G8" s="2006">
        <v>-1.24</v>
      </c>
      <c r="H8" s="2912">
        <v>0.34</v>
      </c>
      <c r="I8" s="2007">
        <f t="shared" ref="I8:I21" si="37">F8</f>
        <v>-1.38</v>
      </c>
      <c r="J8" s="2901"/>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1"/>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1"/>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0" t="s">
        <v>3375</v>
      </c>
      <c r="B9" s="2030">
        <v>2024</v>
      </c>
      <c r="C9" s="2041">
        <v>1</v>
      </c>
      <c r="D9" s="2006">
        <v>0.08</v>
      </c>
      <c r="E9" s="2006">
        <v>0.46</v>
      </c>
      <c r="F9" s="2006">
        <v>-0.16</v>
      </c>
      <c r="G9" s="2006">
        <v>0.26</v>
      </c>
      <c r="H9" s="2912">
        <v>0.59</v>
      </c>
      <c r="I9" s="2007">
        <v>0</v>
      </c>
      <c r="J9" s="2901"/>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1"/>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1"/>
      <c r="Y9" s="2027"/>
      <c r="Z9" s="2027"/>
      <c r="AA9" s="2027"/>
      <c r="AB9" s="2027"/>
      <c r="AC9" s="2027"/>
      <c r="AD9" s="2027"/>
    </row>
    <row r="10" spans="1:30" s="2044" customFormat="1" ht="13.2">
      <c r="A10" s="2900" t="s">
        <v>3371</v>
      </c>
      <c r="B10" s="2030">
        <v>2023</v>
      </c>
      <c r="C10" s="2041">
        <v>4</v>
      </c>
      <c r="D10" s="2006">
        <v>0.19</v>
      </c>
      <c r="E10" s="2006">
        <v>0.24</v>
      </c>
      <c r="F10" s="2006">
        <v>-0.16</v>
      </c>
      <c r="G10" s="2006">
        <v>0.17</v>
      </c>
      <c r="H10" s="2912">
        <v>0.61</v>
      </c>
      <c r="I10" s="2007">
        <f>F10</f>
        <v>-0.16</v>
      </c>
      <c r="J10" s="2901"/>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1"/>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1"/>
      <c r="Y10" s="2027"/>
      <c r="Z10" s="2027"/>
      <c r="AA10" s="2027"/>
      <c r="AB10" s="2027"/>
      <c r="AC10" s="2027"/>
      <c r="AD10" s="2027"/>
    </row>
    <row r="11" spans="1:30" s="2044" customFormat="1" ht="13.2">
      <c r="A11" s="2900" t="s">
        <v>3370</v>
      </c>
      <c r="B11" s="2030">
        <v>2023</v>
      </c>
      <c r="C11" s="2041">
        <v>3</v>
      </c>
      <c r="D11" s="2006">
        <v>0.25</v>
      </c>
      <c r="E11" s="2006">
        <v>0.5</v>
      </c>
      <c r="F11" s="2006">
        <v>0.31</v>
      </c>
      <c r="G11" s="2006">
        <v>0.21</v>
      </c>
      <c r="H11" s="2912">
        <v>0.43</v>
      </c>
      <c r="I11" s="2007">
        <f t="shared" si="37"/>
        <v>0.31</v>
      </c>
      <c r="J11" s="2901"/>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1"/>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1"/>
      <c r="Y11" s="2027"/>
      <c r="Z11" s="2027"/>
      <c r="AA11" s="2027"/>
      <c r="AB11" s="2027"/>
      <c r="AC11" s="2027"/>
      <c r="AD11" s="2027"/>
    </row>
    <row r="12" spans="1:30" s="2044" customFormat="1" ht="13.2">
      <c r="A12" s="2900" t="s">
        <v>3368</v>
      </c>
      <c r="B12" s="2030">
        <v>2023</v>
      </c>
      <c r="C12" s="2041">
        <v>2</v>
      </c>
      <c r="D12" s="2006">
        <v>0.91</v>
      </c>
      <c r="E12" s="2006">
        <v>0.66</v>
      </c>
      <c r="F12" s="2006">
        <v>0.47</v>
      </c>
      <c r="G12" s="2006">
        <v>0.96</v>
      </c>
      <c r="H12" s="2912">
        <v>0.71</v>
      </c>
      <c r="I12" s="2007">
        <f t="shared" si="37"/>
        <v>0.47</v>
      </c>
      <c r="J12" s="2901"/>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1"/>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1"/>
      <c r="Y12" s="2027"/>
      <c r="Z12" s="2027"/>
      <c r="AA12" s="2027"/>
      <c r="AB12" s="2027"/>
      <c r="AC12" s="2027"/>
      <c r="AD12" s="2027"/>
    </row>
    <row r="13" spans="1:30" s="2044" customFormat="1" ht="13.2">
      <c r="A13" s="2900" t="s">
        <v>3367</v>
      </c>
      <c r="B13" s="2030">
        <v>2023</v>
      </c>
      <c r="C13" s="2041">
        <v>1</v>
      </c>
      <c r="D13" s="2006">
        <v>0.89</v>
      </c>
      <c r="E13" s="2006">
        <v>0.74</v>
      </c>
      <c r="F13" s="2006">
        <v>0.56999999999999995</v>
      </c>
      <c r="G13" s="2006">
        <v>0.92</v>
      </c>
      <c r="H13" s="2912">
        <v>0.5</v>
      </c>
      <c r="I13" s="2007">
        <f t="shared" si="37"/>
        <v>0.56999999999999995</v>
      </c>
      <c r="J13" s="2901"/>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1"/>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1"/>
      <c r="Y13" s="2027"/>
      <c r="Z13" s="2027"/>
      <c r="AA13" s="2027"/>
      <c r="AB13" s="2027"/>
      <c r="AC13" s="2027"/>
      <c r="AD13" s="2027"/>
    </row>
    <row r="14" spans="1:30" s="2044" customFormat="1" ht="13.2">
      <c r="A14" s="2900" t="s">
        <v>3366</v>
      </c>
      <c r="B14" s="2030">
        <v>2022</v>
      </c>
      <c r="C14" s="2041">
        <v>4</v>
      </c>
      <c r="D14" s="2006">
        <v>0.62</v>
      </c>
      <c r="E14" s="2006">
        <v>0.2</v>
      </c>
      <c r="F14" s="2006">
        <v>0.11</v>
      </c>
      <c r="G14" s="2006">
        <v>0.69</v>
      </c>
      <c r="H14" s="2912">
        <v>0.53</v>
      </c>
      <c r="I14" s="2007">
        <f t="shared" si="37"/>
        <v>0.11</v>
      </c>
      <c r="J14" s="2901"/>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1"/>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1"/>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0" t="s">
        <v>3364</v>
      </c>
      <c r="B15" s="2030">
        <v>2022</v>
      </c>
      <c r="C15" s="2041">
        <v>3</v>
      </c>
      <c r="D15" s="2006">
        <v>0.66</v>
      </c>
      <c r="E15" s="2006">
        <v>0.32</v>
      </c>
      <c r="F15" s="2006">
        <v>0.23</v>
      </c>
      <c r="G15" s="2006">
        <v>0.72</v>
      </c>
      <c r="H15" s="2912">
        <v>0.63</v>
      </c>
      <c r="I15" s="2007">
        <f t="shared" si="37"/>
        <v>0.23</v>
      </c>
      <c r="J15" s="2901"/>
      <c r="K15" s="2042">
        <f t="shared" si="38"/>
        <v>6.6E-3</v>
      </c>
      <c r="L15" s="2027">
        <f t="shared" si="38"/>
        <v>3.2000000000000002E-3</v>
      </c>
      <c r="M15" s="2027">
        <f t="shared" si="38"/>
        <v>2.3E-3</v>
      </c>
      <c r="N15" s="2027">
        <f t="shared" si="38"/>
        <v>7.1999999999999998E-3</v>
      </c>
      <c r="O15" s="2027">
        <f t="shared" si="38"/>
        <v>6.3E-3</v>
      </c>
      <c r="P15" s="2027">
        <f t="shared" si="58"/>
        <v>2.3E-3</v>
      </c>
      <c r="Q15" s="2901"/>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1"/>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0" t="s">
        <v>3355</v>
      </c>
      <c r="B16" s="2030">
        <v>2022</v>
      </c>
      <c r="C16" s="2041">
        <v>2</v>
      </c>
      <c r="D16" s="2006">
        <v>0.93</v>
      </c>
      <c r="E16" s="2006">
        <v>0.15</v>
      </c>
      <c r="F16" s="2006">
        <v>0.01</v>
      </c>
      <c r="G16" s="2006">
        <v>1.05</v>
      </c>
      <c r="H16" s="2912">
        <v>1.08</v>
      </c>
      <c r="I16" s="2007">
        <f t="shared" si="37"/>
        <v>0.01</v>
      </c>
      <c r="J16" s="2901"/>
      <c r="K16" s="2042">
        <f t="shared" si="38"/>
        <v>9.300000000000001E-3</v>
      </c>
      <c r="L16" s="2027">
        <f t="shared" si="38"/>
        <v>1.5E-3</v>
      </c>
      <c r="M16" s="2027">
        <f t="shared" si="38"/>
        <v>1E-4</v>
      </c>
      <c r="N16" s="2027">
        <f t="shared" si="38"/>
        <v>1.0500000000000001E-2</v>
      </c>
      <c r="O16" s="2027">
        <f t="shared" si="38"/>
        <v>1.0800000000000001E-2</v>
      </c>
      <c r="P16" s="2027">
        <f t="shared" si="58"/>
        <v>1E-4</v>
      </c>
      <c r="Q16" s="2901"/>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1"/>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0" t="s">
        <v>2820</v>
      </c>
      <c r="B17" s="2030">
        <v>2022</v>
      </c>
      <c r="C17" s="2041">
        <v>1</v>
      </c>
      <c r="D17" s="2006">
        <v>0.89</v>
      </c>
      <c r="E17" s="2006">
        <v>0.44</v>
      </c>
      <c r="F17" s="2006">
        <v>0.37</v>
      </c>
      <c r="G17" s="2006">
        <v>0.96</v>
      </c>
      <c r="H17" s="2912">
        <v>0.64</v>
      </c>
      <c r="I17" s="2007">
        <f t="shared" si="37"/>
        <v>0.37</v>
      </c>
      <c r="J17" s="2901"/>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1"/>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1"/>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0" t="s">
        <v>2821</v>
      </c>
      <c r="B18" s="2030">
        <v>2021</v>
      </c>
      <c r="C18" s="2041">
        <v>4</v>
      </c>
      <c r="D18" s="2006">
        <v>1.03</v>
      </c>
      <c r="E18" s="2006">
        <v>0.24</v>
      </c>
      <c r="F18" s="2006">
        <v>7.0000000000000007E-2</v>
      </c>
      <c r="G18" s="2006">
        <v>1.17</v>
      </c>
      <c r="H18" s="2912">
        <v>0.55000000000000004</v>
      </c>
      <c r="I18" s="2007">
        <f t="shared" si="37"/>
        <v>7.0000000000000007E-2</v>
      </c>
      <c r="J18" s="2901"/>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1"/>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1"/>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0" t="s">
        <v>2822</v>
      </c>
      <c r="B19" s="2030">
        <v>2021</v>
      </c>
      <c r="C19" s="2041">
        <v>3</v>
      </c>
      <c r="D19" s="2006">
        <v>0.47</v>
      </c>
      <c r="E19" s="2006">
        <v>0.41</v>
      </c>
      <c r="F19" s="2006">
        <v>0.24</v>
      </c>
      <c r="G19" s="2006">
        <v>0.48</v>
      </c>
      <c r="H19" s="2912">
        <v>0.48</v>
      </c>
      <c r="I19" s="2007">
        <f t="shared" si="37"/>
        <v>0.24</v>
      </c>
      <c r="J19" s="2901"/>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1"/>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1"/>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0" t="s">
        <v>2823</v>
      </c>
      <c r="B20" s="2030">
        <v>2021</v>
      </c>
      <c r="C20" s="2041">
        <v>2</v>
      </c>
      <c r="D20" s="2006">
        <v>0.92</v>
      </c>
      <c r="E20" s="2006">
        <v>0.72</v>
      </c>
      <c r="F20" s="2006">
        <v>0.41</v>
      </c>
      <c r="G20" s="2006">
        <v>0.95</v>
      </c>
      <c r="H20" s="2912">
        <v>1.01</v>
      </c>
      <c r="I20" s="2007">
        <f t="shared" si="37"/>
        <v>0.41</v>
      </c>
      <c r="J20" s="2901"/>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1"/>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1"/>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3" customFormat="1" ht="13.8" thickBot="1">
      <c r="A21" s="2913" t="s">
        <v>2824</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3385</v>
      </c>
    </row>
    <row r="24" spans="1:30">
      <c r="I24" s="1405" t="s">
        <v>2825</v>
      </c>
    </row>
    <row r="26" spans="1:30" s="2008" customFormat="1" ht="13.2">
      <c r="B26" s="2924" t="s">
        <v>3383</v>
      </c>
      <c r="C26" s="2925"/>
      <c r="D26" s="2925"/>
      <c r="E26" s="2925"/>
      <c r="F26" s="2925"/>
      <c r="G26" s="2925"/>
      <c r="H26" s="2925"/>
      <c r="I26" s="2925"/>
      <c r="J26" s="2891"/>
      <c r="K26" s="2925" t="s">
        <v>2826</v>
      </c>
      <c r="L26" s="2925"/>
      <c r="M26" s="2925"/>
      <c r="N26" s="2925"/>
      <c r="O26" s="2925"/>
      <c r="P26" s="2925"/>
      <c r="Q26" s="2891"/>
      <c r="R26" s="3516" t="s">
        <v>2827</v>
      </c>
      <c r="S26" s="3517"/>
      <c r="T26" s="3517"/>
      <c r="U26" s="3517"/>
      <c r="V26" s="3517"/>
      <c r="W26" s="3517"/>
      <c r="X26" s="2891"/>
      <c r="Y26" s="3516" t="s">
        <v>2828</v>
      </c>
      <c r="Z26" s="3517"/>
      <c r="AA26" s="3517"/>
      <c r="AB26" s="3517"/>
      <c r="AC26" s="3517"/>
      <c r="AD26" s="3517"/>
    </row>
    <row r="27" spans="1:30" s="2009" customFormat="1" ht="15" thickBot="1">
      <c r="B27" s="2876"/>
      <c r="C27" s="2877"/>
      <c r="D27" s="2010" t="s">
        <v>2829</v>
      </c>
      <c r="E27" s="2011" t="s">
        <v>2830</v>
      </c>
      <c r="F27" s="2011" t="s">
        <v>2831</v>
      </c>
      <c r="G27" s="2011" t="s">
        <v>2832</v>
      </c>
      <c r="H27" s="2011"/>
      <c r="I27" s="2011" t="s">
        <v>2833</v>
      </c>
      <c r="J27" s="2878"/>
      <c r="K27" s="2010" t="s">
        <v>2829</v>
      </c>
      <c r="L27" s="2011" t="s">
        <v>2830</v>
      </c>
      <c r="M27" s="2011" t="s">
        <v>2831</v>
      </c>
      <c r="N27" s="2011" t="s">
        <v>2832</v>
      </c>
      <c r="O27" s="2011"/>
      <c r="P27" s="2011" t="s">
        <v>2833</v>
      </c>
      <c r="Q27" s="2878"/>
      <c r="R27" s="2010" t="s">
        <v>2829</v>
      </c>
      <c r="S27" s="2011" t="s">
        <v>2830</v>
      </c>
      <c r="T27" s="2011" t="s">
        <v>2831</v>
      </c>
      <c r="U27" s="2011" t="s">
        <v>2832</v>
      </c>
      <c r="V27" s="2011"/>
      <c r="W27" s="2011" t="s">
        <v>2833</v>
      </c>
      <c r="X27" s="2878"/>
      <c r="Y27" s="2010" t="s">
        <v>2829</v>
      </c>
      <c r="Z27" s="2011" t="s">
        <v>2830</v>
      </c>
      <c r="AA27" s="2011" t="s">
        <v>2831</v>
      </c>
      <c r="AB27" s="2011" t="s">
        <v>2832</v>
      </c>
      <c r="AC27" s="2011"/>
      <c r="AD27" s="2011" t="s">
        <v>2833</v>
      </c>
    </row>
    <row r="28" spans="1:30" s="2881" customFormat="1" ht="13.2">
      <c r="A28" s="2879" t="s">
        <v>2834</v>
      </c>
      <c r="B28" s="2880"/>
      <c r="E28" s="2881">
        <f t="shared" ref="E28:G28" si="65">ROUND(AVERAGEIF(E29:E46,"&lt;&gt;0"),2)</f>
        <v>0.26</v>
      </c>
      <c r="F28" s="2881">
        <f t="shared" si="65"/>
        <v>0.19</v>
      </c>
      <c r="G28" s="2881">
        <f t="shared" si="65"/>
        <v>0.38</v>
      </c>
      <c r="I28" s="2881">
        <f>F28</f>
        <v>0.19</v>
      </c>
      <c r="J28" s="2882"/>
      <c r="K28" s="2883"/>
      <c r="L28" s="2884">
        <f t="shared" ref="L28:N28" si="66">ROUND(AVERAGEIF(L29:L46,"&lt;&gt;0"),4)</f>
        <v>2.5999999999999999E-3</v>
      </c>
      <c r="M28" s="2884">
        <f t="shared" si="66"/>
        <v>1.9E-3</v>
      </c>
      <c r="N28" s="2884">
        <f t="shared" si="66"/>
        <v>3.8E-3</v>
      </c>
      <c r="O28" s="2884"/>
      <c r="P28" s="2884">
        <f>M28</f>
        <v>1.9E-3</v>
      </c>
      <c r="Q28" s="2882"/>
      <c r="R28" s="2885"/>
      <c r="S28" s="2886">
        <f>ROUND(SUMPRODUCT(PRODUCT(1+L29:L46)),4)</f>
        <v>1.04</v>
      </c>
      <c r="T28" s="2886">
        <f t="shared" ref="T28:U28" si="67">ROUND(SUMPRODUCT(PRODUCT(1+M29:M46)),4)</f>
        <v>1.0293000000000001</v>
      </c>
      <c r="U28" s="2886">
        <f t="shared" si="67"/>
        <v>1.0583</v>
      </c>
      <c r="V28" s="2886"/>
      <c r="W28" s="2885">
        <f>T28</f>
        <v>1.0293000000000001</v>
      </c>
      <c r="X28" s="2882"/>
      <c r="Y28" s="2887"/>
      <c r="Z28" s="2888">
        <f t="shared" ref="Z28:AB28" si="68">ROUND(AVERAGEIF(Z29:Z46,"&lt;&gt;0"),4)</f>
        <v>4.1000000000000003E-3</v>
      </c>
      <c r="AA28" s="2889">
        <f t="shared" si="68"/>
        <v>3.3E-3</v>
      </c>
      <c r="AB28" s="2887">
        <f t="shared" si="68"/>
        <v>8.0999999999999996E-3</v>
      </c>
      <c r="AC28" s="2890"/>
      <c r="AD28" s="2887">
        <f>AA28</f>
        <v>3.3E-3</v>
      </c>
    </row>
    <row r="29" spans="1:30" s="2008" customFormat="1" ht="13.2">
      <c r="B29" s="2024"/>
      <c r="J29" s="2891"/>
      <c r="K29" s="2892"/>
      <c r="L29" s="2893"/>
      <c r="M29" s="2893"/>
      <c r="N29" s="2893"/>
      <c r="O29" s="2893"/>
      <c r="P29" s="2893"/>
      <c r="Q29" s="2891"/>
      <c r="R29" s="2026"/>
      <c r="S29" s="2894"/>
      <c r="T29" s="2895"/>
      <c r="U29" s="2026"/>
      <c r="V29" s="2896"/>
      <c r="W29" s="2026"/>
      <c r="X29" s="2891"/>
      <c r="Y29" s="2027"/>
      <c r="Z29" s="2897"/>
      <c r="AA29" s="2898"/>
      <c r="AB29" s="2027"/>
      <c r="AC29" s="2899"/>
      <c r="AD29" s="2027"/>
    </row>
    <row r="30" spans="1:30" s="2044" customFormat="1" ht="13.2">
      <c r="A30" s="2039" t="s">
        <v>3378</v>
      </c>
      <c r="B30" s="2030">
        <v>2025</v>
      </c>
      <c r="C30" s="2041">
        <v>1</v>
      </c>
      <c r="D30" s="2006"/>
      <c r="E30" s="2006">
        <v>0</v>
      </c>
      <c r="F30" s="2006">
        <v>0</v>
      </c>
      <c r="G30" s="2006">
        <v>0</v>
      </c>
      <c r="H30" s="2006"/>
      <c r="I30" s="2007">
        <f t="shared" ref="I30" si="69">F30</f>
        <v>0</v>
      </c>
      <c r="J30" s="2901"/>
      <c r="K30" s="2042"/>
      <c r="L30" s="2027">
        <f t="shared" ref="L30" si="70">E30/100</f>
        <v>0</v>
      </c>
      <c r="M30" s="2027">
        <f t="shared" ref="M30" si="71">F30/100</f>
        <v>0</v>
      </c>
      <c r="N30" s="2027">
        <f t="shared" ref="N30" si="72">G30/100</f>
        <v>0</v>
      </c>
      <c r="O30" s="2027"/>
      <c r="P30" s="2027">
        <f>M30</f>
        <v>0</v>
      </c>
      <c r="Q30" s="2901"/>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1"/>
      <c r="Y30" s="2027"/>
      <c r="Z30" s="2897">
        <f t="shared" ref="Z30" si="73">IF(E30=0,0,ROUND(AVERAGE(E30:E43)/100,4))</f>
        <v>0</v>
      </c>
      <c r="AA30" s="2897">
        <f t="shared" ref="AA30" si="74">IF(F30=0,0,ROUND(AVERAGE(F30:F43)/100,4))</f>
        <v>0</v>
      </c>
      <c r="AB30" s="2897">
        <f t="shared" ref="AB30" si="75">IF(G30=0,0,ROUND(AVERAGE(G30:G43)/100,4))</f>
        <v>0</v>
      </c>
      <c r="AC30" s="2899"/>
      <c r="AD30" s="2027">
        <f>IF(I30=0,0,ROUND(AVERAGE(I30:I43)/100,4))</f>
        <v>0</v>
      </c>
    </row>
    <row r="31" spans="1:30" s="2911" customFormat="1" ht="13.2">
      <c r="A31" s="2902" t="s">
        <v>3380</v>
      </c>
      <c r="B31" s="2903">
        <v>2024</v>
      </c>
      <c r="C31" s="2904">
        <v>4</v>
      </c>
      <c r="D31" s="2905"/>
      <c r="E31" s="2905">
        <v>0</v>
      </c>
      <c r="F31" s="2905">
        <v>0</v>
      </c>
      <c r="G31" s="2905">
        <v>0</v>
      </c>
      <c r="H31" s="2906"/>
      <c r="I31" s="2907">
        <f t="shared" ref="I31" si="76">F31</f>
        <v>0</v>
      </c>
      <c r="J31" s="2908"/>
      <c r="K31" s="2909"/>
      <c r="L31" s="2910">
        <f t="shared" ref="L31" si="77">E31/100</f>
        <v>0</v>
      </c>
      <c r="M31" s="2910">
        <f t="shared" ref="M31" si="78">F31/100</f>
        <v>0</v>
      </c>
      <c r="N31" s="2910">
        <f t="shared" ref="N31" si="79">G31/100</f>
        <v>0</v>
      </c>
      <c r="O31" s="2910"/>
      <c r="P31" s="2910">
        <f>M31</f>
        <v>0</v>
      </c>
      <c r="Q31" s="2908"/>
      <c r="R31" s="2908"/>
      <c r="S31" s="2908">
        <f>ROUND(IF(项目基本情况!$B$8="出让",SUMPRODUCT(PRODUCT(1+L31:L$46)),SUMPRODUCT(PRODUCT(1+L31:L$45))),4)</f>
        <v>1.0364</v>
      </c>
      <c r="T31" s="2908">
        <f>ROUND(IF(项目基本情况!$B$8="出让",SUMPRODUCT(PRODUCT(1+M31:M$46)),SUMPRODUCT(PRODUCT(1+M31:M$45))),4)</f>
        <v>1.0244</v>
      </c>
      <c r="U31" s="2908">
        <f>ROUND(IF(项目基本情况!$B$8="出让",SUMPRODUCT(PRODUCT(1+N31:N$46)),SUMPRODUCT(PRODUCT(1+N31:N$45))),4)</f>
        <v>1.048</v>
      </c>
      <c r="V31" s="2908"/>
      <c r="W31" s="2908">
        <f>T31</f>
        <v>1.0244</v>
      </c>
      <c r="X31" s="2908"/>
      <c r="Y31" s="2910"/>
      <c r="Z31" s="2926">
        <f t="shared" ref="Z31" si="80">IF(E31=0,0,ROUND(AVERAGE(E31:E44)/100,4))</f>
        <v>0</v>
      </c>
      <c r="AA31" s="2927">
        <f t="shared" ref="AA31" si="81">IF(F31=0,0,ROUND(AVERAGE(F31:F44)/100,4))</f>
        <v>0</v>
      </c>
      <c r="AB31" s="2910">
        <f t="shared" ref="AB31" si="82">IF(G31=0,0,ROUND(AVERAGE(G31:G44)/100,4))</f>
        <v>0</v>
      </c>
      <c r="AC31" s="2928"/>
      <c r="AD31" s="2910">
        <f>IF(I31=0,0,ROUND(AVERAGE(I31:I44)/100,4))</f>
        <v>0</v>
      </c>
    </row>
    <row r="32" spans="1:30" s="2044" customFormat="1" ht="13.2">
      <c r="A32" s="2039" t="s">
        <v>3373</v>
      </c>
      <c r="B32" s="2030">
        <v>2024</v>
      </c>
      <c r="C32" s="2041">
        <v>3</v>
      </c>
      <c r="D32" s="2006"/>
      <c r="E32" s="2006">
        <v>-0.66</v>
      </c>
      <c r="F32" s="2006">
        <v>-0.52</v>
      </c>
      <c r="G32" s="2006">
        <v>-2.87</v>
      </c>
      <c r="H32" s="2006"/>
      <c r="I32" s="2007">
        <f t="shared" ref="I32" si="83">F32</f>
        <v>-0.52</v>
      </c>
      <c r="J32" s="2901"/>
      <c r="K32" s="2042"/>
      <c r="L32" s="2027">
        <f t="shared" ref="L32" si="84">E32/100</f>
        <v>-6.6E-3</v>
      </c>
      <c r="M32" s="2027">
        <f t="shared" ref="M32" si="85">F32/100</f>
        <v>-5.1999999999999998E-3</v>
      </c>
      <c r="N32" s="2027">
        <f t="shared" ref="N32" si="86">G32/100</f>
        <v>-2.87E-2</v>
      </c>
      <c r="O32" s="2027"/>
      <c r="P32" s="2027">
        <f>M32</f>
        <v>-5.1999999999999998E-3</v>
      </c>
      <c r="Q32" s="2901"/>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1"/>
      <c r="Y32" s="2027"/>
      <c r="Z32" s="2897">
        <f t="shared" ref="Z32:AB33" si="87">IF(E32=0,0,ROUND(AVERAGE(E32:E45)/100,4))</f>
        <v>2.5999999999999999E-3</v>
      </c>
      <c r="AA32" s="2897">
        <f t="shared" si="87"/>
        <v>1.6999999999999999E-3</v>
      </c>
      <c r="AB32" s="2897">
        <f t="shared" si="87"/>
        <v>3.3999999999999998E-3</v>
      </c>
      <c r="AC32" s="2899"/>
      <c r="AD32" s="2027">
        <f>IF(I32=0,0,ROUND(AVERAGE(I32:I45)/100,4))</f>
        <v>1.6999999999999999E-3</v>
      </c>
    </row>
    <row r="33" spans="1:30" s="2044" customFormat="1" ht="13.2">
      <c r="A33" s="2900" t="s">
        <v>3381</v>
      </c>
      <c r="B33" s="2030">
        <v>2024</v>
      </c>
      <c r="C33" s="2041">
        <v>2</v>
      </c>
      <c r="D33" s="2006"/>
      <c r="E33" s="2006">
        <v>-0.31</v>
      </c>
      <c r="F33" s="2006">
        <v>-0.39</v>
      </c>
      <c r="G33" s="2006">
        <v>1.23</v>
      </c>
      <c r="H33" s="2912"/>
      <c r="I33" s="2007">
        <f t="shared" ref="I33:I46" si="88">F33</f>
        <v>-0.39</v>
      </c>
      <c r="J33" s="2901"/>
      <c r="K33" s="2042"/>
      <c r="L33" s="2027">
        <f t="shared" ref="L33:N46" si="89">E33/100</f>
        <v>-3.0999999999999999E-3</v>
      </c>
      <c r="M33" s="2027">
        <f t="shared" si="89"/>
        <v>-3.9000000000000003E-3</v>
      </c>
      <c r="N33" s="2027">
        <f t="shared" si="89"/>
        <v>1.23E-2</v>
      </c>
      <c r="O33" s="2027"/>
      <c r="P33" s="2027">
        <f>M33</f>
        <v>-3.9000000000000003E-3</v>
      </c>
      <c r="Q33" s="2901"/>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1"/>
      <c r="Y33" s="2027"/>
      <c r="Z33" s="2897">
        <f t="shared" si="87"/>
        <v>3.3E-3</v>
      </c>
      <c r="AA33" s="2898">
        <f t="shared" si="87"/>
        <v>2.3999999999999998E-3</v>
      </c>
      <c r="AB33" s="2027">
        <f t="shared" si="87"/>
        <v>6.1999999999999998E-3</v>
      </c>
      <c r="AC33" s="2899"/>
      <c r="AD33" s="2027">
        <f>IF(I33=0,0,ROUND(AVERAGE(I33:I46)/100,4))</f>
        <v>2.3999999999999998E-3</v>
      </c>
    </row>
    <row r="34" spans="1:30" s="2044" customFormat="1" ht="13.2">
      <c r="A34" s="2900" t="s">
        <v>3374</v>
      </c>
      <c r="B34" s="2030">
        <v>2024</v>
      </c>
      <c r="C34" s="2041">
        <v>1</v>
      </c>
      <c r="D34" s="2006"/>
      <c r="E34" s="2006">
        <v>0.25</v>
      </c>
      <c r="F34" s="2006">
        <v>0.4</v>
      </c>
      <c r="G34" s="2006">
        <v>-0.63</v>
      </c>
      <c r="H34" s="2912"/>
      <c r="I34" s="2007">
        <f t="shared" ref="I34:I35" si="90">F34</f>
        <v>0.4</v>
      </c>
      <c r="J34" s="2901"/>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1"/>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1"/>
      <c r="Y34" s="2027"/>
      <c r="Z34" s="2897"/>
      <c r="AA34" s="2898"/>
      <c r="AB34" s="2027"/>
      <c r="AC34" s="2899"/>
      <c r="AD34" s="2027"/>
    </row>
    <row r="35" spans="1:30" s="2044" customFormat="1" ht="13.2">
      <c r="A35" s="2900" t="s">
        <v>3372</v>
      </c>
      <c r="B35" s="2030">
        <v>2023</v>
      </c>
      <c r="C35" s="2041">
        <v>4</v>
      </c>
      <c r="D35" s="2006"/>
      <c r="E35" s="2006">
        <v>7.0000000000000007E-2</v>
      </c>
      <c r="F35" s="2006">
        <v>0.09</v>
      </c>
      <c r="G35" s="2006">
        <v>0.03</v>
      </c>
      <c r="H35" s="2912"/>
      <c r="I35" s="2007">
        <f t="shared" si="90"/>
        <v>0.09</v>
      </c>
      <c r="J35" s="2901"/>
      <c r="K35" s="2042"/>
      <c r="L35" s="2027">
        <f t="shared" si="89"/>
        <v>7.000000000000001E-4</v>
      </c>
      <c r="M35" s="2027">
        <f t="shared" si="89"/>
        <v>8.9999999999999998E-4</v>
      </c>
      <c r="N35" s="2027">
        <f t="shared" si="89"/>
        <v>2.9999999999999997E-4</v>
      </c>
      <c r="O35" s="2027"/>
      <c r="P35" s="2027">
        <f t="shared" ref="P35" si="96">M35</f>
        <v>8.9999999999999998E-4</v>
      </c>
      <c r="Q35" s="2901"/>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1"/>
      <c r="Y35" s="2027"/>
      <c r="Z35" s="2897"/>
      <c r="AA35" s="2898"/>
      <c r="AB35" s="2027"/>
      <c r="AC35" s="2899"/>
      <c r="AD35" s="2027"/>
    </row>
    <row r="36" spans="1:30" s="2044" customFormat="1" ht="13.2">
      <c r="A36" s="2900" t="s">
        <v>3370</v>
      </c>
      <c r="B36" s="2030">
        <v>2023</v>
      </c>
      <c r="C36" s="2041">
        <v>3</v>
      </c>
      <c r="D36" s="2006"/>
      <c r="E36" s="2006">
        <v>0.35</v>
      </c>
      <c r="F36" s="2006">
        <v>0.17</v>
      </c>
      <c r="G36" s="2006">
        <v>0.52</v>
      </c>
      <c r="H36" s="2912"/>
      <c r="I36" s="2007">
        <f t="shared" si="88"/>
        <v>0.17</v>
      </c>
      <c r="J36" s="2901"/>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1"/>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1"/>
      <c r="Y36" s="2027"/>
      <c r="Z36" s="2897"/>
      <c r="AA36" s="2898"/>
      <c r="AB36" s="2027"/>
      <c r="AC36" s="2899"/>
      <c r="AD36" s="2027"/>
    </row>
    <row r="37" spans="1:30" s="2044" customFormat="1" ht="13.2">
      <c r="A37" s="2900" t="s">
        <v>3369</v>
      </c>
      <c r="B37" s="2030">
        <v>2023</v>
      </c>
      <c r="C37" s="2041">
        <v>2</v>
      </c>
      <c r="D37" s="2006"/>
      <c r="E37" s="2006">
        <v>0.5</v>
      </c>
      <c r="F37" s="2006">
        <v>0.45</v>
      </c>
      <c r="G37" s="2006">
        <v>0.89</v>
      </c>
      <c r="H37" s="2912"/>
      <c r="I37" s="2007">
        <f t="shared" si="88"/>
        <v>0.45</v>
      </c>
      <c r="J37" s="2901"/>
      <c r="K37" s="2042"/>
      <c r="L37" s="2027">
        <f t="shared" si="98"/>
        <v>5.0000000000000001E-3</v>
      </c>
      <c r="M37" s="2027">
        <f t="shared" si="99"/>
        <v>4.5000000000000005E-3</v>
      </c>
      <c r="N37" s="2027">
        <f t="shared" si="100"/>
        <v>8.8999999999999999E-3</v>
      </c>
      <c r="O37" s="2027"/>
      <c r="P37" s="2027">
        <f t="shared" si="101"/>
        <v>4.5000000000000005E-3</v>
      </c>
      <c r="Q37" s="2901"/>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1"/>
      <c r="Y37" s="2027"/>
      <c r="Z37" s="2897"/>
      <c r="AA37" s="2898"/>
      <c r="AB37" s="2027"/>
      <c r="AC37" s="2899"/>
      <c r="AD37" s="2027"/>
    </row>
    <row r="38" spans="1:30" s="2044" customFormat="1" ht="13.2">
      <c r="A38" s="2900" t="s">
        <v>3367</v>
      </c>
      <c r="B38" s="2030">
        <v>2023</v>
      </c>
      <c r="C38" s="2041">
        <v>1</v>
      </c>
      <c r="D38" s="2006"/>
      <c r="E38" s="2006">
        <v>0.55000000000000004</v>
      </c>
      <c r="F38" s="2006">
        <v>0.59</v>
      </c>
      <c r="G38" s="2006">
        <v>0.64</v>
      </c>
      <c r="H38" s="2912"/>
      <c r="I38" s="2007">
        <f t="shared" si="88"/>
        <v>0.59</v>
      </c>
      <c r="J38" s="2901"/>
      <c r="K38" s="2042"/>
      <c r="L38" s="2027">
        <f t="shared" si="98"/>
        <v>5.5000000000000005E-3</v>
      </c>
      <c r="M38" s="2027">
        <f t="shared" si="99"/>
        <v>5.8999999999999999E-3</v>
      </c>
      <c r="N38" s="2027">
        <f t="shared" si="100"/>
        <v>6.4000000000000003E-3</v>
      </c>
      <c r="O38" s="2027"/>
      <c r="P38" s="2027">
        <f t="shared" si="101"/>
        <v>5.8999999999999999E-3</v>
      </c>
      <c r="Q38" s="2901"/>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1"/>
      <c r="Y38" s="2027"/>
      <c r="Z38" s="2897"/>
      <c r="AA38" s="2898"/>
      <c r="AB38" s="2027"/>
      <c r="AC38" s="2899"/>
      <c r="AD38" s="2027"/>
    </row>
    <row r="39" spans="1:30" s="2044" customFormat="1" ht="13.2">
      <c r="A39" s="2900" t="s">
        <v>3366</v>
      </c>
      <c r="B39" s="2030">
        <v>2022</v>
      </c>
      <c r="C39" s="2041">
        <v>4</v>
      </c>
      <c r="D39" s="2006"/>
      <c r="E39" s="2006">
        <v>0.45</v>
      </c>
      <c r="F39" s="2006">
        <v>0.2</v>
      </c>
      <c r="G39" s="2006">
        <v>0.38</v>
      </c>
      <c r="H39" s="2912"/>
      <c r="I39" s="2007">
        <f t="shared" si="88"/>
        <v>0.2</v>
      </c>
      <c r="J39" s="2901"/>
      <c r="K39" s="2042"/>
      <c r="L39" s="2027">
        <f t="shared" si="89"/>
        <v>4.5000000000000005E-3</v>
      </c>
      <c r="M39" s="2027">
        <f t="shared" si="89"/>
        <v>2E-3</v>
      </c>
      <c r="N39" s="2027">
        <f t="shared" si="89"/>
        <v>3.8E-3</v>
      </c>
      <c r="O39" s="2027"/>
      <c r="P39" s="2027">
        <f t="shared" ref="P39:P46" si="103">M39</f>
        <v>2E-3</v>
      </c>
      <c r="Q39" s="2901"/>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1"/>
      <c r="Y39" s="2027"/>
      <c r="Z39" s="2897">
        <f t="shared" ref="Z39:AD46" si="105">IF(E39=0,0,ROUND(AVERAGE(E39:E47)/100,4))</f>
        <v>4.0000000000000001E-3</v>
      </c>
      <c r="AA39" s="2898">
        <f t="shared" si="105"/>
        <v>2.5999999999999999E-3</v>
      </c>
      <c r="AB39" s="2027">
        <f t="shared" si="105"/>
        <v>7.4000000000000003E-3</v>
      </c>
      <c r="AC39" s="2899"/>
      <c r="AD39" s="2027">
        <f t="shared" si="105"/>
        <v>2.5999999999999999E-3</v>
      </c>
    </row>
    <row r="40" spans="1:30" s="2044" customFormat="1" ht="13.2">
      <c r="A40" s="2900" t="s">
        <v>3365</v>
      </c>
      <c r="B40" s="2030">
        <v>2022</v>
      </c>
      <c r="C40" s="2041">
        <v>3</v>
      </c>
      <c r="D40" s="2006"/>
      <c r="E40" s="2006">
        <v>0.3</v>
      </c>
      <c r="F40" s="2006">
        <v>0.28999999999999998</v>
      </c>
      <c r="G40" s="2006">
        <v>0.83</v>
      </c>
      <c r="H40" s="2912"/>
      <c r="I40" s="2007">
        <f t="shared" si="88"/>
        <v>0.28999999999999998</v>
      </c>
      <c r="J40" s="2901"/>
      <c r="K40" s="2042"/>
      <c r="L40" s="2027">
        <f t="shared" si="89"/>
        <v>3.0000000000000001E-3</v>
      </c>
      <c r="M40" s="2027">
        <f t="shared" si="89"/>
        <v>2.8999999999999998E-3</v>
      </c>
      <c r="N40" s="2027">
        <f t="shared" si="89"/>
        <v>8.3000000000000001E-3</v>
      </c>
      <c r="O40" s="2027"/>
      <c r="P40" s="2027">
        <f t="shared" si="103"/>
        <v>2.8999999999999998E-3</v>
      </c>
      <c r="Q40" s="2901"/>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1"/>
      <c r="Y40" s="2027"/>
      <c r="Z40" s="2897">
        <f t="shared" si="105"/>
        <v>3.8999999999999998E-3</v>
      </c>
      <c r="AA40" s="2898">
        <f t="shared" si="105"/>
        <v>2.7000000000000001E-3</v>
      </c>
      <c r="AB40" s="2027">
        <f t="shared" si="105"/>
        <v>7.9000000000000008E-3</v>
      </c>
      <c r="AC40" s="2899"/>
      <c r="AD40" s="2027">
        <f t="shared" si="105"/>
        <v>2.7000000000000001E-3</v>
      </c>
    </row>
    <row r="41" spans="1:30" s="2044" customFormat="1" ht="13.2">
      <c r="A41" s="2900" t="s">
        <v>3355</v>
      </c>
      <c r="B41" s="2030">
        <v>2022</v>
      </c>
      <c r="C41" s="2041">
        <v>2</v>
      </c>
      <c r="D41" s="2006"/>
      <c r="E41" s="2006">
        <v>-0.11</v>
      </c>
      <c r="F41" s="2006">
        <v>-0.13</v>
      </c>
      <c r="G41" s="2006">
        <v>0.53</v>
      </c>
      <c r="H41" s="2912"/>
      <c r="I41" s="2007">
        <f t="shared" si="88"/>
        <v>-0.13</v>
      </c>
      <c r="J41" s="2901"/>
      <c r="K41" s="2042"/>
      <c r="L41" s="2027">
        <f t="shared" si="89"/>
        <v>-1.1000000000000001E-3</v>
      </c>
      <c r="M41" s="2027">
        <f t="shared" si="89"/>
        <v>-1.2999999999999999E-3</v>
      </c>
      <c r="N41" s="2027">
        <f t="shared" si="89"/>
        <v>5.3E-3</v>
      </c>
      <c r="O41" s="2027"/>
      <c r="P41" s="2027">
        <f t="shared" si="103"/>
        <v>-1.2999999999999999E-3</v>
      </c>
      <c r="Q41" s="2901"/>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1"/>
      <c r="Y41" s="2027"/>
      <c r="Z41" s="2897">
        <f t="shared" si="105"/>
        <v>4.1000000000000003E-3</v>
      </c>
      <c r="AA41" s="2898">
        <f t="shared" si="105"/>
        <v>2.7000000000000001E-3</v>
      </c>
      <c r="AB41" s="2027">
        <f t="shared" si="105"/>
        <v>7.9000000000000008E-3</v>
      </c>
      <c r="AC41" s="2899"/>
      <c r="AD41" s="2027">
        <f t="shared" si="105"/>
        <v>2.7000000000000001E-3</v>
      </c>
    </row>
    <row r="42" spans="1:30" s="2044" customFormat="1" ht="13.2">
      <c r="A42" s="2900" t="s">
        <v>2835</v>
      </c>
      <c r="B42" s="2030">
        <v>2022</v>
      </c>
      <c r="C42" s="2041">
        <v>1</v>
      </c>
      <c r="D42" s="2006"/>
      <c r="E42" s="2006">
        <v>0.6</v>
      </c>
      <c r="F42" s="2006">
        <v>0.45</v>
      </c>
      <c r="G42" s="2006">
        <v>0.53</v>
      </c>
      <c r="H42" s="2912"/>
      <c r="I42" s="2007">
        <f t="shared" si="88"/>
        <v>0.45</v>
      </c>
      <c r="J42" s="2901"/>
      <c r="K42" s="2042"/>
      <c r="L42" s="2027">
        <f t="shared" si="89"/>
        <v>6.0000000000000001E-3</v>
      </c>
      <c r="M42" s="2027">
        <f t="shared" si="89"/>
        <v>4.5000000000000005E-3</v>
      </c>
      <c r="N42" s="2027">
        <f t="shared" si="89"/>
        <v>5.3E-3</v>
      </c>
      <c r="O42" s="2027"/>
      <c r="P42" s="2027">
        <f t="shared" si="103"/>
        <v>4.5000000000000005E-3</v>
      </c>
      <c r="Q42" s="2901"/>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1"/>
      <c r="Y42" s="2027"/>
      <c r="Z42" s="2897">
        <f t="shared" si="105"/>
        <v>5.1000000000000004E-3</v>
      </c>
      <c r="AA42" s="2898">
        <f t="shared" si="105"/>
        <v>3.5000000000000001E-3</v>
      </c>
      <c r="AB42" s="2027">
        <f t="shared" si="105"/>
        <v>8.3999999999999995E-3</v>
      </c>
      <c r="AC42" s="2899"/>
      <c r="AD42" s="2027">
        <f t="shared" si="105"/>
        <v>3.5000000000000001E-3</v>
      </c>
    </row>
    <row r="43" spans="1:30" s="2044" customFormat="1" ht="13.2">
      <c r="A43" s="2900" t="s">
        <v>2836</v>
      </c>
      <c r="B43" s="2030">
        <v>2021</v>
      </c>
      <c r="C43" s="2041">
        <v>4</v>
      </c>
      <c r="D43" s="2006"/>
      <c r="E43" s="2006">
        <v>0.57999999999999996</v>
      </c>
      <c r="F43" s="2006">
        <v>0.08</v>
      </c>
      <c r="G43" s="2006">
        <v>0.68</v>
      </c>
      <c r="H43" s="2912"/>
      <c r="I43" s="2007">
        <f t="shared" si="88"/>
        <v>0.08</v>
      </c>
      <c r="J43" s="2901"/>
      <c r="K43" s="2042"/>
      <c r="L43" s="2027">
        <f t="shared" si="89"/>
        <v>5.7999999999999996E-3</v>
      </c>
      <c r="M43" s="2027">
        <f t="shared" si="89"/>
        <v>8.0000000000000004E-4</v>
      </c>
      <c r="N43" s="2027">
        <f t="shared" si="89"/>
        <v>6.8000000000000005E-3</v>
      </c>
      <c r="O43" s="2027"/>
      <c r="P43" s="2027">
        <f t="shared" si="103"/>
        <v>8.0000000000000004E-4</v>
      </c>
      <c r="Q43" s="2901"/>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1"/>
      <c r="Y43" s="2027"/>
      <c r="Z43" s="2897">
        <f t="shared" si="105"/>
        <v>4.8999999999999998E-3</v>
      </c>
      <c r="AA43" s="2898">
        <f t="shared" si="105"/>
        <v>3.3E-3</v>
      </c>
      <c r="AB43" s="2027">
        <f t="shared" si="105"/>
        <v>9.1999999999999998E-3</v>
      </c>
      <c r="AC43" s="2899"/>
      <c r="AD43" s="2027">
        <f t="shared" si="105"/>
        <v>3.3E-3</v>
      </c>
    </row>
    <row r="44" spans="1:30" s="2044" customFormat="1" ht="13.2">
      <c r="A44" s="2900" t="s">
        <v>2837</v>
      </c>
      <c r="B44" s="2030">
        <v>2021</v>
      </c>
      <c r="C44" s="2041">
        <v>3</v>
      </c>
      <c r="D44" s="2006"/>
      <c r="E44" s="2006">
        <v>0.47</v>
      </c>
      <c r="F44" s="2006">
        <v>0.28000000000000003</v>
      </c>
      <c r="G44" s="2006">
        <v>0.91</v>
      </c>
      <c r="H44" s="2912"/>
      <c r="I44" s="2007">
        <f t="shared" si="88"/>
        <v>0.28000000000000003</v>
      </c>
      <c r="J44" s="2901"/>
      <c r="K44" s="2042"/>
      <c r="L44" s="2027">
        <f t="shared" si="89"/>
        <v>4.6999999999999993E-3</v>
      </c>
      <c r="M44" s="2027">
        <f t="shared" si="89"/>
        <v>2.8000000000000004E-3</v>
      </c>
      <c r="N44" s="2027">
        <f t="shared" si="89"/>
        <v>9.1000000000000004E-3</v>
      </c>
      <c r="O44" s="2027"/>
      <c r="P44" s="2027">
        <f t="shared" si="103"/>
        <v>2.8000000000000004E-3</v>
      </c>
      <c r="Q44" s="2901"/>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1"/>
      <c r="Y44" s="2027"/>
      <c r="Z44" s="2897">
        <f t="shared" si="105"/>
        <v>4.5999999999999999E-3</v>
      </c>
      <c r="AA44" s="2898">
        <f t="shared" si="105"/>
        <v>4.1000000000000003E-3</v>
      </c>
      <c r="AB44" s="2027">
        <f t="shared" si="105"/>
        <v>0.01</v>
      </c>
      <c r="AC44" s="2899"/>
      <c r="AD44" s="2027">
        <f t="shared" si="105"/>
        <v>4.1000000000000003E-3</v>
      </c>
    </row>
    <row r="45" spans="1:30" s="2044" customFormat="1" ht="13.2">
      <c r="A45" s="2900" t="s">
        <v>2838</v>
      </c>
      <c r="B45" s="2030">
        <v>2021</v>
      </c>
      <c r="C45" s="2041">
        <v>2</v>
      </c>
      <c r="D45" s="2006"/>
      <c r="E45" s="2006">
        <v>0.55000000000000004</v>
      </c>
      <c r="F45" s="2006">
        <v>0.46</v>
      </c>
      <c r="G45" s="2006">
        <v>1.1000000000000001</v>
      </c>
      <c r="H45" s="2912"/>
      <c r="I45" s="2007">
        <f t="shared" si="88"/>
        <v>0.46</v>
      </c>
      <c r="J45" s="2901"/>
      <c r="K45" s="2042"/>
      <c r="L45" s="2027">
        <f t="shared" si="89"/>
        <v>5.5000000000000005E-3</v>
      </c>
      <c r="M45" s="2027">
        <f t="shared" si="89"/>
        <v>4.5999999999999999E-3</v>
      </c>
      <c r="N45" s="2027">
        <f t="shared" si="89"/>
        <v>1.1000000000000001E-2</v>
      </c>
      <c r="O45" s="2027"/>
      <c r="P45" s="2027">
        <f t="shared" si="103"/>
        <v>4.5999999999999999E-3</v>
      </c>
      <c r="Q45" s="2901"/>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1"/>
      <c r="Y45" s="2027"/>
      <c r="Z45" s="2897">
        <f t="shared" si="105"/>
        <v>4.4999999999999997E-3</v>
      </c>
      <c r="AA45" s="2898">
        <f t="shared" si="105"/>
        <v>4.7000000000000002E-3</v>
      </c>
      <c r="AB45" s="2027">
        <f t="shared" si="105"/>
        <v>1.04E-2</v>
      </c>
      <c r="AC45" s="2899"/>
      <c r="AD45" s="2027">
        <f t="shared" si="105"/>
        <v>4.7000000000000002E-3</v>
      </c>
    </row>
    <row r="46" spans="1:30" s="2923" customFormat="1" ht="13.8" thickBot="1">
      <c r="A46" s="2913" t="s">
        <v>2824</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45594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0">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1"/>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69">
        <v>4.25</v>
      </c>
      <c r="E26" s="2569">
        <v>4.25</v>
      </c>
      <c r="F26" s="2569">
        <v>4.25</v>
      </c>
      <c r="G26" s="2569">
        <v>4.25</v>
      </c>
      <c r="H26" s="2569">
        <v>4.8499999999999996</v>
      </c>
      <c r="I26" s="2569"/>
      <c r="J26" s="256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2"/>
      <c r="C27" s="2573">
        <v>42301</v>
      </c>
      <c r="D27" s="2574">
        <v>4.3499999999999996</v>
      </c>
      <c r="E27" s="2574">
        <v>4.3499999999999996</v>
      </c>
      <c r="F27" s="2574">
        <v>4.75</v>
      </c>
      <c r="G27" s="2574">
        <v>4.75</v>
      </c>
      <c r="H27" s="2574">
        <v>4.9000000000000004</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6">
      <c r="A3" s="3203"/>
      <c r="B3" s="3203"/>
      <c r="C3" s="3203"/>
      <c r="D3" s="801" t="s">
        <v>925</v>
      </c>
      <c r="E3" s="801" t="s">
        <v>931</v>
      </c>
      <c r="F3" s="801" t="s">
        <v>925</v>
      </c>
      <c r="G3" s="801" t="s">
        <v>926</v>
      </c>
      <c r="H3" s="801" t="s">
        <v>925</v>
      </c>
      <c r="I3" s="801" t="s">
        <v>926</v>
      </c>
    </row>
    <row r="4" spans="1:9" ht="30">
      <c r="A4" s="1403" t="str">
        <f>项目基本情况!S2</f>
        <v>河北省廊坊市三河市燕郊开发区燕新大街1号房地产</v>
      </c>
      <c r="B4" s="801">
        <f>项目基本情况!C17</f>
        <v>29587.64</v>
      </c>
      <c r="C4" s="801">
        <f>项目基本情况!C18</f>
        <v>24593</v>
      </c>
      <c r="D4" s="801">
        <f ca="1">结果表!D118</f>
        <v>2685</v>
      </c>
      <c r="E4" s="801">
        <f ca="1">结果表!E118</f>
        <v>907</v>
      </c>
      <c r="F4" s="801">
        <f ca="1">结果表!F118</f>
        <v>8363</v>
      </c>
      <c r="G4" s="801">
        <f ca="1">结果表!G118</f>
        <v>2827</v>
      </c>
      <c r="H4" s="801">
        <f ca="1">结果表!H118</f>
        <v>11048</v>
      </c>
      <c r="I4" s="801">
        <f ca="1">结果表!I118</f>
        <v>3734</v>
      </c>
    </row>
    <row r="5" spans="1:9" ht="30" customHeight="1">
      <c r="A5" s="3203" t="s">
        <v>927</v>
      </c>
      <c r="B5" s="3203"/>
      <c r="C5" s="3203"/>
      <c r="D5" s="3203" t="str">
        <f ca="1">结果表!D119</f>
        <v>贰仟陆佰捌拾伍万元整</v>
      </c>
      <c r="E5" s="3203"/>
      <c r="F5" s="3203" t="str">
        <f ca="1">结果表!F119</f>
        <v>捌仟叁佰陆拾叁万元整</v>
      </c>
      <c r="G5" s="3203"/>
      <c r="H5" s="3203" t="str">
        <f ca="1">结果表!H119</f>
        <v>壹亿壹仟零肆拾捌万元整</v>
      </c>
      <c r="I5" s="3203"/>
    </row>
    <row r="6" spans="1:9" ht="15.6">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6">
      <c r="A8" s="3202" t="str">
        <f>结果表!A122</f>
        <v>房地产抵押价值</v>
      </c>
      <c r="B8" s="3202"/>
      <c r="C8" s="3202"/>
      <c r="D8" s="3202">
        <f ca="1">结果表!D122</f>
        <v>11048</v>
      </c>
      <c r="E8" s="3202"/>
      <c r="F8" s="3202"/>
      <c r="G8" s="3202"/>
      <c r="H8" s="3202"/>
      <c r="I8" s="3202"/>
    </row>
    <row r="9" spans="1:9" ht="15">
      <c r="A9" s="3203" t="s">
        <v>927</v>
      </c>
      <c r="B9" s="3203"/>
      <c r="C9" s="3203"/>
      <c r="D9" s="3203" t="str">
        <f ca="1">结果表!D123</f>
        <v>壹亿壹仟零肆拾捌万元整</v>
      </c>
      <c r="E9" s="3203"/>
      <c r="F9" s="3203"/>
      <c r="G9" s="3203"/>
      <c r="H9" s="3203"/>
      <c r="I9" s="3203"/>
    </row>
    <row r="10" spans="1:9" ht="15.6">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6">
      <c r="A12" s="3202" t="str">
        <f>结果表!A126</f>
        <v/>
      </c>
      <c r="B12" s="3202"/>
      <c r="C12" s="3202"/>
      <c r="D12" s="3202" t="str">
        <f>结果表!D126</f>
        <v>——</v>
      </c>
      <c r="E12" s="3202"/>
      <c r="F12" s="3202"/>
      <c r="G12" s="3202"/>
      <c r="H12" s="3202"/>
      <c r="I12" s="3202"/>
    </row>
    <row r="13" spans="1:9" ht="15.6" thickBot="1">
      <c r="A13" s="3200" t="s">
        <v>927</v>
      </c>
      <c r="B13" s="3200"/>
      <c r="C13" s="3200"/>
      <c r="D13" s="3200" t="e">
        <f>结果表!D127</f>
        <v>#VALUE!</v>
      </c>
      <c r="E13" s="3200"/>
      <c r="F13" s="3200"/>
      <c r="G13" s="3200"/>
      <c r="H13" s="3200"/>
      <c r="I13" s="3200"/>
    </row>
    <row r="14" spans="1:9" ht="14.4" thickTop="1">
      <c r="A14" s="3201" t="s">
        <v>932</v>
      </c>
      <c r="B14" s="3201"/>
      <c r="C14" s="3201"/>
      <c r="D14" s="3201"/>
      <c r="E14" s="3201"/>
      <c r="F14" s="3201"/>
      <c r="G14" s="3201"/>
      <c r="H14" s="3201"/>
      <c r="I14" s="320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5" t="s">
        <v>949</v>
      </c>
      <c r="B1" s="3215"/>
      <c r="C1" s="3215"/>
      <c r="D1" s="3215"/>
    </row>
    <row r="2" spans="1:4" ht="17.399999999999999">
      <c r="A2" s="3216" t="s">
        <v>933</v>
      </c>
      <c r="B2" s="3216"/>
      <c r="C2" s="3216"/>
      <c r="D2" s="3216"/>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216" t="s">
        <v>939</v>
      </c>
      <c r="B6" s="3216"/>
      <c r="C6" s="3216"/>
      <c r="D6" s="321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7" t="s">
        <v>942</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3" t="s">
        <v>956</v>
      </c>
      <c r="B15" s="3218" t="s">
        <v>109</v>
      </c>
      <c r="C15" s="3219"/>
    </row>
    <row r="16" spans="1:7" ht="14.4">
      <c r="A16" s="3224"/>
      <c r="B16" s="3218" t="s">
        <v>42</v>
      </c>
      <c r="C16" s="3219"/>
    </row>
    <row r="17" spans="1:3" ht="14.4">
      <c r="A17" s="3224"/>
      <c r="B17" s="3221" t="s">
        <v>957</v>
      </c>
      <c r="C17" s="1429" t="s">
        <v>956</v>
      </c>
    </row>
    <row r="18" spans="1:3" ht="14.4">
      <c r="A18" s="3224"/>
      <c r="B18" s="3221"/>
      <c r="C18" s="1429" t="s">
        <v>958</v>
      </c>
    </row>
    <row r="19" spans="1:3" ht="14.4">
      <c r="A19" s="3224"/>
      <c r="B19" s="3221"/>
      <c r="C19" s="1429" t="s">
        <v>959</v>
      </c>
    </row>
    <row r="20" spans="1:3" ht="14.4">
      <c r="A20" s="3225"/>
      <c r="B20" s="3220" t="s">
        <v>960</v>
      </c>
      <c r="C20" s="3219"/>
    </row>
    <row r="21" spans="1:3" ht="14.4">
      <c r="A21" s="1430" t="s">
        <v>961</v>
      </c>
      <c r="B21" s="1431"/>
      <c r="C21" s="1432"/>
    </row>
    <row r="22" spans="1:3" ht="14.4">
      <c r="A22" s="3222" t="s">
        <v>962</v>
      </c>
      <c r="B22" s="3220" t="s">
        <v>963</v>
      </c>
      <c r="C22" s="3219"/>
    </row>
    <row r="23" spans="1:3" ht="14.4">
      <c r="A23" s="3222"/>
      <c r="B23" s="3220" t="s">
        <v>964</v>
      </c>
      <c r="C23" s="3219"/>
    </row>
    <row r="24" spans="1:3" ht="14.4">
      <c r="A24" s="3222"/>
      <c r="B24" s="3220" t="s">
        <v>965</v>
      </c>
      <c r="C24" s="3219"/>
    </row>
    <row r="25" spans="1:3" ht="14.4">
      <c r="A25" s="3222"/>
      <c r="B25" s="3221" t="s">
        <v>966</v>
      </c>
      <c r="C25" s="1429" t="s">
        <v>967</v>
      </c>
    </row>
    <row r="26" spans="1:3" ht="14.4">
      <c r="A26" s="3222"/>
      <c r="B26" s="3221"/>
      <c r="C26" s="1429" t="s">
        <v>968</v>
      </c>
    </row>
    <row r="27" spans="1:3" ht="14.4">
      <c r="A27" s="3222"/>
      <c r="B27" s="3221"/>
      <c r="C27" s="1429" t="s">
        <v>969</v>
      </c>
    </row>
    <row r="28" spans="1:3" ht="14.4">
      <c r="A28" s="3222"/>
      <c r="B28" s="3221"/>
      <c r="C28" s="1429" t="s">
        <v>970</v>
      </c>
    </row>
    <row r="29" spans="1:3" ht="14.4">
      <c r="A29" s="3222"/>
      <c r="B29" s="3221"/>
      <c r="C29" s="1429" t="s">
        <v>971</v>
      </c>
    </row>
    <row r="30" spans="1:3" ht="14.4">
      <c r="A30" s="3222"/>
      <c r="B30" s="3221"/>
      <c r="C30" s="1429" t="s">
        <v>972</v>
      </c>
    </row>
    <row r="31" spans="1:3" ht="14.4">
      <c r="A31" s="3222"/>
      <c r="B31" s="3221"/>
      <c r="C31" s="1429" t="s">
        <v>973</v>
      </c>
    </row>
    <row r="32" spans="1:3" ht="14.4">
      <c r="A32" s="3222"/>
      <c r="B32" s="3221"/>
      <c r="C32" s="1429" t="s">
        <v>974</v>
      </c>
    </row>
    <row r="33" spans="1:3" ht="14.4">
      <c r="A33" s="3222"/>
      <c r="B33" s="322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45595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6" t="s">
        <v>2160</v>
      </c>
      <c r="B17" s="3226"/>
      <c r="C17" s="3226"/>
      <c r="D17" s="3226"/>
      <c r="E17" s="3226"/>
      <c r="F17" s="3226"/>
      <c r="G17" s="3226"/>
      <c r="H17" s="3226"/>
    </row>
    <row r="18" spans="1:8" ht="24" customHeight="1">
      <c r="A18" s="3227" t="s">
        <v>2161</v>
      </c>
      <c r="B18" s="3227"/>
      <c r="C18" s="3227"/>
      <c r="D18" s="2159"/>
      <c r="E18" s="3228" t="s">
        <v>2162</v>
      </c>
      <c r="F18" s="3227"/>
      <c r="G18" s="3227"/>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估价对象信息</vt:lpstr>
      <vt:lpstr>中指</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2024-10-30T02:55:48Z</dcterms:modified>
</cp:coreProperties>
</file>