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2\一审\"/>
    </mc:Choice>
  </mc:AlternateContent>
  <xr:revisionPtr revIDLastSave="0" documentId="13_ncr:1_{74A82164-DC29-4335-A3EE-9BCEB1F5188A}" xr6:coauthVersionLast="45" xr6:coauthVersionMax="45" xr10:uidLastSave="{00000000-0000-0000-0000-000000000000}"/>
  <bookViews>
    <workbookView xWindow="-120" yWindow="-120" windowWidth="20730" windowHeight="1116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比较法-车位" sheetId="35" r:id="rId19"/>
    <sheet name="结果表-车位" sheetId="9"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9">'结果表-车位'!$A$1:$I$127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8" i="85" l="1"/>
  <c r="E37" i="85"/>
  <c r="F36" i="85"/>
  <c r="F35" i="85"/>
  <c r="F21" i="85"/>
  <c r="F40" i="85" s="1"/>
  <c r="F20" i="85"/>
  <c r="F39" i="85" s="1"/>
  <c r="E10" i="85"/>
  <c r="E9" i="85"/>
  <c r="C8" i="85"/>
  <c r="F7" i="85"/>
  <c r="E2" i="85"/>
  <c r="C40" i="85" l="1"/>
  <c r="C21" i="85"/>
  <c r="A126" i="82"/>
  <c r="A124" i="82"/>
  <c r="A122" i="82"/>
  <c r="A120" i="82"/>
  <c r="E111" i="82"/>
  <c r="H111" i="82" s="1"/>
  <c r="D126" i="82" s="1"/>
  <c r="D127" i="82" s="1"/>
  <c r="E109" i="82"/>
  <c r="H109" i="82" s="1"/>
  <c r="E107" i="82"/>
  <c r="H106" i="82"/>
  <c r="H103" i="82" s="1"/>
  <c r="D120" i="82" s="1"/>
  <c r="H105" i="82"/>
  <c r="H104" i="82"/>
  <c r="D101" i="82"/>
  <c r="C101" i="82"/>
  <c r="C91" i="82"/>
  <c r="E90" i="82"/>
  <c r="D89" i="82"/>
  <c r="C89" i="82" s="1"/>
  <c r="C87" i="82" s="1"/>
  <c r="H77" i="82"/>
  <c r="D77" i="82"/>
  <c r="C76" i="82"/>
  <c r="F59" i="82"/>
  <c r="E59" i="82"/>
  <c r="N55" i="82" s="1"/>
  <c r="F56" i="82"/>
  <c r="O55" i="82"/>
  <c r="K55" i="82"/>
  <c r="J55" i="82"/>
  <c r="I55" i="82"/>
  <c r="F55" i="82"/>
  <c r="O54" i="82"/>
  <c r="N54" i="82"/>
  <c r="O53" i="82"/>
  <c r="N53" i="82"/>
  <c r="K49" i="82"/>
  <c r="E48" i="82"/>
  <c r="N52" i="82" s="1"/>
  <c r="D48" i="82"/>
  <c r="M52" i="82" s="1"/>
  <c r="F33" i="82"/>
  <c r="D27" i="82"/>
  <c r="C25" i="82"/>
  <c r="C24" i="82"/>
  <c r="C17" i="82"/>
  <c r="D5" i="82"/>
  <c r="D17" i="82" s="1"/>
  <c r="L4" i="82"/>
  <c r="K4" i="82"/>
  <c r="H1" i="82"/>
  <c r="G41" i="43"/>
  <c r="H13" i="4"/>
  <c r="AH7" i="1"/>
  <c r="D5" i="9"/>
  <c r="I27" i="35"/>
  <c r="F81" i="35" s="1"/>
  <c r="G27" i="35"/>
  <c r="E81" i="35" s="1"/>
  <c r="E27" i="35"/>
  <c r="D81" i="35" s="1"/>
  <c r="C27" i="35"/>
  <c r="C81" i="35" s="1"/>
  <c r="I20" i="80"/>
  <c r="H20" i="80"/>
  <c r="O19" i="80"/>
  <c r="N20" i="80" s="1"/>
  <c r="N19" i="80"/>
  <c r="M19" i="80"/>
  <c r="L19" i="80"/>
  <c r="K19" i="80"/>
  <c r="J19" i="80"/>
  <c r="C3" i="84" s="1"/>
  <c r="E3" i="84" s="1"/>
  <c r="I19" i="80"/>
  <c r="H19" i="80"/>
  <c r="D39" i="43" s="1"/>
  <c r="G19" i="80"/>
  <c r="F19" i="80"/>
  <c r="E19" i="80"/>
  <c r="D19" i="80"/>
  <c r="C19" i="80"/>
  <c r="O1" i="80" s="1"/>
  <c r="B19" i="80"/>
  <c r="Q15" i="80"/>
  <c r="S9" i="80"/>
  <c r="S5" i="80"/>
  <c r="S10" i="80" s="1"/>
  <c r="I5" i="79"/>
  <c r="I4" i="79"/>
  <c r="J4" i="79"/>
  <c r="I31" i="35" s="1"/>
  <c r="I3" i="79"/>
  <c r="J3" i="79" s="1"/>
  <c r="G31" i="35" s="1"/>
  <c r="I2" i="79"/>
  <c r="J2" i="79"/>
  <c r="E31" i="35" s="1"/>
  <c r="D34" i="82"/>
  <c r="D35" i="82"/>
  <c r="D124" i="82" l="1"/>
  <c r="D125" i="82" s="1"/>
  <c r="M49" i="82"/>
  <c r="B20" i="80"/>
  <c r="C2" i="84"/>
  <c r="E2" i="84" s="1"/>
  <c r="J5" i="79"/>
  <c r="C31" i="35" s="1"/>
  <c r="J20" i="80"/>
  <c r="C18" i="82"/>
  <c r="D18" i="82" s="1"/>
  <c r="L66" i="82"/>
  <c r="M66" i="82" s="1"/>
  <c r="L65" i="82"/>
  <c r="M65" i="82" s="1"/>
  <c r="L64" i="82"/>
  <c r="M64" i="82" s="1"/>
  <c r="L63" i="82"/>
  <c r="M63" i="82" s="1"/>
  <c r="M69" i="82" s="1"/>
  <c r="N69" i="82" s="1"/>
  <c r="L68" i="82"/>
  <c r="M68" i="82" s="1"/>
  <c r="L67" i="82"/>
  <c r="M67" i="82" s="1"/>
  <c r="C92" i="82"/>
  <c r="C94" i="82"/>
  <c r="K120" i="82"/>
  <c r="D121" i="82"/>
  <c r="H112" i="82"/>
  <c r="H110" i="82"/>
  <c r="I6" i="35"/>
  <c r="G6" i="35"/>
  <c r="E6" i="35"/>
  <c r="Q72" i="78"/>
  <c r="Q59" i="78"/>
  <c r="K59" i="78"/>
  <c r="P74" i="78" s="1"/>
  <c r="F59" i="78"/>
  <c r="Q58" i="78"/>
  <c r="Q51" i="78"/>
  <c r="J50" i="78"/>
  <c r="M47" i="78"/>
  <c r="D46" i="78"/>
  <c r="F33" i="78"/>
  <c r="F61" i="78" s="1"/>
  <c r="F31" i="78"/>
  <c r="F23" i="78"/>
  <c r="F21" i="78"/>
  <c r="F20" i="78"/>
  <c r="M19" i="78"/>
  <c r="F18" i="78"/>
  <c r="M17" i="78"/>
  <c r="F17" i="78"/>
  <c r="F15" i="78"/>
  <c r="B59" i="1"/>
  <c r="G20" i="6"/>
  <c r="G19" i="6"/>
  <c r="D3" i="4"/>
  <c r="D23" i="78" l="1"/>
  <c r="D22" i="78"/>
  <c r="D24" i="78"/>
  <c r="P61" i="78"/>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E69" i="71"/>
  <c r="U69" i="71" s="1"/>
  <c r="C69" i="71"/>
  <c r="T69" i="71" s="1"/>
  <c r="B69" i="71"/>
  <c r="S69" i="71" s="1"/>
  <c r="Q68" i="71"/>
  <c r="P68" i="71"/>
  <c r="O68" i="71"/>
  <c r="N68" i="71"/>
  <c r="B68" i="71"/>
  <c r="B67" i="71" s="1"/>
  <c r="Q67" i="71"/>
  <c r="P67" i="71"/>
  <c r="O67" i="71"/>
  <c r="N67" i="71"/>
  <c r="Q66" i="71"/>
  <c r="P66" i="71"/>
  <c r="O66" i="71"/>
  <c r="N66" i="71"/>
  <c r="D66" i="71"/>
  <c r="F65" i="71"/>
  <c r="E65" i="7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D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D39" i="71" s="1"/>
  <c r="N38" i="71"/>
  <c r="B39" i="71" s="1"/>
  <c r="D38" i="71"/>
  <c r="Q37" i="71"/>
  <c r="P37" i="71"/>
  <c r="O37" i="71"/>
  <c r="N37" i="71"/>
  <c r="AB36" i="71"/>
  <c r="Q36" i="71"/>
  <c r="P36" i="71"/>
  <c r="O36" i="71"/>
  <c r="N36" i="71"/>
  <c r="X36" i="71" s="1"/>
  <c r="Q35" i="71"/>
  <c r="P35" i="71"/>
  <c r="AA35" i="71" s="1"/>
  <c r="O35" i="71"/>
  <c r="Y35" i="71" s="1"/>
  <c r="Z35" i="71" s="1"/>
  <c r="N35" i="71"/>
  <c r="Q34" i="71"/>
  <c r="F35" i="71" s="1"/>
  <c r="P34" i="71"/>
  <c r="O34" i="71"/>
  <c r="N34" i="71"/>
  <c r="X34" i="71" s="1"/>
  <c r="D34" i="71"/>
  <c r="Q33" i="71"/>
  <c r="P33" i="71"/>
  <c r="AA33" i="71" s="1"/>
  <c r="O33" i="71"/>
  <c r="Y33" i="71" s="1"/>
  <c r="Z33" i="71" s="1"/>
  <c r="N33" i="71"/>
  <c r="X32" i="71" s="1"/>
  <c r="Q32" i="71"/>
  <c r="P32" i="71"/>
  <c r="O32" i="71"/>
  <c r="Y32" i="71"/>
  <c r="Z32" i="71" s="1"/>
  <c r="N32" i="71"/>
  <c r="Q31" i="71"/>
  <c r="P31" i="71"/>
  <c r="O31" i="71"/>
  <c r="Y31" i="71" s="1"/>
  <c r="Z31" i="71" s="1"/>
  <c r="N31" i="71"/>
  <c r="Q30" i="71"/>
  <c r="F31" i="71" s="1"/>
  <c r="P30" i="71"/>
  <c r="E31" i="71" s="1"/>
  <c r="O30" i="71"/>
  <c r="N30" i="71"/>
  <c r="D30" i="71"/>
  <c r="Q29" i="71"/>
  <c r="P29" i="71"/>
  <c r="AA29" i="71" s="1"/>
  <c r="O29" i="71"/>
  <c r="Y29" i="71" s="1"/>
  <c r="Z29" i="71" s="1"/>
  <c r="N29" i="71"/>
  <c r="X27" i="71" s="1"/>
  <c r="Q28" i="71"/>
  <c r="P28" i="71"/>
  <c r="AA27" i="71" s="1"/>
  <c r="O28" i="71"/>
  <c r="Y28" i="71"/>
  <c r="Z28" i="71" s="1"/>
  <c r="N28" i="71"/>
  <c r="Q27" i="71"/>
  <c r="P27" i="71"/>
  <c r="O27" i="71"/>
  <c r="Y27" i="71" s="1"/>
  <c r="Z27" i="71" s="1"/>
  <c r="N27" i="71"/>
  <c r="Q26" i="71"/>
  <c r="P26" i="71"/>
  <c r="O26" i="71"/>
  <c r="Y26" i="71" s="1"/>
  <c r="Z26" i="71" s="1"/>
  <c r="N26" i="71"/>
  <c r="D26" i="71"/>
  <c r="O25" i="71"/>
  <c r="N25" i="71"/>
  <c r="B27" i="71"/>
  <c r="B28" i="71" s="1"/>
  <c r="B29" i="71" s="1"/>
  <c r="S29" i="71" s="1"/>
  <c r="E27" i="71"/>
  <c r="E28" i="71" s="1"/>
  <c r="E29" i="71" s="1"/>
  <c r="U29" i="71" s="1"/>
  <c r="B31" i="71"/>
  <c r="B32" i="71" s="1"/>
  <c r="B33" i="71" s="1"/>
  <c r="S33" i="71" s="1"/>
  <c r="B35" i="71"/>
  <c r="B36" i="71" s="1"/>
  <c r="B37" i="71" s="1"/>
  <c r="S37" i="71" s="1"/>
  <c r="E35" i="71"/>
  <c r="E36" i="71" s="1"/>
  <c r="E37" i="71" s="1"/>
  <c r="N65" i="71"/>
  <c r="E32" i="71"/>
  <c r="C27" i="71"/>
  <c r="AA28" i="71"/>
  <c r="C31" i="71"/>
  <c r="C32" i="71"/>
  <c r="Y30" i="71"/>
  <c r="Z30" i="71"/>
  <c r="X31" i="71"/>
  <c r="X33" i="71"/>
  <c r="C35" i="71"/>
  <c r="D35" i="71" s="1"/>
  <c r="Y34" i="71"/>
  <c r="Z34" i="71"/>
  <c r="X35" i="71"/>
  <c r="F48" i="71"/>
  <c r="F49" i="71" s="1"/>
  <c r="V49" i="71" s="1"/>
  <c r="Y22" i="71"/>
  <c r="Z22" i="71" s="1"/>
  <c r="Y24" i="71"/>
  <c r="Z24" i="71" s="1"/>
  <c r="B25" i="71"/>
  <c r="B24" i="71" s="1"/>
  <c r="B23" i="71" s="1"/>
  <c r="X25" i="71"/>
  <c r="C28" i="71"/>
  <c r="D27" i="71"/>
  <c r="D31" i="71"/>
  <c r="C36" i="71"/>
  <c r="D36" i="71" s="1"/>
  <c r="C40" i="71"/>
  <c r="C44" i="71"/>
  <c r="D44" i="71" s="1"/>
  <c r="C48" i="71"/>
  <c r="P25" i="71"/>
  <c r="AA24" i="71" s="1"/>
  <c r="E52" i="71"/>
  <c r="E53" i="71" s="1"/>
  <c r="U53" i="71" s="1"/>
  <c r="E56" i="71"/>
  <c r="E57" i="71" s="1"/>
  <c r="U57" i="71" s="1"/>
  <c r="E64" i="71"/>
  <c r="E63" i="71" s="1"/>
  <c r="Q25" i="71"/>
  <c r="C56" i="71"/>
  <c r="D56" i="71" s="1"/>
  <c r="C60" i="71"/>
  <c r="C61" i="71" s="1"/>
  <c r="D61" i="71" s="1"/>
  <c r="T65" i="71"/>
  <c r="O65" i="71"/>
  <c r="D65" i="71"/>
  <c r="C64" i="71"/>
  <c r="Q65" i="71"/>
  <c r="C68" i="71"/>
  <c r="E68" i="71"/>
  <c r="E67" i="71" s="1"/>
  <c r="D69" i="71"/>
  <c r="C72" i="71"/>
  <c r="D73" i="71"/>
  <c r="C76" i="71"/>
  <c r="E76" i="71"/>
  <c r="E75" i="71" s="1"/>
  <c r="D77" i="71"/>
  <c r="C80" i="71"/>
  <c r="D80" i="71" s="1"/>
  <c r="C84" i="71"/>
  <c r="C83" i="71" s="1"/>
  <c r="D83" i="71" s="1"/>
  <c r="F25" i="71"/>
  <c r="F24" i="71" s="1"/>
  <c r="F23" i="71" s="1"/>
  <c r="AB25" i="71"/>
  <c r="AA22" i="71"/>
  <c r="C63" i="71"/>
  <c r="O64" i="71"/>
  <c r="D64" i="71"/>
  <c r="D60" i="71"/>
  <c r="D72" i="71"/>
  <c r="C71" i="71"/>
  <c r="D71" i="71" s="1"/>
  <c r="D84" i="71"/>
  <c r="D76" i="71"/>
  <c r="C75" i="71"/>
  <c r="D75" i="71" s="1"/>
  <c r="D68" i="71"/>
  <c r="C67" i="71"/>
  <c r="D67" i="71" s="1"/>
  <c r="C57" i="71"/>
  <c r="D57" i="71" s="1"/>
  <c r="P64" i="71"/>
  <c r="C49" i="71"/>
  <c r="D49" i="71" s="1"/>
  <c r="D48" i="71"/>
  <c r="C41" i="71"/>
  <c r="D41" i="71" s="1"/>
  <c r="D40" i="71"/>
  <c r="C37" i="71"/>
  <c r="D37" i="71" s="1"/>
  <c r="C33" i="71"/>
  <c r="D33" i="71" s="1"/>
  <c r="D32" i="71"/>
  <c r="C29" i="71"/>
  <c r="D29" i="71" s="1"/>
  <c r="D28" i="71"/>
  <c r="O63" i="71"/>
  <c r="D63" i="71"/>
  <c r="O62" i="71"/>
  <c r="T29" i="71"/>
  <c r="T33" i="71"/>
  <c r="T37" i="71"/>
  <c r="T41" i="71"/>
  <c r="T49" i="71"/>
  <c r="T57" i="71"/>
  <c r="T61" i="71"/>
  <c r="O27" i="6"/>
  <c r="N27" i="6"/>
  <c r="P20" i="6"/>
  <c r="P21" i="6"/>
  <c r="P22" i="6"/>
  <c r="P23" i="6"/>
  <c r="P24" i="6"/>
  <c r="P25" i="6"/>
  <c r="P26" i="6"/>
  <c r="P19" i="6"/>
  <c r="P27" i="6" s="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U18" i="36"/>
  <c r="S21" i="34"/>
  <c r="H25" i="40"/>
  <c r="U25" i="40" s="1"/>
  <c r="J25" i="40"/>
  <c r="W25" i="40" s="1"/>
  <c r="H29" i="39"/>
  <c r="J29" i="39"/>
  <c r="AC29" i="39" s="1"/>
  <c r="J18" i="36"/>
  <c r="AC18" i="36" s="1"/>
  <c r="H18" i="35"/>
  <c r="AB18" i="35" s="1"/>
  <c r="J18" i="35"/>
  <c r="W18" i="35" s="1"/>
  <c r="F77" i="37"/>
  <c r="G77" i="37" s="1"/>
  <c r="H21" i="37"/>
  <c r="F21" i="37"/>
  <c r="AA21" i="37" s="1"/>
  <c r="H21" i="34"/>
  <c r="AB21" i="34" s="1"/>
  <c r="H21" i="33"/>
  <c r="U21" i="33" s="1"/>
  <c r="F21" i="33"/>
  <c r="AA21" i="33" s="1"/>
  <c r="E83" i="21"/>
  <c r="F83" i="21" s="1"/>
  <c r="G83" i="21" s="1"/>
  <c r="S21" i="21"/>
  <c r="H1" i="69"/>
  <c r="AC25" i="40"/>
  <c r="AB25" i="40"/>
  <c r="AB29" i="39"/>
  <c r="U29" i="39"/>
  <c r="W29" i="39"/>
  <c r="W18" i="36"/>
  <c r="AB21" i="37"/>
  <c r="U21" i="37"/>
  <c r="S21" i="37"/>
  <c r="U21" i="34"/>
  <c r="AB21" i="33"/>
  <c r="S21" i="33"/>
  <c r="AC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A13" i="51"/>
  <c r="B11" i="72" s="1"/>
  <c r="S1" i="4"/>
  <c r="A4" i="51" s="1"/>
  <c r="B6" i="72" s="1"/>
  <c r="B1" i="4"/>
  <c r="B37" i="48" s="1"/>
  <c r="B2" i="72"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s="1"/>
  <c r="G11" i="1"/>
  <c r="I15" i="4"/>
  <c r="H15" i="4"/>
  <c r="G15" i="4"/>
  <c r="E15" i="4"/>
  <c r="D15" i="4"/>
  <c r="F8" i="1" s="1"/>
  <c r="F7" i="1"/>
  <c r="L21" i="4"/>
  <c r="F19" i="4"/>
  <c r="F2" i="52"/>
  <c r="B50" i="72" s="1"/>
  <c r="D2" i="52"/>
  <c r="B46" i="72" s="1"/>
  <c r="B8" i="53"/>
  <c r="B23" i="72" s="1"/>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B22" i="1"/>
  <c r="B23" i="1"/>
  <c r="B24" i="1"/>
  <c r="F34" i="85"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s="1"/>
  <c r="J31" i="35"/>
  <c r="W31" i="35" s="1"/>
  <c r="H31" i="35"/>
  <c r="AB31" i="35" s="1"/>
  <c r="F31" i="35"/>
  <c r="AA31" i="35" s="1"/>
  <c r="D87" i="35"/>
  <c r="E87" i="35" s="1"/>
  <c r="F87" i="35" s="1"/>
  <c r="H34" i="37"/>
  <c r="D101" i="37"/>
  <c r="F34" i="37"/>
  <c r="AA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J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J25" i="35" s="1"/>
  <c r="B75" i="35"/>
  <c r="J24" i="35" s="1"/>
  <c r="AC24" i="35" s="1"/>
  <c r="B73" i="35"/>
  <c r="H23" i="35" s="1"/>
  <c r="B57" i="35"/>
  <c r="B61" i="35"/>
  <c r="J13" i="35" s="1"/>
  <c r="AC13" i="35" s="1"/>
  <c r="B59" i="35"/>
  <c r="B131" i="34"/>
  <c r="B129" i="34"/>
  <c r="B127" i="34"/>
  <c r="B99" i="34"/>
  <c r="B97" i="34"/>
  <c r="B95" i="34"/>
  <c r="B93" i="34"/>
  <c r="J29" i="34" s="1"/>
  <c r="W29" i="34" s="1"/>
  <c r="B75" i="34"/>
  <c r="B73" i="34"/>
  <c r="J13" i="34" s="1"/>
  <c r="B71" i="34"/>
  <c r="F12" i="34" s="1"/>
  <c r="B130" i="33"/>
  <c r="J46" i="33" s="1"/>
  <c r="B128" i="33"/>
  <c r="B126" i="33"/>
  <c r="J44" i="33" s="1"/>
  <c r="B98" i="33"/>
  <c r="B96" i="33"/>
  <c r="J30" i="33" s="1"/>
  <c r="W30" i="33" s="1"/>
  <c r="B94" i="33"/>
  <c r="B74" i="33"/>
  <c r="H14" i="33" s="1"/>
  <c r="U14" i="33" s="1"/>
  <c r="B72" i="33"/>
  <c r="B70" i="33"/>
  <c r="J12" i="33" s="1"/>
  <c r="AC12" i="33" s="1"/>
  <c r="D96" i="35"/>
  <c r="E96" i="35" s="1"/>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AB31" i="21" s="1"/>
  <c r="B96" i="21"/>
  <c r="H30" i="21" s="1"/>
  <c r="B94" i="21"/>
  <c r="J29" i="21" s="1"/>
  <c r="AC29" i="21" s="1"/>
  <c r="B92" i="21"/>
  <c r="H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4" i="39"/>
  <c r="AC44" i="39" s="1"/>
  <c r="H36" i="39"/>
  <c r="AB36" i="39" s="1"/>
  <c r="J35" i="39"/>
  <c r="AC35" i="39" s="1"/>
  <c r="F35" i="39"/>
  <c r="AA35" i="39" s="1"/>
  <c r="U9" i="39"/>
  <c r="W40" i="39"/>
  <c r="W25" i="37"/>
  <c r="W31" i="37"/>
  <c r="F39" i="37"/>
  <c r="U14" i="37"/>
  <c r="F29" i="36"/>
  <c r="AA29" i="36"/>
  <c r="F16" i="36"/>
  <c r="AA16" i="36" s="1"/>
  <c r="W28" i="36"/>
  <c r="S30" i="36"/>
  <c r="AA31" i="36"/>
  <c r="AC31" i="36"/>
  <c r="W31" i="36"/>
  <c r="J33" i="36"/>
  <c r="W33" i="36" s="1"/>
  <c r="H22" i="35"/>
  <c r="AB22" i="35" s="1"/>
  <c r="AC27" i="35"/>
  <c r="F36" i="34"/>
  <c r="J35" i="34"/>
  <c r="S34" i="34"/>
  <c r="H39" i="33"/>
  <c r="AB39" i="33" s="1"/>
  <c r="F26" i="33"/>
  <c r="AA26" i="33" s="1"/>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s="1"/>
  <c r="J19" i="39"/>
  <c r="AC19" i="39" s="1"/>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J16" i="35"/>
  <c r="AC16" i="35" s="1"/>
  <c r="F16" i="35"/>
  <c r="S16" i="35" s="1"/>
  <c r="H33" i="35"/>
  <c r="AB33" i="35" s="1"/>
  <c r="F35" i="37"/>
  <c r="S35" i="37" s="1"/>
  <c r="E101" i="37"/>
  <c r="F101" i="37" s="1"/>
  <c r="G101" i="37" s="1"/>
  <c r="H101" i="37" s="1"/>
  <c r="I101" i="37" s="1"/>
  <c r="J101" i="37" s="1"/>
  <c r="K101" i="37" s="1"/>
  <c r="L101" i="37" s="1"/>
  <c r="M101" i="37" s="1"/>
  <c r="J34" i="37"/>
  <c r="W34" i="37" s="1"/>
  <c r="AB34" i="37"/>
  <c r="J33" i="37"/>
  <c r="AC33" i="37"/>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H33" i="37"/>
  <c r="AB33" i="37" s="1"/>
  <c r="F33" i="37"/>
  <c r="AA33" i="37" s="1"/>
  <c r="U34" i="37"/>
  <c r="W33"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c r="H42" i="21"/>
  <c r="U42" i="21" s="1"/>
  <c r="J44" i="34"/>
  <c r="AC44" i="34" s="1"/>
  <c r="F44" i="34"/>
  <c r="AA44" i="34" s="1"/>
  <c r="BL587" i="3"/>
  <c r="J44" i="21"/>
  <c r="AC44" i="21"/>
  <c r="H44" i="21"/>
  <c r="U44" i="21"/>
  <c r="F44" i="21"/>
  <c r="AA44" i="21"/>
  <c r="H28" i="33"/>
  <c r="U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13" i="34"/>
  <c r="U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H13" i="35"/>
  <c r="U13" i="35" s="1"/>
  <c r="J35" i="35"/>
  <c r="AC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U31" i="34"/>
  <c r="J36" i="37"/>
  <c r="AC36" i="37" s="1"/>
  <c r="J10" i="36"/>
  <c r="AC10" i="36" s="1"/>
  <c r="AA14" i="37"/>
  <c r="AC13" i="36"/>
  <c r="W13" i="36"/>
  <c r="AB46" i="34"/>
  <c r="AA14" i="34"/>
  <c r="AB45" i="33"/>
  <c r="U31" i="33"/>
  <c r="U13" i="33"/>
  <c r="S44" i="34"/>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W14" i="37"/>
  <c r="AB28" i="37"/>
  <c r="U33" i="37"/>
  <c r="U39" i="37"/>
  <c r="W26" i="37"/>
  <c r="AC8" i="37"/>
  <c r="U26" i="37"/>
  <c r="AB13" i="34"/>
  <c r="AB37" i="34"/>
  <c r="AC36" i="34"/>
  <c r="AA13" i="33"/>
  <c r="AC45" i="33"/>
  <c r="U11" i="33"/>
  <c r="U19" i="21"/>
  <c r="W44" i="21"/>
  <c r="U26" i="21"/>
  <c r="F43" i="33"/>
  <c r="AA43" i="33" s="1"/>
  <c r="W15" i="34"/>
  <c r="AC15" i="34"/>
  <c r="W40" i="37"/>
  <c r="H37" i="21"/>
  <c r="U37" i="21" s="1"/>
  <c r="S42" i="21"/>
  <c r="H19" i="34"/>
  <c r="AB19" i="34"/>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W23" i="39"/>
  <c r="W43" i="39"/>
  <c r="AB45" i="39"/>
  <c r="U44" i="39"/>
  <c r="H37" i="39"/>
  <c r="AC37" i="39"/>
  <c r="W37" i="39"/>
  <c r="H25" i="39"/>
  <c r="AB25" i="39" s="1"/>
  <c r="J25" i="39"/>
  <c r="W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D52" i="37" s="1"/>
  <c r="C7" i="34"/>
  <c r="C7" i="36"/>
  <c r="C46" i="36" s="1"/>
  <c r="D46" i="36" s="1"/>
  <c r="A4" i="52"/>
  <c r="B41" i="72" s="1"/>
  <c r="J11" i="39"/>
  <c r="W11" i="39" s="1"/>
  <c r="F11" i="39"/>
  <c r="AA11" i="39" s="1"/>
  <c r="A12" i="52"/>
  <c r="B56" i="72" s="1"/>
  <c r="S11" i="39"/>
  <c r="G4" i="4"/>
  <c r="I4" i="4"/>
  <c r="F59" i="43"/>
  <c r="H62" i="43" s="1"/>
  <c r="AZ20"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6" i="3"/>
  <c r="AZ154" i="3"/>
  <c r="AZ158" i="3"/>
  <c r="AZ166" i="3"/>
  <c r="AZ170" i="3"/>
  <c r="AZ174" i="3"/>
  <c r="AZ182" i="3"/>
  <c r="AZ194"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5" i="3"/>
  <c r="AZ273" i="3"/>
  <c r="BA379" i="3"/>
  <c r="BL380" i="3"/>
  <c r="G381" i="3"/>
  <c r="BA383" i="3"/>
  <c r="AZ383" i="3" s="1"/>
  <c r="BL384" i="3"/>
  <c r="AZ384" i="3" s="1"/>
  <c r="G385" i="3"/>
  <c r="BA387" i="3"/>
  <c r="AZ387" i="3" s="1"/>
  <c r="BL388" i="3"/>
  <c r="AZ388" i="3" s="1"/>
  <c r="G389" i="3"/>
  <c r="BA391" i="3"/>
  <c r="AZ391" i="3" s="1"/>
  <c r="BL392" i="3"/>
  <c r="G393" i="3"/>
  <c r="AZ275" i="3"/>
  <c r="AZ283" i="3"/>
  <c r="AZ287" i="3"/>
  <c r="AZ291" i="3"/>
  <c r="AZ299" i="3"/>
  <c r="BO5" i="3"/>
  <c r="BM5" i="3"/>
  <c r="F29" i="6" s="1"/>
  <c r="BJ5" i="3"/>
  <c r="BH5" i="3"/>
  <c r="BF5" i="3"/>
  <c r="BD5" i="3"/>
  <c r="AZ317" i="3"/>
  <c r="AZ333" i="3"/>
  <c r="AC5" i="3"/>
  <c r="AZ506" i="3"/>
  <c r="AZ496" i="3"/>
  <c r="G548" i="3"/>
  <c r="G538" i="3"/>
  <c r="G520" i="3"/>
  <c r="G502" i="3"/>
  <c r="BS5" i="3"/>
  <c r="BP5" i="3"/>
  <c r="BN5" i="3"/>
  <c r="BK5" i="3"/>
  <c r="BI5" i="3"/>
  <c r="BG5" i="3"/>
  <c r="BE5" i="3"/>
  <c r="BC5" i="3"/>
  <c r="G17" i="3"/>
  <c r="BA17" i="3"/>
  <c r="BT5" i="3"/>
  <c r="AZ352" i="3"/>
  <c r="AZ368" i="3"/>
  <c r="BA15" i="3"/>
  <c r="BB5" i="3"/>
  <c r="E15" i="6" s="1"/>
  <c r="E60" i="40" s="1"/>
  <c r="BR5" i="3"/>
  <c r="G28" i="6" s="1"/>
  <c r="AZ380" i="3"/>
  <c r="AZ396" i="3"/>
  <c r="AZ509" i="3"/>
  <c r="E8" i="6"/>
  <c r="F27" i="6" s="1"/>
  <c r="G509" i="3"/>
  <c r="BL493" i="3"/>
  <c r="AZ493" i="3"/>
  <c r="U36" i="40"/>
  <c r="F36" i="43"/>
  <c r="F81" i="43"/>
  <c r="H83" i="43" s="1"/>
  <c r="H113" i="43"/>
  <c r="F48" i="43"/>
  <c r="H52" i="43" s="1"/>
  <c r="M11" i="43"/>
  <c r="F39" i="43"/>
  <c r="F35" i="43"/>
  <c r="F6" i="1"/>
  <c r="AE6" i="1" s="1"/>
  <c r="AE7" i="1" s="1"/>
  <c r="U17" i="39"/>
  <c r="S14" i="35"/>
  <c r="U43" i="21"/>
  <c r="U35" i="21"/>
  <c r="AC35" i="21"/>
  <c r="U10" i="21"/>
  <c r="G9" i="1"/>
  <c r="AZ501" i="3"/>
  <c r="W44" i="34"/>
  <c r="S15" i="37"/>
  <c r="U13" i="37"/>
  <c r="U12" i="40"/>
  <c r="J37" i="33"/>
  <c r="W37" i="33" s="1"/>
  <c r="AC17" i="34"/>
  <c r="J34" i="33"/>
  <c r="F33" i="34"/>
  <c r="S33" i="34" s="1"/>
  <c r="W12" i="36"/>
  <c r="H20" i="36"/>
  <c r="U20" i="36" s="1"/>
  <c r="J20" i="36"/>
  <c r="W20" i="36" s="1"/>
  <c r="W24" i="36"/>
  <c r="J27" i="36"/>
  <c r="W27" i="36"/>
  <c r="AB25" i="37"/>
  <c r="AC33" i="40"/>
  <c r="G111" i="40"/>
  <c r="H111" i="40" s="1"/>
  <c r="I111" i="40" s="1"/>
  <c r="J111" i="40" s="1"/>
  <c r="K111" i="40" s="1"/>
  <c r="L111" i="40" s="1"/>
  <c r="M111" i="40" s="1"/>
  <c r="H35" i="40"/>
  <c r="AB35" i="40"/>
  <c r="H35" i="37"/>
  <c r="U35" i="37"/>
  <c r="AB29" i="36"/>
  <c r="U29" i="36"/>
  <c r="H32" i="37"/>
  <c r="AB32" i="37"/>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F43" i="34"/>
  <c r="AA43" i="34" s="1"/>
  <c r="H44" i="34"/>
  <c r="AB44" i="34" s="1"/>
  <c r="AC38" i="39"/>
  <c r="F39" i="39"/>
  <c r="J39" i="39"/>
  <c r="AC39" i="39" s="1"/>
  <c r="E97" i="39"/>
  <c r="F97" i="39" s="1"/>
  <c r="G97" i="39" s="1"/>
  <c r="AZ354" i="3"/>
  <c r="C40" i="11"/>
  <c r="AZ223" i="3"/>
  <c r="AZ232" i="3"/>
  <c r="AZ235" i="3"/>
  <c r="AZ248" i="3"/>
  <c r="AZ251" i="3"/>
  <c r="AZ268" i="3"/>
  <c r="AZ271" i="3"/>
  <c r="AZ280" i="3"/>
  <c r="AZ288" i="3"/>
  <c r="AZ296" i="3"/>
  <c r="AZ117" i="3"/>
  <c r="AZ133" i="3"/>
  <c r="AZ29" i="3"/>
  <c r="AZ31" i="3"/>
  <c r="AZ33" i="3"/>
  <c r="AZ37" i="3"/>
  <c r="AZ42" i="3"/>
  <c r="AZ45" i="3"/>
  <c r="AZ58" i="3"/>
  <c r="AZ61" i="3"/>
  <c r="AZ77" i="3"/>
  <c r="AZ102" i="3"/>
  <c r="AZ110" i="3"/>
  <c r="H50" i="43"/>
  <c r="F23" i="39"/>
  <c r="H27" i="36"/>
  <c r="U27" i="36" s="1"/>
  <c r="F27" i="36"/>
  <c r="AA27" i="36" s="1"/>
  <c r="H33" i="34"/>
  <c r="U33" i="34" s="1"/>
  <c r="F32" i="37"/>
  <c r="G96" i="37"/>
  <c r="H96" i="37" s="1"/>
  <c r="I96" i="37" s="1"/>
  <c r="J96" i="37" s="1"/>
  <c r="K96" i="37" s="1"/>
  <c r="L96" i="37" s="1"/>
  <c r="M96" i="37" s="1"/>
  <c r="F20" i="36"/>
  <c r="J33" i="34"/>
  <c r="H23" i="39"/>
  <c r="U23" i="39" s="1"/>
  <c r="D48" i="9"/>
  <c r="M52" i="9" s="1"/>
  <c r="K9" i="1"/>
  <c r="M9" i="1" s="1"/>
  <c r="O9" i="1" s="1"/>
  <c r="P9" i="1" s="1"/>
  <c r="AE9" i="1"/>
  <c r="K6" i="1"/>
  <c r="M6" i="1" s="1"/>
  <c r="G29" i="6"/>
  <c r="W26" i="33"/>
  <c r="AC27" i="34"/>
  <c r="AB34" i="36"/>
  <c r="U34" i="36"/>
  <c r="AB33" i="36"/>
  <c r="U33" i="36"/>
  <c r="AC12" i="39"/>
  <c r="W12" i="39"/>
  <c r="AC39" i="40"/>
  <c r="W39" i="40"/>
  <c r="AZ465" i="3"/>
  <c r="W12" i="33"/>
  <c r="AA32" i="36"/>
  <c r="S32" i="36"/>
  <c r="AZ408" i="3"/>
  <c r="AZ457" i="3"/>
  <c r="AZ473" i="3"/>
  <c r="AZ490" i="3"/>
  <c r="BL14" i="3"/>
  <c r="AZ266" i="3"/>
  <c r="U30" i="33"/>
  <c r="AA47" i="34"/>
  <c r="W28" i="37"/>
  <c r="S19" i="39"/>
  <c r="F12" i="33"/>
  <c r="H12" i="39"/>
  <c r="AB12" i="39" s="1"/>
  <c r="F39" i="40"/>
  <c r="BA14" i="3"/>
  <c r="AZ234" i="3"/>
  <c r="AZ250" i="3"/>
  <c r="AZ286" i="3"/>
  <c r="AZ165" i="3"/>
  <c r="AZ181" i="3"/>
  <c r="AZ189" i="3"/>
  <c r="AZ35" i="3"/>
  <c r="AZ41" i="3"/>
  <c r="S12" i="1"/>
  <c r="AQ12" i="1" s="1"/>
  <c r="R12" i="1"/>
  <c r="B12" i="1"/>
  <c r="E12" i="1" s="1"/>
  <c r="S10" i="1"/>
  <c r="AQ10" i="1" s="1"/>
  <c r="R10" i="1"/>
  <c r="B10" i="1"/>
  <c r="E10" i="1" s="1"/>
  <c r="K12" i="1"/>
  <c r="M12" i="1" s="1"/>
  <c r="S13" i="1"/>
  <c r="AR13" i="1" s="1"/>
  <c r="R13" i="1"/>
  <c r="S11" i="1"/>
  <c r="AQ11" i="1" s="1"/>
  <c r="R11" i="1"/>
  <c r="S9" i="1"/>
  <c r="AR9" i="1" s="1"/>
  <c r="R9" i="1"/>
  <c r="J51" i="67"/>
  <c r="C42" i="1"/>
  <c r="H100" i="43"/>
  <c r="S22" i="31"/>
  <c r="R22" i="31" s="1"/>
  <c r="J100" i="43"/>
  <c r="AB37" i="40"/>
  <c r="S35" i="40"/>
  <c r="U35" i="40"/>
  <c r="AC36" i="40"/>
  <c r="AA32" i="40"/>
  <c r="S17" i="40"/>
  <c r="S23" i="40"/>
  <c r="AC17" i="40"/>
  <c r="AC15" i="40"/>
  <c r="AA19" i="40"/>
  <c r="U21" i="40"/>
  <c r="AB19" i="40"/>
  <c r="W42" i="39"/>
  <c r="W39" i="39"/>
  <c r="S43" i="39"/>
  <c r="S37" i="39"/>
  <c r="U35" i="39"/>
  <c r="F32" i="39"/>
  <c r="S32" i="39" s="1"/>
  <c r="F107" i="39"/>
  <c r="G107" i="39"/>
  <c r="H107" i="39" s="1"/>
  <c r="I107" i="39" s="1"/>
  <c r="U25" i="39"/>
  <c r="AB27" i="39"/>
  <c r="U31" i="39"/>
  <c r="S25" i="39"/>
  <c r="J21" i="39"/>
  <c r="F21" i="39"/>
  <c r="S21" i="39" s="1"/>
  <c r="H21" i="39"/>
  <c r="U21" i="39" s="1"/>
  <c r="W19" i="39"/>
  <c r="U19" i="39"/>
  <c r="S17" i="39"/>
  <c r="AC15" i="39"/>
  <c r="S15" i="39"/>
  <c r="AB15" i="39"/>
  <c r="S9" i="39"/>
  <c r="AC13" i="39"/>
  <c r="S23" i="36"/>
  <c r="U13" i="36"/>
  <c r="AC27" i="36"/>
  <c r="U26" i="36"/>
  <c r="S33" i="36"/>
  <c r="S27" i="36"/>
  <c r="AA34" i="36"/>
  <c r="S29" i="36"/>
  <c r="AC26" i="36"/>
  <c r="AA22" i="36"/>
  <c r="W14" i="36"/>
  <c r="AB14" i="36"/>
  <c r="U22" i="36"/>
  <c r="S16" i="36"/>
  <c r="AA25" i="36"/>
  <c r="S24" i="36"/>
  <c r="U24" i="36"/>
  <c r="AB20" i="36"/>
  <c r="U16" i="36"/>
  <c r="S14" i="36"/>
  <c r="U10" i="36"/>
  <c r="W10" i="36"/>
  <c r="W24" i="35"/>
  <c r="AC30" i="35"/>
  <c r="S22" i="35"/>
  <c r="S8" i="35"/>
  <c r="W9" i="35"/>
  <c r="AC12" i="35"/>
  <c r="F9" i="35"/>
  <c r="AA9" i="35" s="1"/>
  <c r="H9" i="35"/>
  <c r="AB9" i="35" s="1"/>
  <c r="AB40" i="37"/>
  <c r="S25" i="37"/>
  <c r="W27" i="37"/>
  <c r="S26" i="37"/>
  <c r="AC9" i="37"/>
  <c r="U29" i="37"/>
  <c r="AB31" i="37"/>
  <c r="W30" i="37"/>
  <c r="S36" i="37"/>
  <c r="AA38" i="37"/>
  <c r="U32" i="37"/>
  <c r="W38" i="37"/>
  <c r="AC35" i="37"/>
  <c r="W39" i="37"/>
  <c r="S30"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G63" i="37" s="1"/>
  <c r="H63" i="37" s="1"/>
  <c r="I63" i="37" s="1"/>
  <c r="J63" i="37" s="1"/>
  <c r="K63" i="37" s="1"/>
  <c r="L63" i="37" s="1"/>
  <c r="M63" i="37" s="1"/>
  <c r="F11" i="37"/>
  <c r="S11" i="37"/>
  <c r="S27" i="34"/>
  <c r="W25" i="34"/>
  <c r="AB8" i="34"/>
  <c r="AA33" i="34"/>
  <c r="U43" i="34"/>
  <c r="AC39" i="34"/>
  <c r="W41" i="34"/>
  <c r="AC42" i="34"/>
  <c r="U39" i="34"/>
  <c r="S43" i="34"/>
  <c r="AB41" i="34"/>
  <c r="W34" i="34"/>
  <c r="AA25" i="34"/>
  <c r="U28" i="34"/>
  <c r="S17" i="34"/>
  <c r="AA29" i="34"/>
  <c r="U27" i="34"/>
  <c r="S23" i="34"/>
  <c r="U15" i="34"/>
  <c r="S10" i="34"/>
  <c r="H67" i="34"/>
  <c r="I67" i="34" s="1"/>
  <c r="H10" i="34"/>
  <c r="F11" i="34"/>
  <c r="S11" i="34" s="1"/>
  <c r="F70" i="34"/>
  <c r="W42" i="33"/>
  <c r="AA35" i="33"/>
  <c r="S32" i="33"/>
  <c r="AB29" i="33"/>
  <c r="W38" i="33"/>
  <c r="H41" i="33"/>
  <c r="U4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U25" i="33" s="1"/>
  <c r="F25" i="33"/>
  <c r="J23" i="33"/>
  <c r="AC23" i="33" s="1"/>
  <c r="F85" i="33"/>
  <c r="H23" i="33"/>
  <c r="AB23" i="33" s="1"/>
  <c r="F81" i="33"/>
  <c r="F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B8" i="21"/>
  <c r="S8" i="21"/>
  <c r="M3" i="43"/>
  <c r="M1" i="43"/>
  <c r="N8" i="43"/>
  <c r="D120" i="9"/>
  <c r="C18" i="9"/>
  <c r="D18" i="9" s="1"/>
  <c r="M20" i="67"/>
  <c r="G13" i="3"/>
  <c r="BA13" i="3"/>
  <c r="BL17" i="3"/>
  <c r="AZ17" i="3" s="1"/>
  <c r="BL13" i="3"/>
  <c r="J56" i="9"/>
  <c r="J57" i="9" s="1"/>
  <c r="J59" i="9" s="1"/>
  <c r="J61" i="9" s="1"/>
  <c r="A24" i="51"/>
  <c r="B18" i="72" s="1"/>
  <c r="U29" i="34"/>
  <c r="P10" i="1"/>
  <c r="E32" i="6"/>
  <c r="L19" i="6"/>
  <c r="G1" i="68"/>
  <c r="K1" i="12"/>
  <c r="AR12" i="1"/>
  <c r="T12" i="1"/>
  <c r="E19" i="68"/>
  <c r="E1" i="73"/>
  <c r="G22" i="69"/>
  <c r="G22" i="68"/>
  <c r="G26" i="12"/>
  <c r="G22" i="11"/>
  <c r="C100" i="43"/>
  <c r="E11" i="43"/>
  <c r="E10" i="43"/>
  <c r="E9" i="43"/>
  <c r="E8" i="43"/>
  <c r="C7" i="43" s="1"/>
  <c r="E81" i="43"/>
  <c r="B79" i="43" s="1"/>
  <c r="E48" i="43"/>
  <c r="B46" i="43" s="1"/>
  <c r="F100" i="43"/>
  <c r="H81" i="43"/>
  <c r="C17" i="43"/>
  <c r="K17" i="43"/>
  <c r="N6" i="43"/>
  <c r="N3" i="43"/>
  <c r="F38" i="43"/>
  <c r="M9" i="43"/>
  <c r="N5" i="43"/>
  <c r="M12" i="43"/>
  <c r="B19" i="53"/>
  <c r="B37" i="72" s="1"/>
  <c r="C7" i="39"/>
  <c r="C68" i="39" s="1"/>
  <c r="C7" i="35"/>
  <c r="C7" i="33"/>
  <c r="C58" i="33" s="1"/>
  <c r="C7" i="21"/>
  <c r="C58" i="21" s="1"/>
  <c r="C7" i="40"/>
  <c r="C63" i="40" s="1"/>
  <c r="M47" i="9"/>
  <c r="G19" i="43"/>
  <c r="O19" i="43" s="1"/>
  <c r="T35" i="4"/>
  <c r="A19" i="51"/>
  <c r="B14" i="72" s="1"/>
  <c r="C59" i="34"/>
  <c r="D59" i="34" s="1"/>
  <c r="E59" i="34" s="1"/>
  <c r="F59" i="34" s="1"/>
  <c r="G59" i="34" s="1"/>
  <c r="H59" i="34" s="1"/>
  <c r="C48" i="35"/>
  <c r="D48" i="35" s="1"/>
  <c r="C4" i="12"/>
  <c r="H66" i="43"/>
  <c r="H65" i="43"/>
  <c r="H64" i="43"/>
  <c r="H63" i="43"/>
  <c r="H55" i="43"/>
  <c r="L20" i="6"/>
  <c r="L27" i="6" s="1"/>
  <c r="E56" i="39"/>
  <c r="E51" i="40"/>
  <c r="B6" i="1"/>
  <c r="E6" i="1" s="1"/>
  <c r="S8" i="1"/>
  <c r="AR8" i="1" s="1"/>
  <c r="K11" i="1"/>
  <c r="M11" i="1" s="1"/>
  <c r="O11" i="1" s="1"/>
  <c r="P11" i="1" s="1"/>
  <c r="AP6" i="1"/>
  <c r="B9" i="1"/>
  <c r="E9" i="1" s="1"/>
  <c r="K7" i="1"/>
  <c r="M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AB23" i="39"/>
  <c r="U41" i="39"/>
  <c r="AB41"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S24" i="35"/>
  <c r="W33" i="35"/>
  <c r="AA30" i="35"/>
  <c r="S35" i="35"/>
  <c r="AA35" i="37"/>
  <c r="W36" i="37"/>
  <c r="S27" i="37"/>
  <c r="S28"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U44" i="33"/>
  <c r="AB44" i="33"/>
  <c r="S30" i="33"/>
  <c r="AA30" i="33"/>
  <c r="AC30" i="33"/>
  <c r="S31" i="33"/>
  <c r="AA31" i="33"/>
  <c r="W13" i="33"/>
  <c r="AC13" i="33"/>
  <c r="U15" i="33"/>
  <c r="S11" i="33"/>
  <c r="U37" i="33"/>
  <c r="AC28" i="33"/>
  <c r="S28" i="33"/>
  <c r="W9" i="33"/>
  <c r="W8" i="33"/>
  <c r="S44" i="21"/>
  <c r="AB42" i="21"/>
  <c r="AA11" i="21"/>
  <c r="S45" i="21"/>
  <c r="I101" i="21"/>
  <c r="J101" i="21" s="1"/>
  <c r="K101" i="21" s="1"/>
  <c r="L101" i="21" s="1"/>
  <c r="M101" i="21" s="1"/>
  <c r="F33" i="21"/>
  <c r="J33" i="21"/>
  <c r="W33" i="21" s="1"/>
  <c r="H33" i="21"/>
  <c r="AB33" i="21"/>
  <c r="F37" i="21"/>
  <c r="AA37" i="21"/>
  <c r="AA26" i="21"/>
  <c r="U40" i="21"/>
  <c r="U31" i="21"/>
  <c r="U13" i="21"/>
  <c r="AB13" i="21"/>
  <c r="W8" i="21"/>
  <c r="S35" i="21"/>
  <c r="AB37" i="21"/>
  <c r="J37" i="21"/>
  <c r="W37" i="21"/>
  <c r="H15" i="21"/>
  <c r="U15" i="21"/>
  <c r="J17" i="21"/>
  <c r="AC17" i="21"/>
  <c r="AC19" i="21"/>
  <c r="W39" i="21"/>
  <c r="H45" i="2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44" i="21"/>
  <c r="W13" i="21"/>
  <c r="W42" i="21"/>
  <c r="AC45" i="21"/>
  <c r="F10" i="21"/>
  <c r="S10" i="21" s="1"/>
  <c r="K145" i="21"/>
  <c r="W17" i="21"/>
  <c r="W25" i="21"/>
  <c r="AA29"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D22" i="15"/>
  <c r="E4" i="4"/>
  <c r="B5" i="62" s="1"/>
  <c r="B73" i="72" s="1"/>
  <c r="C4" i="4"/>
  <c r="T13" i="1"/>
  <c r="AA39" i="40"/>
  <c r="S39" i="40"/>
  <c r="S12" i="33"/>
  <c r="AA12" i="33"/>
  <c r="J32" i="39"/>
  <c r="AC32" i="39" s="1"/>
  <c r="J107" i="39"/>
  <c r="K107" i="39" s="1"/>
  <c r="L107" i="39" s="1"/>
  <c r="M107" i="39" s="1"/>
  <c r="H32" i="39"/>
  <c r="AA32" i="39"/>
  <c r="AA21" i="39"/>
  <c r="AC21" i="39"/>
  <c r="W21" i="39"/>
  <c r="U9" i="35"/>
  <c r="S9" i="35"/>
  <c r="AC17" i="37"/>
  <c r="S17" i="37"/>
  <c r="J19" i="37"/>
  <c r="G75" i="37"/>
  <c r="S19" i="37"/>
  <c r="AA19" i="37"/>
  <c r="AA23" i="37"/>
  <c r="J23" i="37"/>
  <c r="W23" i="37" s="1"/>
  <c r="J10" i="37"/>
  <c r="AC10" i="37" s="1"/>
  <c r="I60" i="37"/>
  <c r="H11" i="37"/>
  <c r="G70" i="34"/>
  <c r="H70" i="34" s="1"/>
  <c r="I70" i="34" s="1"/>
  <c r="J70" i="34" s="1"/>
  <c r="K70" i="34" s="1"/>
  <c r="L70" i="34" s="1"/>
  <c r="M70" i="34" s="1"/>
  <c r="H11" i="34"/>
  <c r="AB10" i="34"/>
  <c r="U10" i="34"/>
  <c r="J10" i="34"/>
  <c r="W10" i="34" s="1"/>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S25" i="33"/>
  <c r="AA25" i="33"/>
  <c r="G87" i="33"/>
  <c r="H87" i="33"/>
  <c r="I87" i="33" s="1"/>
  <c r="J87" i="33" s="1"/>
  <c r="K87" i="33" s="1"/>
  <c r="L87" i="33" s="1"/>
  <c r="M87" i="33" s="1"/>
  <c r="J25" i="33"/>
  <c r="W25" i="33" s="1"/>
  <c r="F23" i="33"/>
  <c r="G85" i="33"/>
  <c r="W23" i="33"/>
  <c r="H19" i="33"/>
  <c r="G81" i="33"/>
  <c r="G79" i="33"/>
  <c r="H17" i="33"/>
  <c r="F17" i="33"/>
  <c r="AA17" i="33" s="1"/>
  <c r="AC17" i="33"/>
  <c r="U10" i="33"/>
  <c r="AB10" i="33"/>
  <c r="AC37" i="21"/>
  <c r="U33" i="21"/>
  <c r="S37" i="21"/>
  <c r="AB15" i="21"/>
  <c r="J23" i="21"/>
  <c r="G85" i="21"/>
  <c r="H23" i="21"/>
  <c r="S13" i="21"/>
  <c r="AP7" i="1"/>
  <c r="S33" i="21"/>
  <c r="AA33" i="21"/>
  <c r="W32" i="21"/>
  <c r="AB9" i="21"/>
  <c r="AA32" i="21"/>
  <c r="W9" i="21"/>
  <c r="AB32" i="21"/>
  <c r="AA10" i="21"/>
  <c r="A18" i="62"/>
  <c r="B64" i="72" s="1"/>
  <c r="U32" i="39"/>
  <c r="AB32" i="39"/>
  <c r="W32" i="39"/>
  <c r="W19" i="37"/>
  <c r="AC19" i="37"/>
  <c r="AC23" i="37"/>
  <c r="AB11" i="37"/>
  <c r="U11" i="37"/>
  <c r="J11" i="37"/>
  <c r="W10" i="37"/>
  <c r="U11" i="34"/>
  <c r="AB11" i="34"/>
  <c r="AC10" i="34"/>
  <c r="J11" i="34"/>
  <c r="W11" i="34" s="1"/>
  <c r="AC36" i="33"/>
  <c r="U36" i="33"/>
  <c r="AB36" i="33"/>
  <c r="W27" i="33"/>
  <c r="AA23" i="33"/>
  <c r="S23" i="33"/>
  <c r="S17" i="33"/>
  <c r="U17" i="33"/>
  <c r="AB17" i="33"/>
  <c r="U23" i="21"/>
  <c r="AB23" i="21"/>
  <c r="AC11" i="37"/>
  <c r="W11" i="37"/>
  <c r="AC11" i="34"/>
  <c r="F34" i="11"/>
  <c r="F11" i="12"/>
  <c r="C23" i="12" s="1"/>
  <c r="F34" i="68"/>
  <c r="R8" i="1"/>
  <c r="AE8" i="1"/>
  <c r="AG6" i="1"/>
  <c r="H109" i="9"/>
  <c r="M49" i="9" s="1"/>
  <c r="H110" i="9"/>
  <c r="D18" i="53" s="1"/>
  <c r="B35" i="72" s="1"/>
  <c r="D16" i="53"/>
  <c r="B34" i="72" s="1"/>
  <c r="H112" i="9"/>
  <c r="D21" i="53" s="1"/>
  <c r="B39" i="72" s="1"/>
  <c r="H111" i="9"/>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O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E16" i="71" s="1"/>
  <c r="E15" i="71" s="1"/>
  <c r="E14" i="71" s="1"/>
  <c r="E13" i="71" s="1"/>
  <c r="V17" i="71"/>
  <c r="I59" i="34"/>
  <c r="J59" i="34" s="1"/>
  <c r="D2" i="36"/>
  <c r="M22" i="67"/>
  <c r="AO8" i="1"/>
  <c r="D4" i="73"/>
  <c r="D34" i="9"/>
  <c r="F4" i="73"/>
  <c r="F36" i="15"/>
  <c r="F8" i="15"/>
  <c r="F9" i="15"/>
  <c r="E9" i="76"/>
  <c r="D35" i="9"/>
  <c r="D3" i="73"/>
  <c r="M27" i="15"/>
  <c r="F9" i="67"/>
  <c r="E10" i="76"/>
  <c r="M29" i="15"/>
  <c r="AO9" i="1"/>
  <c r="D7" i="73"/>
  <c r="AO12" i="1"/>
  <c r="F36" i="67"/>
  <c r="F6" i="73"/>
  <c r="F7" i="15"/>
  <c r="D2" i="33"/>
  <c r="F3" i="73"/>
  <c r="M6" i="67"/>
  <c r="F13" i="67"/>
  <c r="F7" i="73"/>
  <c r="F38" i="15"/>
  <c r="M24" i="15"/>
  <c r="M28" i="15"/>
  <c r="D5" i="73"/>
  <c r="F37" i="67"/>
  <c r="D6" i="73"/>
  <c r="E2" i="69"/>
  <c r="B7" i="76"/>
  <c r="E2" i="68"/>
  <c r="F5" i="73"/>
  <c r="B8" i="76"/>
  <c r="D2" i="35"/>
  <c r="F20" i="31"/>
  <c r="B12" i="76"/>
  <c r="E12" i="76"/>
  <c r="D2" i="37"/>
  <c r="B11" i="76"/>
  <c r="E7" i="76"/>
  <c r="E11" i="76"/>
  <c r="D2" i="21"/>
  <c r="AO13" i="1"/>
  <c r="D2" i="34"/>
  <c r="AO11" i="1"/>
  <c r="E13" i="76"/>
  <c r="F40" i="15"/>
  <c r="B10" i="76"/>
  <c r="E8" i="76"/>
  <c r="F7" i="67"/>
  <c r="B13" i="76"/>
  <c r="C76" i="67"/>
  <c r="F41" i="67"/>
  <c r="AO10" i="1"/>
  <c r="B9" i="76"/>
  <c r="M6" i="15"/>
  <c r="F26" i="67"/>
  <c r="F42" i="67"/>
  <c r="F40" i="67"/>
  <c r="M27" i="67"/>
  <c r="M9" i="67"/>
  <c r="J15" i="15"/>
  <c r="M23" i="67"/>
  <c r="AC25" i="33" l="1"/>
  <c r="AC33" i="21"/>
  <c r="AC23" i="21"/>
  <c r="W23" i="21"/>
  <c r="AA23" i="21"/>
  <c r="W10" i="33"/>
  <c r="AB19" i="33"/>
  <c r="U19" i="33"/>
  <c r="U23" i="33"/>
  <c r="AB25" i="33"/>
  <c r="S36" i="33"/>
  <c r="AB41" i="33"/>
  <c r="AB10" i="37"/>
  <c r="AB21" i="39"/>
  <c r="U45" i="21"/>
  <c r="AB45" i="21"/>
  <c r="D121" i="9"/>
  <c r="D7" i="52" s="1"/>
  <c r="D6" i="52"/>
  <c r="AZ14" i="3"/>
  <c r="AA39" i="34"/>
  <c r="AA20" i="36"/>
  <c r="S20" i="36"/>
  <c r="AA32" i="37"/>
  <c r="S32" i="37"/>
  <c r="AA23" i="39"/>
  <c r="S23" i="39"/>
  <c r="AA30" i="40"/>
  <c r="S30" i="40"/>
  <c r="W34" i="33"/>
  <c r="AC34" i="33"/>
  <c r="E10" i="6"/>
  <c r="AZ351" i="3"/>
  <c r="AB37" i="39"/>
  <c r="U37" i="39"/>
  <c r="AB46" i="21"/>
  <c r="U46" i="21"/>
  <c r="AC44" i="33"/>
  <c r="W44" i="33"/>
  <c r="AC46" i="33"/>
  <c r="W46" i="33"/>
  <c r="W13" i="34"/>
  <c r="AC13" i="34"/>
  <c r="AB23" i="36"/>
  <c r="U23" i="36"/>
  <c r="S36" i="39"/>
  <c r="AA36" i="39"/>
  <c r="D126" i="9"/>
  <c r="D19" i="53"/>
  <c r="W15" i="21"/>
  <c r="AC15" i="21"/>
  <c r="S19" i="33"/>
  <c r="AA19" i="33"/>
  <c r="AC33" i="34"/>
  <c r="W33" i="34"/>
  <c r="S39" i="39"/>
  <c r="AA39" i="39"/>
  <c r="S40" i="34"/>
  <c r="AA40" i="34"/>
  <c r="U34" i="33"/>
  <c r="AB34" i="33"/>
  <c r="AC14" i="21"/>
  <c r="W14" i="21"/>
  <c r="U28" i="21"/>
  <c r="AB28" i="21"/>
  <c r="AB30" i="21"/>
  <c r="U30" i="21"/>
  <c r="W11" i="36"/>
  <c r="AC11" i="36"/>
  <c r="AZ581" i="3"/>
  <c r="BL586" i="3"/>
  <c r="AZ586" i="3" s="1"/>
  <c r="BL550" i="3"/>
  <c r="BA550" i="3"/>
  <c r="AZ550" i="3" s="1"/>
  <c r="E19" i="69"/>
  <c r="E19" i="85"/>
  <c r="M8" i="1"/>
  <c r="AP8" i="1"/>
  <c r="M18" i="82"/>
  <c r="B118" i="82" s="1"/>
  <c r="D38" i="43"/>
  <c r="D78" i="9"/>
  <c r="D93" i="82"/>
  <c r="D78" i="82"/>
  <c r="C12" i="43"/>
  <c r="AZ438" i="3"/>
  <c r="AB25" i="21"/>
  <c r="W32" i="37"/>
  <c r="U24" i="35"/>
  <c r="AB31" i="40"/>
  <c r="S42" i="33"/>
  <c r="AA29" i="33"/>
  <c r="S27" i="33"/>
  <c r="S13" i="34"/>
  <c r="AA45" i="34"/>
  <c r="AB35" i="34"/>
  <c r="S37" i="37"/>
  <c r="AC29" i="37"/>
  <c r="AB13" i="35"/>
  <c r="AA26" i="36"/>
  <c r="U14" i="39"/>
  <c r="AA12" i="39"/>
  <c r="S28" i="40"/>
  <c r="C77" i="82"/>
  <c r="C74" i="82" s="1"/>
  <c r="AA12" i="40"/>
  <c r="W37" i="37"/>
  <c r="BQ5" i="3"/>
  <c r="F28" i="6" s="1"/>
  <c r="AZ379" i="3"/>
  <c r="AZ345" i="3"/>
  <c r="AZ318" i="3"/>
  <c r="AZ372" i="3"/>
  <c r="AZ337" i="3"/>
  <c r="AZ320" i="3"/>
  <c r="AZ305" i="3"/>
  <c r="AZ376" i="3"/>
  <c r="AZ362" i="3"/>
  <c r="AZ341" i="3"/>
  <c r="AZ309" i="3"/>
  <c r="W35" i="40"/>
  <c r="AB33" i="40"/>
  <c r="H5" i="3"/>
  <c r="AB38" i="21"/>
  <c r="AC31" i="33"/>
  <c r="W37" i="34"/>
  <c r="W47" i="34"/>
  <c r="AA12" i="21"/>
  <c r="AZ511" i="3"/>
  <c r="AZ519" i="3"/>
  <c r="AZ569" i="3"/>
  <c r="AZ577" i="3"/>
  <c r="AZ495" i="3"/>
  <c r="AZ513" i="3"/>
  <c r="AZ517" i="3"/>
  <c r="AZ567" i="3"/>
  <c r="AZ571" i="3"/>
  <c r="AZ575" i="3"/>
  <c r="AZ579" i="3"/>
  <c r="AZ568" i="3"/>
  <c r="AZ576" i="3"/>
  <c r="U36" i="39"/>
  <c r="W29" i="33"/>
  <c r="S45" i="33"/>
  <c r="AC30" i="34"/>
  <c r="W31" i="34"/>
  <c r="AA13" i="35"/>
  <c r="F25" i="35"/>
  <c r="H46" i="33"/>
  <c r="J14" i="33"/>
  <c r="F11" i="36"/>
  <c r="H11" i="36"/>
  <c r="J31" i="21"/>
  <c r="H26" i="33"/>
  <c r="F46" i="21"/>
  <c r="J46" i="21"/>
  <c r="J30" i="21"/>
  <c r="F30" i="21"/>
  <c r="J28" i="21"/>
  <c r="F28" i="21"/>
  <c r="H14" i="21"/>
  <c r="F14" i="21"/>
  <c r="AA38" i="34"/>
  <c r="S41" i="33"/>
  <c r="AB23" i="34"/>
  <c r="AB42" i="34"/>
  <c r="AC11" i="40"/>
  <c r="W40" i="33"/>
  <c r="S26" i="33"/>
  <c r="S9" i="34"/>
  <c r="S10" i="37"/>
  <c r="AC8" i="35"/>
  <c r="H14" i="35"/>
  <c r="AB14" i="35" s="1"/>
  <c r="H16" i="35"/>
  <c r="F23" i="35"/>
  <c r="AA23" i="35" s="1"/>
  <c r="F12" i="36"/>
  <c r="J34" i="36"/>
  <c r="AB12" i="36"/>
  <c r="AC12" i="34"/>
  <c r="U34" i="34"/>
  <c r="U31" i="36"/>
  <c r="U9" i="36"/>
  <c r="W8" i="36"/>
  <c r="U30" i="37"/>
  <c r="J36" i="39"/>
  <c r="J45" i="39"/>
  <c r="BL585" i="3"/>
  <c r="AZ585" i="3" s="1"/>
  <c r="H12" i="33"/>
  <c r="J23" i="35"/>
  <c r="F9" i="36"/>
  <c r="F44" i="39"/>
  <c r="G578" i="3"/>
  <c r="G562" i="3"/>
  <c r="BA551" i="3"/>
  <c r="AZ551" i="3" s="1"/>
  <c r="BL548" i="3"/>
  <c r="AZ548" i="3" s="1"/>
  <c r="M20" i="15"/>
  <c r="F34" i="78"/>
  <c r="F62" i="78" s="1"/>
  <c r="M20" i="78"/>
  <c r="BL15" i="3"/>
  <c r="AZ15" i="3" s="1"/>
  <c r="G41" i="69"/>
  <c r="G41" i="85"/>
  <c r="G22" i="85"/>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AZ451" i="3"/>
  <c r="AZ458" i="3"/>
  <c r="AZ462" i="3"/>
  <c r="AZ483" i="3"/>
  <c r="BA440" i="3"/>
  <c r="AZ440" i="3" s="1"/>
  <c r="BA441" i="3"/>
  <c r="AZ441" i="3" s="1"/>
  <c r="BA442" i="3"/>
  <c r="AZ442" i="3" s="1"/>
  <c r="BL442" i="3"/>
  <c r="G444" i="3"/>
  <c r="BL444" i="3"/>
  <c r="BA445" i="3"/>
  <c r="AZ445" i="3" s="1"/>
  <c r="BA446" i="3"/>
  <c r="BL446" i="3"/>
  <c r="BA447" i="3"/>
  <c r="AZ447" i="3" s="1"/>
  <c r="G450" i="3"/>
  <c r="G454" i="3"/>
  <c r="G456" i="3"/>
  <c r="BL456" i="3"/>
  <c r="AZ456" i="3" s="1"/>
  <c r="BA459" i="3"/>
  <c r="AZ459" i="3" s="1"/>
  <c r="BL459" i="3"/>
  <c r="BA460" i="3"/>
  <c r="AZ460" i="3" s="1"/>
  <c r="G465" i="3"/>
  <c r="G466" i="3"/>
  <c r="BL466" i="3"/>
  <c r="BA467" i="3"/>
  <c r="AZ467" i="3" s="1"/>
  <c r="G472" i="3"/>
  <c r="BL472" i="3"/>
  <c r="AZ472" i="3" s="1"/>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BA392" i="3"/>
  <c r="AZ392" i="3" s="1"/>
  <c r="G395" i="3"/>
  <c r="BL395" i="3"/>
  <c r="AZ395" i="3" s="1"/>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AZ276" i="3" s="1"/>
  <c r="BA277" i="3"/>
  <c r="AZ277" i="3" s="1"/>
  <c r="BL279" i="3"/>
  <c r="AZ279" i="3" s="1"/>
  <c r="BL281" i="3"/>
  <c r="AZ281" i="3" s="1"/>
  <c r="G283" i="3"/>
  <c r="G284" i="3"/>
  <c r="BL284" i="3"/>
  <c r="G286" i="3"/>
  <c r="G287" i="3"/>
  <c r="G288" i="3"/>
  <c r="G289" i="3"/>
  <c r="BL289" i="3"/>
  <c r="G291" i="3"/>
  <c r="G292" i="3"/>
  <c r="BL292" i="3"/>
  <c r="BA293" i="3"/>
  <c r="AZ293" i="3" s="1"/>
  <c r="BL295" i="3"/>
  <c r="AZ295" i="3" s="1"/>
  <c r="BL297" i="3"/>
  <c r="AZ297"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154" i="3"/>
  <c r="G155" i="3"/>
  <c r="BL157" i="3"/>
  <c r="AZ157" i="3" s="1"/>
  <c r="G160" i="3"/>
  <c r="BL162" i="3"/>
  <c r="AZ162" i="3" s="1"/>
  <c r="BA164" i="3"/>
  <c r="AZ164" i="3" s="1"/>
  <c r="G166" i="3"/>
  <c r="G167" i="3"/>
  <c r="G170" i="3"/>
  <c r="G171" i="3"/>
  <c r="BL173" i="3"/>
  <c r="AZ173" i="3" s="1"/>
  <c r="P62" i="71"/>
  <c r="P63" i="71"/>
  <c r="G176" i="3"/>
  <c r="BL178" i="3"/>
  <c r="AZ178" i="3" s="1"/>
  <c r="BA180" i="3"/>
  <c r="AZ180" i="3" s="1"/>
  <c r="G182" i="3"/>
  <c r="G183" i="3"/>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BA112" i="3"/>
  <c r="AZ112" i="3" s="1"/>
  <c r="G12" i="1"/>
  <c r="G10" i="1"/>
  <c r="S29" i="39"/>
  <c r="C29" i="39"/>
  <c r="B55" i="43"/>
  <c r="C79" i="71"/>
  <c r="D79" i="71" s="1"/>
  <c r="X23" i="71"/>
  <c r="E33" i="71"/>
  <c r="U33" i="71" s="1"/>
  <c r="U37" i="71"/>
  <c r="M19" i="43"/>
  <c r="C25" i="71"/>
  <c r="Y23" i="71"/>
  <c r="Z23" i="71" s="1"/>
  <c r="Y25" i="71"/>
  <c r="Z25" i="71" s="1"/>
  <c r="X22" i="71"/>
  <c r="X24" i="71"/>
  <c r="AA26" i="71"/>
  <c r="AB29" i="71"/>
  <c r="AA31" i="71"/>
  <c r="AB33" i="71"/>
  <c r="B64" i="71"/>
  <c r="G1" i="85"/>
  <c r="G1" i="78"/>
  <c r="M47" i="82"/>
  <c r="J51" i="78"/>
  <c r="C51" i="10"/>
  <c r="A118" i="82"/>
  <c r="A2" i="82"/>
  <c r="W21" i="33"/>
  <c r="E25" i="71"/>
  <c r="AA3" i="71"/>
  <c r="AA23" i="71"/>
  <c r="AA25" i="71"/>
  <c r="AB27" i="71"/>
  <c r="AB23" i="71"/>
  <c r="X28" i="71"/>
  <c r="X29" i="71"/>
  <c r="AB31" i="71"/>
  <c r="AB30" i="71"/>
  <c r="AA30" i="71"/>
  <c r="AA32" i="71"/>
  <c r="AB35" i="71"/>
  <c r="AB34" i="71"/>
  <c r="P65" i="71"/>
  <c r="U65" i="71"/>
  <c r="E72" i="71"/>
  <c r="E71" i="71" s="1"/>
  <c r="AB22" i="71"/>
  <c r="AB26" i="71"/>
  <c r="X26" i="71"/>
  <c r="AB28" i="71"/>
  <c r="F32" i="71"/>
  <c r="F33" i="71" s="1"/>
  <c r="V33" i="71" s="1"/>
  <c r="X30" i="71"/>
  <c r="AB32" i="71"/>
  <c r="F36" i="71"/>
  <c r="F37" i="71" s="1"/>
  <c r="V37" i="71" s="1"/>
  <c r="AE10" i="43"/>
  <c r="N56" i="82"/>
  <c r="K56" i="82"/>
  <c r="M56" i="82"/>
  <c r="J56" i="82"/>
  <c r="J57" i="82" s="1"/>
  <c r="J59" i="82" s="1"/>
  <c r="J61" i="82" s="1"/>
  <c r="V21" i="71"/>
  <c r="G8" i="1"/>
  <c r="I20" i="43"/>
  <c r="J10" i="35"/>
  <c r="W10" i="35" s="1"/>
  <c r="O6" i="1"/>
  <c r="O7" i="1"/>
  <c r="P7" i="1" s="1"/>
  <c r="G7" i="1"/>
  <c r="G6" i="1"/>
  <c r="M17" i="43"/>
  <c r="L17" i="43"/>
  <c r="C6" i="43"/>
  <c r="F37" i="43"/>
  <c r="F34" i="43"/>
  <c r="F33" i="43"/>
  <c r="H17" i="43"/>
  <c r="J17" i="43"/>
  <c r="I17" i="43"/>
  <c r="D17" i="43"/>
  <c r="H73" i="43"/>
  <c r="G73" i="43" s="1"/>
  <c r="H78" i="43"/>
  <c r="G78" i="43" s="1"/>
  <c r="H72" i="43"/>
  <c r="G72" i="43" s="1"/>
  <c r="H76" i="43"/>
  <c r="G76" i="43" s="1"/>
  <c r="H77" i="43"/>
  <c r="G77" i="43" s="1"/>
  <c r="H70" i="43"/>
  <c r="G70" i="43" s="1"/>
  <c r="H74" i="43"/>
  <c r="G74" i="43" s="1"/>
  <c r="C36" i="69"/>
  <c r="A2" i="9"/>
  <c r="A118" i="9"/>
  <c r="U35" i="35"/>
  <c r="S31" i="35"/>
  <c r="AC31" i="35"/>
  <c r="AA33" i="35"/>
  <c r="U36" i="35"/>
  <c r="F36" i="35"/>
  <c r="S36" i="35" s="1"/>
  <c r="H32" i="35"/>
  <c r="AB10" i="35"/>
  <c r="AA10" i="35"/>
  <c r="G87" i="35"/>
  <c r="J29" i="35" s="1"/>
  <c r="U23" i="35"/>
  <c r="AB23" i="35"/>
  <c r="W25" i="35"/>
  <c r="AC25" i="35"/>
  <c r="AB27" i="35"/>
  <c r="S23" i="35"/>
  <c r="F20" i="35"/>
  <c r="H25" i="35"/>
  <c r="J20" i="35"/>
  <c r="W20" i="35" s="1"/>
  <c r="J32" i="35"/>
  <c r="U31" i="35"/>
  <c r="F32" i="35"/>
  <c r="AA32" i="35" s="1"/>
  <c r="U33" i="35"/>
  <c r="S27" i="35"/>
  <c r="F84" i="35"/>
  <c r="G84" i="35" s="1"/>
  <c r="H84" i="35" s="1"/>
  <c r="I84" i="35" s="1"/>
  <c r="J84" i="35" s="1"/>
  <c r="K84" i="35" s="1"/>
  <c r="L84" i="35" s="1"/>
  <c r="M84" i="35" s="1"/>
  <c r="J28" i="35"/>
  <c r="AC28" i="35" s="1"/>
  <c r="F28" i="35"/>
  <c r="AA28" i="35" s="1"/>
  <c r="H28" i="35"/>
  <c r="U30" i="35"/>
  <c r="W28" i="35"/>
  <c r="AC20" i="35"/>
  <c r="H20" i="35"/>
  <c r="AA16" i="35"/>
  <c r="W16" i="35"/>
  <c r="U22" i="35"/>
  <c r="W22" i="35"/>
  <c r="W35" i="35"/>
  <c r="U18" i="35"/>
  <c r="S18" i="35"/>
  <c r="AC14" i="35"/>
  <c r="U14" i="35"/>
  <c r="W13" i="35"/>
  <c r="AA11" i="35"/>
  <c r="AA12" i="35"/>
  <c r="W11" i="35"/>
  <c r="AB11" i="35"/>
  <c r="F26" i="35"/>
  <c r="J26" i="35"/>
  <c r="H26" i="35"/>
  <c r="K5" i="4"/>
  <c r="B47" i="48" s="1"/>
  <c r="F34" i="15"/>
  <c r="F62" i="15" s="1"/>
  <c r="F34" i="67"/>
  <c r="F62" i="67" s="1"/>
  <c r="B41" i="1"/>
  <c r="D93" i="9"/>
  <c r="C77" i="9"/>
  <c r="C74" i="9" s="1"/>
  <c r="C36" i="11"/>
  <c r="C40" i="69"/>
  <c r="C21" i="69"/>
  <c r="E19" i="11"/>
  <c r="D22" i="67"/>
  <c r="AR10" i="1"/>
  <c r="AQ8" i="1"/>
  <c r="T9" i="1"/>
  <c r="AQ9" i="1"/>
  <c r="AQ13" i="1"/>
  <c r="E11" i="6"/>
  <c r="E61" i="39" s="1"/>
  <c r="E12" i="6"/>
  <c r="E62" i="39" s="1"/>
  <c r="Q16" i="1"/>
  <c r="T8" i="1"/>
  <c r="AR11" i="1"/>
  <c r="T11" i="1"/>
  <c r="T10" i="1"/>
  <c r="E14" i="6"/>
  <c r="E64" i="39" s="1"/>
  <c r="E13" i="6"/>
  <c r="E58" i="40" s="1"/>
  <c r="E59" i="40"/>
  <c r="E5" i="6"/>
  <c r="E65" i="39"/>
  <c r="F27" i="69"/>
  <c r="F45" i="69" s="1"/>
  <c r="H16" i="1"/>
  <c r="E29" i="6"/>
  <c r="K15" i="1" s="1"/>
  <c r="F30" i="6"/>
  <c r="F31" i="6" s="1"/>
  <c r="O8" i="1"/>
  <c r="P8" i="1" s="1"/>
  <c r="C13" i="12" s="1"/>
  <c r="AZ13" i="3"/>
  <c r="H71" i="43"/>
  <c r="G71" i="43" s="1"/>
  <c r="H88" i="43"/>
  <c r="H56" i="43"/>
  <c r="H84" i="43"/>
  <c r="H85" i="43"/>
  <c r="H82" i="43"/>
  <c r="H53" i="43"/>
  <c r="H87" i="43"/>
  <c r="H86" i="43"/>
  <c r="G13" i="1"/>
  <c r="C70" i="39"/>
  <c r="D68" i="39"/>
  <c r="I14" i="74"/>
  <c r="B8" i="74" s="1"/>
  <c r="D127" i="9"/>
  <c r="D13" i="52" s="1"/>
  <c r="D12" i="52"/>
  <c r="L68" i="9"/>
  <c r="M68" i="9" s="1"/>
  <c r="L65" i="9"/>
  <c r="M65" i="9" s="1"/>
  <c r="L66" i="9"/>
  <c r="M66" i="9" s="1"/>
  <c r="L64" i="9"/>
  <c r="M64" i="9" s="1"/>
  <c r="L63" i="9"/>
  <c r="M63" i="9" s="1"/>
  <c r="M69" i="9" s="1"/>
  <c r="N69" i="9" s="1"/>
  <c r="L67" i="9"/>
  <c r="M67" i="9" s="1"/>
  <c r="O12" i="1"/>
  <c r="P12" i="1" s="1"/>
  <c r="E28" i="6"/>
  <c r="G30" i="6"/>
  <c r="G31" i="6" s="1"/>
  <c r="G5" i="3"/>
  <c r="B3" i="3" s="1"/>
  <c r="A3" i="3" s="1"/>
  <c r="I4" i="6" s="1"/>
  <c r="G3" i="43" s="1"/>
  <c r="B113" i="43" s="1"/>
  <c r="E12" i="71"/>
  <c r="E11" i="71" s="1"/>
  <c r="E10" i="71" s="1"/>
  <c r="E9" i="71" s="1"/>
  <c r="V13" i="71"/>
  <c r="D17" i="53"/>
  <c r="B36" i="72" s="1"/>
  <c r="D124" i="9"/>
  <c r="P6" i="1"/>
  <c r="AZ557" i="3"/>
  <c r="AA14" i="33"/>
  <c r="AA44" i="33"/>
  <c r="W9" i="34"/>
  <c r="S39" i="37"/>
  <c r="AA39" i="37"/>
  <c r="S12" i="34"/>
  <c r="AA12" i="34"/>
  <c r="E56" i="40"/>
  <c r="U44" i="34"/>
  <c r="AB27" i="36"/>
  <c r="U12" i="39"/>
  <c r="AA27" i="40"/>
  <c r="AB27" i="40"/>
  <c r="AA34" i="33"/>
  <c r="H75" i="43"/>
  <c r="G75" i="43" s="1"/>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s="1"/>
  <c r="F29" i="71" s="1"/>
  <c r="V29" i="71" s="1"/>
  <c r="Y6" i="71"/>
  <c r="Z6" i="71" s="1"/>
  <c r="Y7" i="71"/>
  <c r="Z7" i="71" s="1"/>
  <c r="Y36" i="71"/>
  <c r="Z36" i="71" s="1"/>
  <c r="V69" i="71"/>
  <c r="F68" i="71"/>
  <c r="F67" i="71" s="1"/>
  <c r="AA5" i="71"/>
  <c r="AB5" i="71"/>
  <c r="X5" i="71"/>
  <c r="Y5" i="71"/>
  <c r="Z5" i="71" s="1"/>
  <c r="AB24" i="71"/>
  <c r="S25" i="71"/>
  <c r="AA6" i="71"/>
  <c r="AA7" i="71"/>
  <c r="AA36" i="71"/>
  <c r="AA34" i="71"/>
  <c r="V65" i="71"/>
  <c r="F64" i="71"/>
  <c r="Z12" i="43"/>
  <c r="Z10" i="43"/>
  <c r="AD12" i="43"/>
  <c r="AD10" i="43"/>
  <c r="AH12" i="43"/>
  <c r="AH10" i="43"/>
  <c r="Y18" i="71"/>
  <c r="Z18" i="71" s="1"/>
  <c r="AB18" i="71"/>
  <c r="X18" i="71"/>
  <c r="Y15" i="71"/>
  <c r="Z15" i="71" s="1"/>
  <c r="X14" i="71"/>
  <c r="Y14" i="71"/>
  <c r="Z14" i="71" s="1"/>
  <c r="AA14" i="71"/>
  <c r="AB15" i="71"/>
  <c r="Y11" i="71"/>
  <c r="Z11" i="71" s="1"/>
  <c r="X6" i="71"/>
  <c r="X7" i="71"/>
  <c r="AB7" i="71"/>
  <c r="AB6" i="71"/>
  <c r="AF10" i="43"/>
  <c r="AC12" i="43"/>
  <c r="AC10" i="43"/>
  <c r="AG12" i="43"/>
  <c r="AG10" i="43"/>
  <c r="X21" i="71"/>
  <c r="Y21" i="71"/>
  <c r="Z21" i="71" s="1"/>
  <c r="AA19" i="71"/>
  <c r="X19" i="71"/>
  <c r="AA18" i="71"/>
  <c r="X15" i="71"/>
  <c r="AA15" i="71"/>
  <c r="X11" i="71"/>
  <c r="AA9" i="71"/>
  <c r="AA21" i="71"/>
  <c r="AB21" i="71"/>
  <c r="B21" i="71"/>
  <c r="C21" i="71"/>
  <c r="Y20" i="71"/>
  <c r="Z20" i="71" s="1"/>
  <c r="Y19" i="71"/>
  <c r="Z19" i="71" s="1"/>
  <c r="AA20" i="71"/>
  <c r="AB20" i="71"/>
  <c r="AB12" i="71"/>
  <c r="AB14" i="71"/>
  <c r="AB9" i="71"/>
  <c r="AB11" i="71"/>
  <c r="Y9" i="71"/>
  <c r="Z9" i="71" s="1"/>
  <c r="Y10" i="71"/>
  <c r="Z10" i="71" s="1"/>
  <c r="X8" i="71"/>
  <c r="X12" i="71"/>
  <c r="AA12" i="71"/>
  <c r="AB8" i="71"/>
  <c r="AB10" i="71"/>
  <c r="Y8" i="71"/>
  <c r="Z8" i="71" s="1"/>
  <c r="X9" i="71"/>
  <c r="X10" i="71"/>
  <c r="AA8" i="71"/>
  <c r="AA10" i="71"/>
  <c r="AA11"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F65" i="67"/>
  <c r="B12" i="70"/>
  <c r="M7" i="15"/>
  <c r="F50" i="15"/>
  <c r="F51" i="15"/>
  <c r="F69" i="67"/>
  <c r="B11" i="70"/>
  <c r="B8" i="70"/>
  <c r="F66" i="15"/>
  <c r="Q71" i="67"/>
  <c r="F64" i="15"/>
  <c r="F70" i="67"/>
  <c r="C27" i="67"/>
  <c r="B9" i="70"/>
  <c r="B13" i="70"/>
  <c r="M7" i="67"/>
  <c r="F50" i="67"/>
  <c r="F68" i="67"/>
  <c r="F64" i="67"/>
  <c r="F68" i="15"/>
  <c r="F37" i="15"/>
  <c r="L47" i="67"/>
  <c r="M8" i="67"/>
  <c r="F43" i="67"/>
  <c r="F35" i="67"/>
  <c r="F43" i="15"/>
  <c r="M9" i="15"/>
  <c r="F42" i="15"/>
  <c r="M29" i="67"/>
  <c r="M24" i="67"/>
  <c r="F26" i="15"/>
  <c r="M28" i="67"/>
  <c r="L48" i="67"/>
  <c r="F6" i="67"/>
  <c r="M23" i="15"/>
  <c r="C36" i="68"/>
  <c r="G1" i="73"/>
  <c r="F27" i="68"/>
  <c r="M22" i="15"/>
  <c r="M26" i="15"/>
  <c r="L47" i="15"/>
  <c r="F16" i="15"/>
  <c r="F16" i="67"/>
  <c r="M21" i="67"/>
  <c r="F38" i="67"/>
  <c r="M26" i="67"/>
  <c r="M8" i="15"/>
  <c r="J15" i="67"/>
  <c r="F8" i="67"/>
  <c r="L48" i="15"/>
  <c r="F6" i="15"/>
  <c r="F13" i="15"/>
  <c r="C76" i="15"/>
  <c r="Q71" i="15" l="1"/>
  <c r="C6" i="15"/>
  <c r="J57" i="15"/>
  <c r="J55" i="15" s="1"/>
  <c r="J58" i="15" s="1"/>
  <c r="Q50" i="15" s="1"/>
  <c r="J53" i="15"/>
  <c r="L56" i="15" s="1"/>
  <c r="I54" i="15"/>
  <c r="F51" i="67"/>
  <c r="C49" i="67" s="1"/>
  <c r="F66" i="67"/>
  <c r="J20" i="67"/>
  <c r="N59" i="15"/>
  <c r="M59" i="15"/>
  <c r="L59" i="15"/>
  <c r="Q74" i="15" s="1"/>
  <c r="L58" i="15"/>
  <c r="C6" i="67"/>
  <c r="J57" i="67"/>
  <c r="J55" i="67" s="1"/>
  <c r="J58" i="67" s="1"/>
  <c r="Q50" i="67" s="1"/>
  <c r="I54" i="67"/>
  <c r="J53" i="67"/>
  <c r="F1" i="67" s="1"/>
  <c r="L56" i="67"/>
  <c r="C27" i="15"/>
  <c r="F71" i="15"/>
  <c r="F63" i="67"/>
  <c r="C62" i="67" s="1"/>
  <c r="C34" i="67"/>
  <c r="F71" i="67"/>
  <c r="L59" i="67"/>
  <c r="Q61" i="67" s="1"/>
  <c r="M59" i="67"/>
  <c r="N59" i="67"/>
  <c r="L58" i="67"/>
  <c r="Q60" i="67" s="1"/>
  <c r="F65" i="15"/>
  <c r="M71" i="43"/>
  <c r="N71" i="43" s="1"/>
  <c r="K71" i="43"/>
  <c r="J22" i="43"/>
  <c r="AG11" i="43"/>
  <c r="AG13" i="43" s="1"/>
  <c r="Z7" i="43"/>
  <c r="AH11" i="43"/>
  <c r="AH13" i="43" s="1"/>
  <c r="I101" i="43"/>
  <c r="H22" i="43"/>
  <c r="F101" i="43"/>
  <c r="Y11" i="43"/>
  <c r="Y13" i="43" s="1"/>
  <c r="AE11" i="43"/>
  <c r="AE13" i="43" s="1"/>
  <c r="AD11" i="43"/>
  <c r="AD13" i="43" s="1"/>
  <c r="AJ11" i="43"/>
  <c r="AJ13" i="43" s="1"/>
  <c r="M101" i="43"/>
  <c r="M104" i="43" s="1"/>
  <c r="L101" i="43"/>
  <c r="J101" i="43"/>
  <c r="J106" i="43" s="1"/>
  <c r="G101" i="43"/>
  <c r="K101" i="43"/>
  <c r="K107" i="43" s="1"/>
  <c r="F30" i="85"/>
  <c r="F53" i="82"/>
  <c r="F48" i="82"/>
  <c r="O52" i="82" s="1"/>
  <c r="D68" i="82"/>
  <c r="F54" i="82"/>
  <c r="F52" i="82"/>
  <c r="F32" i="78"/>
  <c r="F60" i="78" s="1"/>
  <c r="F28" i="78"/>
  <c r="C28" i="78" s="1"/>
  <c r="M18" i="78"/>
  <c r="K74" i="43"/>
  <c r="M74" i="43"/>
  <c r="N74" i="43" s="1"/>
  <c r="M77" i="43"/>
  <c r="N77" i="43" s="1"/>
  <c r="K77" i="43"/>
  <c r="K72" i="43"/>
  <c r="M72" i="43"/>
  <c r="N72" i="43" s="1"/>
  <c r="M73" i="43"/>
  <c r="N73" i="43" s="1"/>
  <c r="K73" i="43"/>
  <c r="J73" i="43" s="1"/>
  <c r="B63" i="71"/>
  <c r="N64" i="71"/>
  <c r="AA9" i="36"/>
  <c r="S9" i="36"/>
  <c r="U12" i="33"/>
  <c r="AB12" i="33"/>
  <c r="W45" i="39"/>
  <c r="AC45" i="39"/>
  <c r="AA12" i="36"/>
  <c r="S12" i="36"/>
  <c r="U16" i="35"/>
  <c r="AB16" i="35"/>
  <c r="S14" i="21"/>
  <c r="AA14" i="21"/>
  <c r="S28" i="21"/>
  <c r="AA28" i="21"/>
  <c r="AA30" i="21"/>
  <c r="S30" i="21"/>
  <c r="W46" i="21"/>
  <c r="AC46" i="21"/>
  <c r="U26" i="33"/>
  <c r="AB26" i="33"/>
  <c r="U11" i="36"/>
  <c r="AB11" i="36"/>
  <c r="W14" i="33"/>
  <c r="AC14" i="33"/>
  <c r="S25" i="35"/>
  <c r="AA25" i="35"/>
  <c r="J6" i="15"/>
  <c r="J6" i="67"/>
  <c r="J18" i="67" s="1"/>
  <c r="K75" i="43"/>
  <c r="J75" i="43" s="1"/>
  <c r="D75" i="43" s="1"/>
  <c r="M75" i="43"/>
  <c r="N75" i="43" s="1"/>
  <c r="AC11" i="43"/>
  <c r="AI11" i="43"/>
  <c r="AI13" i="43" s="1"/>
  <c r="AB11" i="43"/>
  <c r="AB13" i="43" s="1"/>
  <c r="G22" i="43"/>
  <c r="D101" i="43"/>
  <c r="E22" i="43"/>
  <c r="F22" i="43"/>
  <c r="AA11" i="43"/>
  <c r="AA13" i="43" s="1"/>
  <c r="Z11" i="43"/>
  <c r="AF11" i="43"/>
  <c r="AF13" i="43" s="1"/>
  <c r="E101" i="43"/>
  <c r="H101" i="43"/>
  <c r="H106" i="43" s="1"/>
  <c r="N104" i="46"/>
  <c r="C101" i="43"/>
  <c r="C106" i="43" s="1"/>
  <c r="N101" i="43"/>
  <c r="E63" i="39"/>
  <c r="E66" i="39" s="1"/>
  <c r="E57" i="40"/>
  <c r="M70" i="43"/>
  <c r="N70" i="43" s="1"/>
  <c r="K70" i="43"/>
  <c r="M76" i="43"/>
  <c r="N76" i="43" s="1"/>
  <c r="K76" i="43"/>
  <c r="K78" i="43"/>
  <c r="J78" i="43" s="1"/>
  <c r="M78" i="43"/>
  <c r="N78" i="43" s="1"/>
  <c r="E24" i="71"/>
  <c r="E23" i="71" s="1"/>
  <c r="V25" i="71"/>
  <c r="C24" i="71"/>
  <c r="T25" i="71"/>
  <c r="D25" i="71"/>
  <c r="U25" i="71" s="1"/>
  <c r="AZ446" i="3"/>
  <c r="AZ5" i="3" s="1"/>
  <c r="AZ422" i="3"/>
  <c r="BL5" i="3"/>
  <c r="S44" i="39"/>
  <c r="AA44" i="39"/>
  <c r="AC23" i="35"/>
  <c r="W23" i="35"/>
  <c r="AC36" i="39"/>
  <c r="W36" i="39"/>
  <c r="W34" i="36"/>
  <c r="AC34" i="36"/>
  <c r="U14" i="21"/>
  <c r="AB14" i="21"/>
  <c r="AC28" i="21"/>
  <c r="W28" i="21"/>
  <c r="AC30" i="21"/>
  <c r="W30" i="21"/>
  <c r="S46" i="21"/>
  <c r="AA46" i="21"/>
  <c r="AC31" i="21"/>
  <c r="W31" i="21"/>
  <c r="AA11" i="36"/>
  <c r="S11" i="36"/>
  <c r="AB46" i="33"/>
  <c r="U46" i="33"/>
  <c r="D1" i="43"/>
  <c r="H38" i="43"/>
  <c r="B38" i="72"/>
  <c r="D20" i="53"/>
  <c r="B40" i="72" s="1"/>
  <c r="BA5" i="3"/>
  <c r="E27" i="6" s="1"/>
  <c r="AC10" i="35"/>
  <c r="C19" i="43"/>
  <c r="G16" i="1"/>
  <c r="F10" i="39" s="1"/>
  <c r="AA10" i="39" s="1"/>
  <c r="G17" i="43"/>
  <c r="C16" i="43" s="1"/>
  <c r="C5" i="43" s="1"/>
  <c r="D22" i="43"/>
  <c r="F27" i="11"/>
  <c r="AA36" i="35"/>
  <c r="AB32" i="35"/>
  <c r="U32" i="35"/>
  <c r="AC32" i="35"/>
  <c r="W32" i="35"/>
  <c r="AB25" i="35"/>
  <c r="U25" i="35"/>
  <c r="W29" i="35"/>
  <c r="AC29" i="35"/>
  <c r="S32" i="35"/>
  <c r="AA20" i="35"/>
  <c r="S20" i="35"/>
  <c r="H87" i="35"/>
  <c r="I87" i="35" s="1"/>
  <c r="J87" i="35" s="1"/>
  <c r="K87" i="35" s="1"/>
  <c r="L87" i="35" s="1"/>
  <c r="M87" i="35" s="1"/>
  <c r="H29" i="35"/>
  <c r="F29" i="35"/>
  <c r="AB28" i="35"/>
  <c r="U28" i="35"/>
  <c r="S28" i="35"/>
  <c r="U20" i="35"/>
  <c r="AB20" i="35"/>
  <c r="AC26" i="35"/>
  <c r="W26" i="35"/>
  <c r="AB26" i="35"/>
  <c r="U26" i="35"/>
  <c r="AA26" i="35"/>
  <c r="S26" i="35"/>
  <c r="F11" i="78"/>
  <c r="M11" i="78"/>
  <c r="F48" i="9"/>
  <c r="O52" i="9" s="1"/>
  <c r="F30" i="11"/>
  <c r="F31" i="12"/>
  <c r="C31" i="12" s="1"/>
  <c r="M18" i="67"/>
  <c r="F30" i="69"/>
  <c r="M18" i="15"/>
  <c r="D68" i="9"/>
  <c r="F53" i="9"/>
  <c r="F30" i="68"/>
  <c r="F28" i="67"/>
  <c r="C28" i="67" s="1"/>
  <c r="F52" i="9"/>
  <c r="F32" i="67"/>
  <c r="F60" i="67" s="1"/>
  <c r="F32" i="15"/>
  <c r="F60" i="15" s="1"/>
  <c r="F28" i="15"/>
  <c r="C28" i="15" s="1"/>
  <c r="F54" i="9"/>
  <c r="F28" i="12"/>
  <c r="C29" i="12" s="1"/>
  <c r="D28" i="12" s="1"/>
  <c r="C47" i="69"/>
  <c r="D45" i="69" s="1"/>
  <c r="AC13" i="43"/>
  <c r="Z13" i="43"/>
  <c r="C29" i="68"/>
  <c r="D27" i="68" s="1"/>
  <c r="F45" i="68"/>
  <c r="E16" i="6"/>
  <c r="D9" i="69"/>
  <c r="C9" i="69" s="1"/>
  <c r="D9" i="11"/>
  <c r="C9" i="11" s="1"/>
  <c r="D19" i="12"/>
  <c r="C19" i="12" s="1"/>
  <c r="C47" i="68"/>
  <c r="D45" i="68" s="1"/>
  <c r="C29" i="69"/>
  <c r="D27" i="69" s="1"/>
  <c r="I109" i="43"/>
  <c r="I102" i="43"/>
  <c r="I106" i="43"/>
  <c r="I103" i="43"/>
  <c r="I107" i="43"/>
  <c r="I104" i="43"/>
  <c r="I105" i="43"/>
  <c r="F104" i="43"/>
  <c r="F107" i="43"/>
  <c r="F106" i="43"/>
  <c r="F103" i="43"/>
  <c r="F102" i="43"/>
  <c r="F105" i="43"/>
  <c r="F109" i="43"/>
  <c r="E104" i="43"/>
  <c r="E107" i="43"/>
  <c r="E105" i="43"/>
  <c r="E109" i="43"/>
  <c r="E102" i="43"/>
  <c r="E106" i="43"/>
  <c r="E103" i="43"/>
  <c r="H107" i="43"/>
  <c r="H105" i="43"/>
  <c r="H102" i="43"/>
  <c r="H109" i="43"/>
  <c r="D109" i="43"/>
  <c r="D103" i="43"/>
  <c r="D104" i="43"/>
  <c r="D107" i="43"/>
  <c r="D105" i="43"/>
  <c r="D102" i="43"/>
  <c r="D106" i="43"/>
  <c r="M109" i="43"/>
  <c r="M107" i="43"/>
  <c r="M102" i="43"/>
  <c r="M106" i="43"/>
  <c r="L109" i="43"/>
  <c r="L102" i="43"/>
  <c r="L105" i="43"/>
  <c r="L104" i="43"/>
  <c r="L107" i="43"/>
  <c r="L106" i="43"/>
  <c r="L103" i="43"/>
  <c r="J103" i="43"/>
  <c r="J104" i="43"/>
  <c r="J107" i="43"/>
  <c r="J109" i="43"/>
  <c r="G103" i="43"/>
  <c r="G109" i="43"/>
  <c r="G105" i="43"/>
  <c r="G102" i="43"/>
  <c r="G107" i="43"/>
  <c r="G104" i="43"/>
  <c r="G106" i="43"/>
  <c r="K103" i="43"/>
  <c r="K104" i="43"/>
  <c r="K102" i="43"/>
  <c r="K109" i="43"/>
  <c r="C105" i="43"/>
  <c r="C109" i="43"/>
  <c r="C107" i="43"/>
  <c r="N102" i="43"/>
  <c r="N103" i="43"/>
  <c r="N106" i="43"/>
  <c r="N107" i="43"/>
  <c r="N105" i="43"/>
  <c r="N104" i="43"/>
  <c r="N109"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7" i="11"/>
  <c r="D45" i="11" s="1"/>
  <c r="C29" i="11"/>
  <c r="D27" i="11" s="1"/>
  <c r="D70" i="39"/>
  <c r="E68" i="39"/>
  <c r="C20" i="71"/>
  <c r="D21" i="71"/>
  <c r="U21" i="71" s="1"/>
  <c r="T21" i="71"/>
  <c r="AC38" i="40"/>
  <c r="W38" i="40"/>
  <c r="AC12" i="21"/>
  <c r="W12" i="21"/>
  <c r="AB34" i="35"/>
  <c r="U34" i="35"/>
  <c r="U9" i="34"/>
  <c r="AB9" i="34"/>
  <c r="D10" i="52"/>
  <c r="D125" i="9"/>
  <c r="D11" i="52" s="1"/>
  <c r="H14" i="74"/>
  <c r="B7" i="74"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s="1"/>
  <c r="B18" i="71" s="1"/>
  <c r="B17" i="71" s="1"/>
  <c r="S21" i="71"/>
  <c r="Q64" i="71"/>
  <c r="F63" i="71"/>
  <c r="C53" i="71"/>
  <c r="D52" i="71"/>
  <c r="AB39" i="40"/>
  <c r="U39" i="40"/>
  <c r="U38" i="40"/>
  <c r="AB38" i="40"/>
  <c r="AB12" i="21"/>
  <c r="U12" i="21"/>
  <c r="AC36" i="35"/>
  <c r="W36" i="35"/>
  <c r="AA34" i="35"/>
  <c r="S34" i="35"/>
  <c r="E8" i="71"/>
  <c r="E7" i="71" s="1"/>
  <c r="E6" i="71" s="1"/>
  <c r="E5" i="71" s="1"/>
  <c r="V9" i="71"/>
  <c r="E557" i="3"/>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19" i="6"/>
  <c r="S6" i="1" s="1"/>
  <c r="E6" i="70" s="1"/>
  <c r="K26" i="6"/>
  <c r="M26" i="6" s="1"/>
  <c r="I26" i="6" s="1"/>
  <c r="S26" i="6"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J18" i="15"/>
  <c r="C32" i="67"/>
  <c r="Q73" i="67"/>
  <c r="M28" i="43"/>
  <c r="N28" i="43"/>
  <c r="O28" i="43"/>
  <c r="G20" i="43" s="1"/>
  <c r="P28" i="43"/>
  <c r="M11" i="67"/>
  <c r="J10" i="67" s="1"/>
  <c r="F11" i="15"/>
  <c r="M11" i="15"/>
  <c r="J10" i="15" s="1"/>
  <c r="J5" i="15" s="1"/>
  <c r="F11" i="67"/>
  <c r="Q52" i="15"/>
  <c r="C32" i="15"/>
  <c r="Q52" i="67"/>
  <c r="Q60" i="15"/>
  <c r="Q73" i="15"/>
  <c r="Q74" i="67"/>
  <c r="Q61" i="15"/>
  <c r="C16" i="15"/>
  <c r="C17" i="15"/>
  <c r="C14" i="67"/>
  <c r="F9" i="78"/>
  <c r="M29" i="78"/>
  <c r="M8" i="78"/>
  <c r="M22" i="78"/>
  <c r="L47" i="78"/>
  <c r="F7" i="78"/>
  <c r="F16" i="78"/>
  <c r="M28" i="78"/>
  <c r="F8" i="78"/>
  <c r="M26" i="78"/>
  <c r="M23" i="78"/>
  <c r="F40" i="78"/>
  <c r="M9" i="78"/>
  <c r="L48" i="78"/>
  <c r="M27" i="78"/>
  <c r="D9" i="85"/>
  <c r="F27" i="85"/>
  <c r="F41" i="15"/>
  <c r="C16" i="67"/>
  <c r="C17" i="67"/>
  <c r="F26" i="78"/>
  <c r="F13" i="78"/>
  <c r="F38" i="78"/>
  <c r="F36" i="78"/>
  <c r="F6" i="78"/>
  <c r="C76" i="78"/>
  <c r="J15" i="78"/>
  <c r="F43" i="78"/>
  <c r="M6" i="78"/>
  <c r="M24" i="78"/>
  <c r="F37" i="78"/>
  <c r="F42" i="78"/>
  <c r="F41" i="78"/>
  <c r="C36" i="85"/>
  <c r="D10" i="85"/>
  <c r="D9" i="68"/>
  <c r="C10" i="85" l="1"/>
  <c r="F69" i="78"/>
  <c r="F65" i="78"/>
  <c r="F71" i="78"/>
  <c r="Q71" i="78"/>
  <c r="C6" i="78"/>
  <c r="C32" i="78" s="1"/>
  <c r="F64" i="78"/>
  <c r="F66" i="78"/>
  <c r="C27" i="78"/>
  <c r="C47" i="85"/>
  <c r="D45" i="85" s="1"/>
  <c r="F45" i="85"/>
  <c r="C29" i="85"/>
  <c r="D27" i="85" s="1"/>
  <c r="D19" i="85"/>
  <c r="C9" i="85"/>
  <c r="I54" i="78"/>
  <c r="L56" i="78"/>
  <c r="J57" i="78"/>
  <c r="J55" i="78" s="1"/>
  <c r="J58" i="78" s="1"/>
  <c r="Q50" i="78" s="1"/>
  <c r="J53" i="78"/>
  <c r="F68" i="78"/>
  <c r="F51" i="78"/>
  <c r="M7" i="78"/>
  <c r="J6" i="78" s="1"/>
  <c r="J18" i="78" s="1"/>
  <c r="F50" i="78"/>
  <c r="L59" i="78"/>
  <c r="N59" i="78"/>
  <c r="M59" i="78"/>
  <c r="L58" i="78"/>
  <c r="C15" i="67"/>
  <c r="C18" i="67"/>
  <c r="C19" i="67" s="1"/>
  <c r="C20" i="67" s="1"/>
  <c r="C26" i="67" s="1"/>
  <c r="E3" i="6"/>
  <c r="AY6" i="3"/>
  <c r="J77" i="43"/>
  <c r="D77" i="43"/>
  <c r="F48" i="85"/>
  <c r="C48" i="85"/>
  <c r="C30" i="85"/>
  <c r="J71" i="43"/>
  <c r="D71" i="43"/>
  <c r="F1" i="15"/>
  <c r="J5" i="67"/>
  <c r="E41" i="43"/>
  <c r="C41" i="43" s="1"/>
  <c r="C20" i="43"/>
  <c r="C103" i="43"/>
  <c r="C104" i="43"/>
  <c r="C102" i="43"/>
  <c r="K105" i="43"/>
  <c r="K106" i="43"/>
  <c r="J102" i="43"/>
  <c r="J105" i="43"/>
  <c r="M103" i="43"/>
  <c r="M105" i="43"/>
  <c r="H104" i="43"/>
  <c r="H103" i="43"/>
  <c r="J10" i="78"/>
  <c r="J5" i="78" s="1"/>
  <c r="J24" i="78" s="1"/>
  <c r="C23" i="71"/>
  <c r="D23" i="71" s="1"/>
  <c r="D24" i="71"/>
  <c r="J76" i="43"/>
  <c r="D76" i="43"/>
  <c r="J70" i="43"/>
  <c r="D70" i="43"/>
  <c r="N62" i="71"/>
  <c r="N63" i="71"/>
  <c r="J72" i="43"/>
  <c r="D72" i="43"/>
  <c r="J74" i="43"/>
  <c r="D74" i="43"/>
  <c r="F24" i="78"/>
  <c r="F22" i="85"/>
  <c r="C9" i="68"/>
  <c r="F10" i="40"/>
  <c r="S10" i="40" s="1"/>
  <c r="H10" i="40"/>
  <c r="U10" i="40" s="1"/>
  <c r="J10" i="40"/>
  <c r="AC10" i="40" s="1"/>
  <c r="J10" i="39"/>
  <c r="AC10" i="39" s="1"/>
  <c r="H10" i="39"/>
  <c r="U10" i="39" s="1"/>
  <c r="D5" i="43"/>
  <c r="S5" i="43"/>
  <c r="C23" i="43"/>
  <c r="C21" i="43" s="1"/>
  <c r="S7" i="43"/>
  <c r="S3" i="43"/>
  <c r="S2" i="43"/>
  <c r="S4" i="43"/>
  <c r="S6" i="43"/>
  <c r="F69" i="15"/>
  <c r="S29" i="35"/>
  <c r="AA29" i="35"/>
  <c r="AB29" i="35"/>
  <c r="U29" i="35"/>
  <c r="C24" i="78"/>
  <c r="C53" i="78"/>
  <c r="C30" i="11"/>
  <c r="C48" i="11"/>
  <c r="F48" i="68"/>
  <c r="C48" i="68"/>
  <c r="C30" i="68"/>
  <c r="C30" i="69"/>
  <c r="C48" i="69"/>
  <c r="F48" i="69"/>
  <c r="AQ6" i="1"/>
  <c r="T6" i="1"/>
  <c r="AR6" i="1"/>
  <c r="M20" i="6"/>
  <c r="I20" i="6" s="1"/>
  <c r="S7" i="1"/>
  <c r="AC6" i="3"/>
  <c r="H6" i="3"/>
  <c r="E6" i="3" s="1"/>
  <c r="C115" i="43"/>
  <c r="D113" i="43" s="1"/>
  <c r="S10" i="39"/>
  <c r="W10" i="40"/>
  <c r="F68" i="39"/>
  <c r="E70" i="39"/>
  <c r="U7" i="37"/>
  <c r="M14" i="1"/>
  <c r="K16" i="1"/>
  <c r="C34" i="69"/>
  <c r="Q63" i="71"/>
  <c r="Q62" i="71"/>
  <c r="D3" i="21"/>
  <c r="D19" i="11"/>
  <c r="C19" i="11" s="1"/>
  <c r="C17" i="4"/>
  <c r="B4" i="52" s="1"/>
  <c r="B43" i="72" s="1"/>
  <c r="D3" i="37"/>
  <c r="D3" i="34"/>
  <c r="D3" i="33"/>
  <c r="E6" i="6"/>
  <c r="D37" i="11"/>
  <c r="C37" i="11" s="1"/>
  <c r="D14" i="12"/>
  <c r="M18" i="9"/>
  <c r="B118" i="9" s="1"/>
  <c r="B14" i="74" s="1"/>
  <c r="B1" i="74" s="1"/>
  <c r="C8" i="74" s="1"/>
  <c r="M19" i="6"/>
  <c r="K27" i="6"/>
  <c r="D53" i="71"/>
  <c r="T53" i="71"/>
  <c r="B16" i="71"/>
  <c r="B15" i="71" s="1"/>
  <c r="B14" i="71" s="1"/>
  <c r="B13" i="71" s="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78"/>
  <c r="C34" i="85"/>
  <c r="C14" i="15"/>
  <c r="C16" i="78"/>
  <c r="C10" i="78" l="1"/>
  <c r="C5" i="78" s="1"/>
  <c r="J26" i="78"/>
  <c r="J29" i="78" s="1"/>
  <c r="C15" i="15"/>
  <c r="C18" i="15"/>
  <c r="C19" i="15" s="1"/>
  <c r="C38" i="85"/>
  <c r="C35" i="85"/>
  <c r="S16" i="1"/>
  <c r="E7" i="70"/>
  <c r="E2" i="70" s="1"/>
  <c r="E70" i="43"/>
  <c r="B68" i="43" s="1"/>
  <c r="C24" i="43" s="1"/>
  <c r="Q73" i="78"/>
  <c r="Q60" i="78"/>
  <c r="C19" i="85"/>
  <c r="D37" i="85"/>
  <c r="C37" i="85" s="1"/>
  <c r="S20" i="6"/>
  <c r="L18" i="82"/>
  <c r="T2" i="43"/>
  <c r="V2" i="43" s="1"/>
  <c r="T5" i="43"/>
  <c r="V5" i="43" s="1"/>
  <c r="T14" i="43"/>
  <c r="V14" i="43" s="1"/>
  <c r="C37" i="43"/>
  <c r="E37" i="43" s="1"/>
  <c r="Q61" i="78"/>
  <c r="Q74" i="78"/>
  <c r="C49" i="78"/>
  <c r="C48" i="78" s="1"/>
  <c r="F1" i="78"/>
  <c r="Q52" i="78"/>
  <c r="AA10" i="40"/>
  <c r="AB10" i="39"/>
  <c r="F41" i="85"/>
  <c r="C26" i="85"/>
  <c r="D22" i="85" s="1"/>
  <c r="C44" i="85"/>
  <c r="D41" i="85" s="1"/>
  <c r="C24" i="85"/>
  <c r="AB10" i="40"/>
  <c r="W10" i="39"/>
  <c r="C34" i="43"/>
  <c r="E34" i="43" s="1"/>
  <c r="G37" i="43"/>
  <c r="I37" i="43" s="1"/>
  <c r="C38" i="43"/>
  <c r="C35" i="43"/>
  <c r="C38" i="78"/>
  <c r="AR7" i="1"/>
  <c r="T7" i="1"/>
  <c r="AQ7" i="1"/>
  <c r="F70" i="39"/>
  <c r="G68" i="39"/>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s="1"/>
  <c r="D17" i="12"/>
  <c r="C17" i="12" s="1"/>
  <c r="C14" i="12"/>
  <c r="D10" i="69"/>
  <c r="D10" i="11"/>
  <c r="C10" i="11" s="1"/>
  <c r="D20" i="12"/>
  <c r="C20" i="12" s="1"/>
  <c r="C18" i="12" s="1"/>
  <c r="C35" i="69"/>
  <c r="C38" i="69"/>
  <c r="O14" i="1"/>
  <c r="O16" i="1" s="1"/>
  <c r="M16" i="1"/>
  <c r="D19" i="71"/>
  <c r="C18" i="71"/>
  <c r="B12" i="71"/>
  <c r="B11" i="71" s="1"/>
  <c r="B10" i="71" s="1"/>
  <c r="B9" i="71" s="1"/>
  <c r="S13" i="71"/>
  <c r="C20" i="11"/>
  <c r="C28" i="11" s="1"/>
  <c r="C27" i="11"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C14" i="78"/>
  <c r="C20" i="15" l="1"/>
  <c r="C26" i="15" s="1"/>
  <c r="C33" i="85"/>
  <c r="C42" i="85" s="1"/>
  <c r="C15" i="78"/>
  <c r="C18" i="78"/>
  <c r="C19" i="78" s="1"/>
  <c r="C60" i="78"/>
  <c r="C66" i="78"/>
  <c r="T16" i="1"/>
  <c r="T13" i="43"/>
  <c r="V13" i="43" s="1"/>
  <c r="T9" i="43"/>
  <c r="V9" i="43" s="1"/>
  <c r="T11" i="43"/>
  <c r="V11" i="43" s="1"/>
  <c r="T15" i="43"/>
  <c r="V15" i="43" s="1"/>
  <c r="T12" i="43"/>
  <c r="V12" i="43" s="1"/>
  <c r="T3" i="43"/>
  <c r="V3" i="43" s="1"/>
  <c r="M19" i="82"/>
  <c r="C118" i="82" s="1"/>
  <c r="L19" i="82"/>
  <c r="C39" i="43"/>
  <c r="C36" i="43"/>
  <c r="E36" i="43" s="1"/>
  <c r="C33" i="43"/>
  <c r="T16" i="43"/>
  <c r="V16" i="43" s="1"/>
  <c r="T8" i="43"/>
  <c r="V8" i="43" s="1"/>
  <c r="T7" i="43"/>
  <c r="V7" i="43" s="1"/>
  <c r="T6" i="43"/>
  <c r="V6" i="43" s="1"/>
  <c r="C29" i="43"/>
  <c r="T4" i="43"/>
  <c r="V4" i="43" s="1"/>
  <c r="T10" i="43"/>
  <c r="V10" i="43" s="1"/>
  <c r="B3" i="36"/>
  <c r="G34" i="43"/>
  <c r="I34" i="43" s="1"/>
  <c r="E39" i="43"/>
  <c r="C6" i="85" s="1"/>
  <c r="G39" i="43"/>
  <c r="I39" i="43" s="1"/>
  <c r="G36" i="43"/>
  <c r="I36" i="43" s="1"/>
  <c r="E35" i="43"/>
  <c r="G35" i="43"/>
  <c r="I35" i="43" s="1"/>
  <c r="E38" i="43"/>
  <c r="G38" i="43"/>
  <c r="I38" i="43" s="1"/>
  <c r="J59" i="78"/>
  <c r="J60" i="78" s="1"/>
  <c r="C25" i="11"/>
  <c r="C22" i="11" s="1"/>
  <c r="C31" i="11" s="1"/>
  <c r="D16" i="6"/>
  <c r="D30" i="6"/>
  <c r="R20" i="6"/>
  <c r="R7" i="1" s="1"/>
  <c r="H68" i="39"/>
  <c r="G70" i="39"/>
  <c r="B8" i="71"/>
  <c r="B7" i="71" s="1"/>
  <c r="B6" i="71" s="1"/>
  <c r="B5" i="71" s="1"/>
  <c r="S9" i="71"/>
  <c r="N16" i="1"/>
  <c r="F50" i="85" s="1"/>
  <c r="L16" i="1"/>
  <c r="C34" i="11"/>
  <c r="P14" i="1"/>
  <c r="P16" i="1" s="1"/>
  <c r="C11" i="12" s="1"/>
  <c r="C10" i="68"/>
  <c r="D19" i="68"/>
  <c r="R24" i="6"/>
  <c r="R22" i="6"/>
  <c r="R25" i="6"/>
  <c r="R26" i="6"/>
  <c r="D8" i="74"/>
  <c r="D7" i="74"/>
  <c r="C17" i="71"/>
  <c r="D18" i="71"/>
  <c r="C10" i="69"/>
  <c r="C8" i="69" s="1"/>
  <c r="C5" i="69" s="1"/>
  <c r="D19" i="69"/>
  <c r="S19" i="6"/>
  <c r="S27" i="6" s="1"/>
  <c r="I27" i="6"/>
  <c r="R21" i="6"/>
  <c r="H19" i="6"/>
  <c r="R23" i="6"/>
  <c r="A7" i="51"/>
  <c r="B7" i="72" s="1"/>
  <c r="C4" i="52"/>
  <c r="B45" i="72" s="1"/>
  <c r="A10" i="51"/>
  <c r="B9" i="72" s="1"/>
  <c r="D27" i="6"/>
  <c r="R19" i="6"/>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36" i="67"/>
  <c r="C33" i="67"/>
  <c r="C31" i="67" s="1"/>
  <c r="J14" i="67"/>
  <c r="C13" i="67"/>
  <c r="J19" i="67"/>
  <c r="J17" i="67" s="1"/>
  <c r="C57" i="67"/>
  <c r="C61" i="67" s="1"/>
  <c r="Q49" i="67"/>
  <c r="J59" i="67"/>
  <c r="J60" i="67" s="1"/>
  <c r="M21" i="78"/>
  <c r="C34" i="68"/>
  <c r="F35" i="78"/>
  <c r="C39" i="85" l="1"/>
  <c r="C23" i="15"/>
  <c r="C29" i="15" s="1"/>
  <c r="C30" i="43"/>
  <c r="E30" i="43" s="1"/>
  <c r="E29" i="43"/>
  <c r="C46" i="85"/>
  <c r="C45" i="85" s="1"/>
  <c r="C43" i="85"/>
  <c r="C41" i="85" s="1"/>
  <c r="C49" i="85" s="1"/>
  <c r="C51" i="85" s="1"/>
  <c r="G33" i="43"/>
  <c r="I33" i="43" s="1"/>
  <c r="E33" i="43"/>
  <c r="C20" i="78"/>
  <c r="C26" i="78" s="1"/>
  <c r="C23" i="78"/>
  <c r="C29" i="78" s="1"/>
  <c r="C6" i="68"/>
  <c r="C7" i="68"/>
  <c r="C5" i="68" s="1"/>
  <c r="C23" i="68" s="1"/>
  <c r="C27" i="43"/>
  <c r="C26" i="43"/>
  <c r="B2" i="43" s="1"/>
  <c r="F63" i="78"/>
  <c r="C62" i="78" s="1"/>
  <c r="C34" i="78"/>
  <c r="J20" i="78"/>
  <c r="H27" i="6"/>
  <c r="L19" i="9"/>
  <c r="D31" i="6"/>
  <c r="Q48" i="78"/>
  <c r="R27" i="6"/>
  <c r="R6" i="1"/>
  <c r="I68" i="39"/>
  <c r="H70" i="39"/>
  <c r="I6" i="6"/>
  <c r="I5" i="6"/>
  <c r="C19" i="69"/>
  <c r="C24" i="69" s="1"/>
  <c r="D37" i="69"/>
  <c r="C37" i="69" s="1"/>
  <c r="C33" i="69" s="1"/>
  <c r="C19" i="68"/>
  <c r="D37" i="68"/>
  <c r="C37" i="68" s="1"/>
  <c r="C15" i="12"/>
  <c r="C12" i="12"/>
  <c r="C23" i="69"/>
  <c r="C16" i="71"/>
  <c r="T17" i="71"/>
  <c r="D17" i="71"/>
  <c r="U17" i="71" s="1"/>
  <c r="C35" i="68"/>
  <c r="C38" i="68"/>
  <c r="C38" i="11"/>
  <c r="C35" i="11"/>
  <c r="F50" i="11"/>
  <c r="F50" i="68"/>
  <c r="F50" i="69"/>
  <c r="I63" i="40"/>
  <c r="H65" i="40"/>
  <c r="I58" i="21"/>
  <c r="J58" i="21" s="1"/>
  <c r="K58" i="21" s="1"/>
  <c r="L58" i="21" s="1"/>
  <c r="M58" i="21" s="1"/>
  <c r="N58" i="21" s="1"/>
  <c r="O58" i="21" s="1"/>
  <c r="H7" i="21" s="1"/>
  <c r="F7" i="21"/>
  <c r="J48" i="35"/>
  <c r="Q48" i="15"/>
  <c r="J13" i="67"/>
  <c r="J23" i="67" s="1"/>
  <c r="J22" i="67"/>
  <c r="C59" i="67"/>
  <c r="C64" i="67"/>
  <c r="Q48" i="67"/>
  <c r="C56" i="67"/>
  <c r="C65" i="67" s="1"/>
  <c r="C75" i="67"/>
  <c r="Q70" i="67"/>
  <c r="C37" i="67"/>
  <c r="C30" i="67" s="1"/>
  <c r="C39" i="67" s="1"/>
  <c r="E6" i="76"/>
  <c r="M21" i="15"/>
  <c r="F35" i="15"/>
  <c r="B6" i="76"/>
  <c r="L51" i="67"/>
  <c r="C57" i="15" l="1"/>
  <c r="C33" i="15"/>
  <c r="Q49" i="15"/>
  <c r="J14" i="15"/>
  <c r="C36" i="15"/>
  <c r="C13" i="15"/>
  <c r="J19" i="15"/>
  <c r="C36" i="78"/>
  <c r="J14" i="78"/>
  <c r="C33" i="78"/>
  <c r="C57" i="78"/>
  <c r="J19" i="78"/>
  <c r="C13" i="78"/>
  <c r="Q49" i="78"/>
  <c r="J7" i="21"/>
  <c r="C31" i="78"/>
  <c r="J17" i="78"/>
  <c r="C7" i="85"/>
  <c r="C5" i="85" s="1"/>
  <c r="E2" i="76"/>
  <c r="B2" i="76"/>
  <c r="B3" i="43"/>
  <c r="F63" i="15"/>
  <c r="C62" i="15" s="1"/>
  <c r="C34" i="15"/>
  <c r="C31" i="15" s="1"/>
  <c r="J20" i="15"/>
  <c r="R16" i="1"/>
  <c r="C16" i="12"/>
  <c r="C21" i="12" s="1"/>
  <c r="C22" i="12" s="1"/>
  <c r="C30" i="12" s="1"/>
  <c r="C28" i="12" s="1"/>
  <c r="I70" i="39"/>
  <c r="J68" i="39"/>
  <c r="C33" i="11"/>
  <c r="C15" i="71"/>
  <c r="D16" i="71"/>
  <c r="C20" i="69"/>
  <c r="C33" i="68"/>
  <c r="C39" i="69"/>
  <c r="C43" i="69" s="1"/>
  <c r="C42" i="69"/>
  <c r="C20" i="68"/>
  <c r="C25" i="68" s="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7" i="15" l="1"/>
  <c r="C59" i="15"/>
  <c r="C56" i="15"/>
  <c r="C65" i="15" s="1"/>
  <c r="C37" i="15"/>
  <c r="C30" i="15" s="1"/>
  <c r="C39" i="15" s="1"/>
  <c r="Q70" i="15"/>
  <c r="C75" i="15"/>
  <c r="C80" i="15" s="1"/>
  <c r="C79" i="15" s="1"/>
  <c r="J22" i="15"/>
  <c r="J13" i="15"/>
  <c r="J23" i="15" s="1"/>
  <c r="C61" i="15"/>
  <c r="C64" i="15"/>
  <c r="Q70" i="78"/>
  <c r="C56" i="78"/>
  <c r="C65" i="78" s="1"/>
  <c r="C75" i="78"/>
  <c r="C37" i="78"/>
  <c r="C30" i="78" s="1"/>
  <c r="C39" i="78" s="1"/>
  <c r="Q69" i="78" s="1"/>
  <c r="Q68" i="78" s="1"/>
  <c r="C61" i="78"/>
  <c r="C59" i="78" s="1"/>
  <c r="C64" i="78"/>
  <c r="J22" i="78"/>
  <c r="J13" i="78"/>
  <c r="J23" i="78" s="1"/>
  <c r="C23" i="85"/>
  <c r="C20" i="85"/>
  <c r="C25" i="85" s="1"/>
  <c r="B3" i="76"/>
  <c r="C80" i="78"/>
  <c r="C79" i="78" s="1"/>
  <c r="L57" i="78"/>
  <c r="L60" i="78" s="1"/>
  <c r="L46" i="78" s="1"/>
  <c r="C22" i="68"/>
  <c r="C41" i="69"/>
  <c r="C46" i="69"/>
  <c r="C45" i="69" s="1"/>
  <c r="C27" i="12"/>
  <c r="C25" i="12" s="1"/>
  <c r="C32" i="12" s="1"/>
  <c r="B2" i="12" s="1"/>
  <c r="B3" i="12" s="1"/>
  <c r="J70" i="39"/>
  <c r="K68" i="39"/>
  <c r="C28" i="68"/>
  <c r="C27" i="68" s="1"/>
  <c r="C28" i="69"/>
  <c r="C27" i="69" s="1"/>
  <c r="C25" i="69"/>
  <c r="C22" i="69" s="1"/>
  <c r="C14" i="71"/>
  <c r="D15" i="71"/>
  <c r="C39" i="68"/>
  <c r="C42" i="68"/>
  <c r="C39" i="11"/>
  <c r="C42" i="1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L51" i="15"/>
  <c r="L51" i="78"/>
  <c r="C40" i="15" l="1"/>
  <c r="B2" i="15" s="1"/>
  <c r="Q69" i="15"/>
  <c r="Q68" i="15" s="1"/>
  <c r="C40" i="78"/>
  <c r="Q47" i="78" s="1"/>
  <c r="Q53" i="78" s="1"/>
  <c r="J16" i="78"/>
  <c r="J25" i="78" s="1"/>
  <c r="C58" i="78"/>
  <c r="C67" i="78" s="1"/>
  <c r="C68" i="78" s="1"/>
  <c r="C71" i="78" s="1"/>
  <c r="J16" i="15"/>
  <c r="J25" i="15" s="1"/>
  <c r="C58" i="15"/>
  <c r="C67" i="15" s="1"/>
  <c r="C68" i="15" s="1"/>
  <c r="Q67" i="78"/>
  <c r="C28" i="85"/>
  <c r="C27" i="85" s="1"/>
  <c r="C22" i="85"/>
  <c r="Q67" i="15"/>
  <c r="C46" i="78"/>
  <c r="B2" i="78"/>
  <c r="C83" i="78"/>
  <c r="C82" i="78" s="1"/>
  <c r="C43" i="78"/>
  <c r="C44" i="78" s="1"/>
  <c r="Q65" i="78"/>
  <c r="Q56" i="78"/>
  <c r="Q66" i="78"/>
  <c r="Q57" i="78"/>
  <c r="C31" i="68"/>
  <c r="C49" i="69"/>
  <c r="C51" i="69" s="1"/>
  <c r="C31" i="69"/>
  <c r="K70" i="39"/>
  <c r="L68" i="39"/>
  <c r="C46" i="11"/>
  <c r="C45" i="11" s="1"/>
  <c r="C43" i="11"/>
  <c r="C41" i="11" s="1"/>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D19" i="82"/>
  <c r="AO7" i="1"/>
  <c r="B6" i="70" l="1"/>
  <c r="B3" i="15"/>
  <c r="C71" i="15"/>
  <c r="C46" i="15"/>
  <c r="Q56" i="15"/>
  <c r="Q62" i="15" s="1"/>
  <c r="C43" i="15"/>
  <c r="Q65" i="15"/>
  <c r="Q75" i="15" s="1"/>
  <c r="Q47" i="15"/>
  <c r="Q53" i="15" s="1"/>
  <c r="C83" i="15"/>
  <c r="C82" i="15" s="1"/>
  <c r="Q62" i="78"/>
  <c r="C31" i="85"/>
  <c r="C52" i="85" s="1"/>
  <c r="B2" i="85" s="1"/>
  <c r="D21" i="82"/>
  <c r="D102" i="82"/>
  <c r="B7" i="70"/>
  <c r="B3" i="78"/>
  <c r="C52" i="69"/>
  <c r="B2" i="69" s="1"/>
  <c r="B3" i="69" s="1"/>
  <c r="Q75" i="78"/>
  <c r="C49" i="11"/>
  <c r="C51" i="11" s="1"/>
  <c r="C52" i="11" s="1"/>
  <c r="B2" i="11" s="1"/>
  <c r="B3" i="11" s="1"/>
  <c r="L70" i="39"/>
  <c r="M68" i="39"/>
  <c r="C49" i="68"/>
  <c r="C51" i="68" s="1"/>
  <c r="C12" i="71"/>
  <c r="T13" i="71"/>
  <c r="D13" i="71"/>
  <c r="U13" i="71" s="1"/>
  <c r="R39" i="35"/>
  <c r="E38" i="35"/>
  <c r="M63" i="40"/>
  <c r="L65" i="40"/>
  <c r="D20" i="82"/>
  <c r="B3" i="85"/>
  <c r="D19" i="9"/>
  <c r="B2" i="70" l="1"/>
  <c r="B3" i="70" s="1"/>
  <c r="C57" i="85"/>
  <c r="C56" i="85" s="1"/>
  <c r="D21" i="9"/>
  <c r="D102" i="9"/>
  <c r="C57" i="69"/>
  <c r="C56" i="69" s="1"/>
  <c r="D103" i="82"/>
  <c r="N68" i="39"/>
  <c r="M70" i="39"/>
  <c r="D12" i="71"/>
  <c r="C11" i="71"/>
  <c r="C56" i="11"/>
  <c r="C57" i="11" s="1"/>
  <c r="C52" i="68"/>
  <c r="B2" i="68" s="1"/>
  <c r="C39" i="35"/>
  <c r="C38" i="35"/>
  <c r="N63" i="40"/>
  <c r="M65" i="40"/>
  <c r="E43" i="35"/>
  <c r="F43" i="35" s="1"/>
  <c r="E42" i="35"/>
  <c r="F42" i="35" s="1"/>
  <c r="I43" i="35"/>
  <c r="J43" i="35" s="1"/>
  <c r="D20" i="9"/>
  <c r="C19" i="82"/>
  <c r="B3" i="68"/>
  <c r="D103" i="9" l="1"/>
  <c r="C21" i="82"/>
  <c r="C102" i="82"/>
  <c r="D22" i="82"/>
  <c r="G19" i="82"/>
  <c r="G21" i="82" s="1"/>
  <c r="B2" i="35"/>
  <c r="C40" i="35"/>
  <c r="N70" i="39"/>
  <c r="F7" i="39" s="1"/>
  <c r="O68" i="39"/>
  <c r="O70" i="39" s="1"/>
  <c r="C57" i="68"/>
  <c r="C56" i="68" s="1"/>
  <c r="D11" i="71"/>
  <c r="C10" i="71"/>
  <c r="O63" i="40"/>
  <c r="O65" i="40" s="1"/>
  <c r="N65" i="40"/>
  <c r="C20" i="82"/>
  <c r="C19" i="9"/>
  <c r="G20" i="82" l="1"/>
  <c r="F3" i="84" s="1"/>
  <c r="H3" i="84" s="1"/>
  <c r="C103" i="82"/>
  <c r="C102" i="9"/>
  <c r="C21" i="9"/>
  <c r="D22" i="9"/>
  <c r="G19" i="9"/>
  <c r="G21" i="9" s="1"/>
  <c r="B3" i="35"/>
  <c r="H7" i="39"/>
  <c r="S7" i="39"/>
  <c r="AA7" i="39"/>
  <c r="R47" i="39" s="1"/>
  <c r="J7" i="39"/>
  <c r="D10" i="71"/>
  <c r="C9" i="71"/>
  <c r="J7" i="40"/>
  <c r="F7" i="40"/>
  <c r="H7" i="40"/>
  <c r="C20" i="9"/>
  <c r="F22" i="9" l="1"/>
  <c r="G3" i="84"/>
  <c r="I20" i="82"/>
  <c r="C32" i="82"/>
  <c r="C35" i="82" s="1"/>
  <c r="C34" i="82" s="1"/>
  <c r="C103" i="9"/>
  <c r="G20"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I20" i="9" l="1"/>
  <c r="F2" i="84"/>
  <c r="C32" i="9"/>
  <c r="C35" i="9" s="1"/>
  <c r="C34" i="9" s="1"/>
  <c r="E52" i="39"/>
  <c r="F52" i="39" s="1"/>
  <c r="E51" i="39"/>
  <c r="F51" i="39" s="1"/>
  <c r="G51" i="39"/>
  <c r="H51" i="39" s="1"/>
  <c r="G52" i="39"/>
  <c r="H52" i="39" s="1"/>
  <c r="C48" i="39"/>
  <c r="C47" i="39"/>
  <c r="I51" i="39"/>
  <c r="J51" i="39" s="1"/>
  <c r="I52" i="39"/>
  <c r="J52" i="39" s="1"/>
  <c r="D8" i="71"/>
  <c r="C7" i="71"/>
  <c r="I46" i="40"/>
  <c r="J46" i="40" s="1"/>
  <c r="R43" i="40"/>
  <c r="E42" i="40"/>
  <c r="G47" i="40"/>
  <c r="H47" i="40" s="1"/>
  <c r="G46" i="40"/>
  <c r="H46" i="40" s="1"/>
  <c r="G2" i="84" l="1"/>
  <c r="H2" i="84"/>
  <c r="G5" i="8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H4" i="84" l="1"/>
  <c r="D14" i="74"/>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l="1"/>
  <c r="E14" i="74"/>
  <c r="B5" i="74"/>
  <c r="C5" i="74" s="1"/>
  <c r="D5" i="74" l="1"/>
  <c r="D9" i="52" l="1"/>
  <c r="D123" i="9"/>
  <c r="E81" i="82"/>
  <c r="E80" i="82"/>
  <c r="C80" i="82"/>
  <c r="D119" i="9"/>
  <c r="D5" i="52"/>
  <c r="B49" i="72"/>
  <c r="B47" i="72"/>
  <c r="D118" i="9"/>
  <c r="D4" i="52"/>
  <c r="C73" i="82"/>
  <c r="C78" i="82"/>
  <c r="G118" i="82"/>
  <c r="F118" i="82"/>
  <c r="F119" i="82"/>
  <c r="B22" i="72"/>
  <c r="D6" i="53"/>
  <c r="E81" i="9"/>
  <c r="E80" i="9"/>
  <c r="C80" i="9"/>
  <c r="B51" i="72"/>
  <c r="F4" i="52"/>
  <c r="H5" i="52"/>
  <c r="H119" i="9"/>
  <c r="B48" i="72"/>
  <c r="E118" i="9"/>
  <c r="E4" i="52"/>
  <c r="E118" i="82"/>
  <c r="D118" i="82"/>
  <c r="D119" i="82"/>
  <c r="B31" i="72"/>
  <c r="D15" i="53"/>
  <c r="H108" i="9"/>
  <c r="C73" i="9"/>
  <c r="C78" i="9"/>
  <c r="D123" i="82"/>
  <c r="D122" i="82"/>
  <c r="M55" i="9"/>
  <c r="D59" i="9"/>
  <c r="D8" i="52"/>
  <c r="B53" i="72"/>
  <c r="F5" i="52"/>
  <c r="F119" i="9"/>
  <c r="N61" i="9"/>
  <c r="N59" i="9"/>
  <c r="N60" i="9"/>
  <c r="P57" i="82"/>
  <c r="N58" i="82"/>
  <c r="B32" i="72"/>
  <c r="D14" i="53"/>
  <c r="C72" i="82"/>
  <c r="C79" i="82"/>
  <c r="C81" i="82"/>
  <c r="C97" i="82"/>
  <c r="D58" i="82"/>
  <c r="D56" i="82"/>
  <c r="M54" i="82"/>
  <c r="C85" i="82"/>
  <c r="C95" i="82"/>
  <c r="C96" i="82"/>
  <c r="E96" i="82"/>
  <c r="E97" i="82"/>
  <c r="C86" i="9"/>
  <c r="C93" i="9"/>
  <c r="C86" i="82"/>
  <c r="C93" i="82"/>
  <c r="C72" i="9"/>
  <c r="C79" i="9"/>
  <c r="C81" i="9"/>
  <c r="C97" i="9"/>
  <c r="D58" i="9"/>
  <c r="D56" i="9"/>
  <c r="M54" i="9"/>
  <c r="C68" i="82"/>
  <c r="D54" i="82"/>
  <c r="M48" i="82"/>
  <c r="D13" i="53"/>
  <c r="B30" i="72"/>
  <c r="F118" i="9"/>
  <c r="G118" i="9"/>
  <c r="G4" i="52"/>
  <c r="B52" i="72"/>
  <c r="C104" i="9"/>
  <c r="H4" i="52"/>
  <c r="D5" i="53"/>
  <c r="B20" i="72"/>
  <c r="C105" i="82"/>
  <c r="H102" i="82"/>
  <c r="D54" i="9"/>
  <c r="C64" i="9"/>
  <c r="C63" i="9"/>
  <c r="C67" i="9"/>
  <c r="C68" i="9"/>
  <c r="D52" i="9"/>
  <c r="D53" i="9"/>
  <c r="C85" i="9"/>
  <c r="C95" i="9"/>
  <c r="C96" i="9"/>
  <c r="E96" i="9"/>
  <c r="E97" i="9"/>
  <c r="C64" i="82"/>
  <c r="C63" i="82"/>
  <c r="C67" i="82"/>
  <c r="D59" i="82"/>
  <c r="M55" i="82"/>
  <c r="H107" i="82"/>
  <c r="H108" i="82"/>
  <c r="M48" i="9"/>
  <c r="D6" i="74"/>
  <c r="H107" i="9"/>
  <c r="D122" i="9"/>
  <c r="G14" i="74"/>
  <c r="B6" i="74"/>
  <c r="C6" i="74"/>
  <c r="C104" i="82"/>
  <c r="H119" i="82"/>
  <c r="D53" i="82"/>
  <c r="D52" i="82"/>
  <c r="C105" i="9"/>
  <c r="I4" i="52"/>
  <c r="H102" i="9"/>
  <c r="D7" i="53"/>
  <c r="B21" i="72"/>
  <c r="P57" i="9"/>
  <c r="I118" i="9"/>
  <c r="H118" i="9"/>
  <c r="H101" i="9"/>
  <c r="D45" i="9"/>
  <c r="D55" i="9"/>
  <c r="M53" i="9"/>
  <c r="N57" i="9"/>
  <c r="N58" i="9"/>
  <c r="N61" i="82"/>
  <c r="I118" i="82"/>
  <c r="H118" i="82"/>
  <c r="H101" i="82"/>
  <c r="D45" i="82"/>
  <c r="D55" i="82"/>
  <c r="M53" i="82"/>
  <c r="N57" i="82"/>
  <c r="N59" i="82"/>
  <c r="N60"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6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800-000005000000}">
      <text>
        <r>
          <rPr>
            <sz val="9"/>
            <color indexed="81"/>
            <rFont val="宋体"/>
            <family val="3"/>
            <charset val="134"/>
          </rPr>
          <t xml:space="preserve">需在此处填写剩余土地年限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0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0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0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200-000004000000}">
      <text>
        <r>
          <rPr>
            <b/>
            <sz val="12"/>
            <color indexed="81"/>
            <rFont val="宋体"/>
            <family val="3"/>
            <charset val="134"/>
          </rPr>
          <t>所属项目品质或
物业管理</t>
        </r>
      </text>
    </comment>
    <comment ref="B90" authorId="0" shapeId="0" xr:uid="{00000000-0006-0000-1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<sst xmlns="http://schemas.openxmlformats.org/spreadsheetml/2006/main" count="8549" uniqueCount="3275">
  <si>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</si>
  <si>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</si>
  <si>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</si>
  <si>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</si>
  <si>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</si>
  <si>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</si>
  <si>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</si>
  <si>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</si>
  <si>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</si>
  <si>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</si>
  <si>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</si>
  <si>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</si>
  <si>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</si>
  <si>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</si>
  <si>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</si>
  <si>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</si>
  <si>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</si>
  <si>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</si>
  <si>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</si>
  <si>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</si>
  <si>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</si>
  <si>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</si>
  <si>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</si>
  <si>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</si>
  <si>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</si>
  <si>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</si>
  <si>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</si>
  <si>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</si>
  <si>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</si>
  <si>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</si>
  <si>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</si>
  <si>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</si>
  <si>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</si>
  <si>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</si>
  <si>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</si>
  <si>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</si>
  <si>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</si>
  <si>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</si>
  <si>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</si>
  <si>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</si>
  <si>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</si>
  <si>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</si>
  <si>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</si>
  <si>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</si>
  <si>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</si>
  <si>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</si>
  <si>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</si>
  <si>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</si>
  <si>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</si>
  <si>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</si>
  <si>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</si>
  <si>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</si>
  <si>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</si>
  <si>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</si>
  <si>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</si>
  <si>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</si>
  <si>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</si>
  <si>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</si>
  <si>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</si>
  <si>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</si>
  <si>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</si>
  <si>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</si>
  <si>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</si>
  <si>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</si>
  <si>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</si>
  <si>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</si>
  <si>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</si>
  <si>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</si>
  <si>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</si>
  <si>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</si>
  <si>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</si>
  <si>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</si>
  <si>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</si>
  <si>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</si>
  <si>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</si>
  <si>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</si>
  <si>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</si>
  <si>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</si>
  <si>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</si>
  <si>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</si>
  <si>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</si>
  <si>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</si>
  <si>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</si>
  <si>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</si>
  <si>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</si>
  <si>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</si>
  <si>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</si>
  <si>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</si>
  <si>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</si>
  <si>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</si>
  <si>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</si>
  <si>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</si>
  <si>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</si>
  <si>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</si>
  <si>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</si>
  <si>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</si>
  <si>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</si>
  <si>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</si>
  <si>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</si>
  <si>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</si>
  <si>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</si>
  <si>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</si>
  <si>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</si>
  <si>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</si>
  <si>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</si>
  <si>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</si>
  <si>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</si>
  <si>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</si>
  <si>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</si>
  <si>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</si>
  <si>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</si>
  <si>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</si>
  <si>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</si>
  <si>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</si>
  <si>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</si>
  <si>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</si>
  <si>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</si>
  <si>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</si>
  <si>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</si>
  <si>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</si>
  <si>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</si>
  <si>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</si>
  <si>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</si>
  <si>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</si>
  <si>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</si>
  <si>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</si>
  <si>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</si>
  <si>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</si>
  <si>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</si>
  <si>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</si>
  <si>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</si>
  <si>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</si>
  <si>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</si>
  <si>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</si>
  <si>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</si>
  <si>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</si>
  <si>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</si>
  <si>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</si>
  <si>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</si>
  <si>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</si>
  <si>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</si>
  <si>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</si>
  <si>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</si>
  <si>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</si>
  <si>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</si>
  <si>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</si>
  <si>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</si>
  <si>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</si>
  <si>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</si>
  <si>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</si>
  <si>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</si>
  <si>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</si>
  <si>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</si>
  <si>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</si>
  <si>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</si>
  <si>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</si>
  <si>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</si>
  <si>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</si>
  <si>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</si>
  <si>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</si>
  <si>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</si>
  <si>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</si>
  <si>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</si>
  <si>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</si>
  <si>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</si>
  <si>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</si>
  <si>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</si>
  <si>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</si>
  <si>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</si>
  <si>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</si>
  <si>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</si>
  <si>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</si>
  <si>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</si>
  <si>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</si>
  <si>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</si>
  <si>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</si>
  <si>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</si>
  <si>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</si>
  <si>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</si>
  <si>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</si>
  <si>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</si>
  <si>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</si>
  <si>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</si>
  <si>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</si>
  <si>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</si>
  <si>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</si>
  <si>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</si>
  <si>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</si>
  <si>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</si>
  <si>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</si>
  <si>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</si>
  <si>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</si>
  <si>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</si>
  <si>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</si>
  <si>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</si>
  <si>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</si>
  <si>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</si>
  <si>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</si>
  <si>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</si>
  <si>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</si>
  <si>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</si>
  <si>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</si>
  <si>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</si>
  <si>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</si>
  <si>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</si>
  <si>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</si>
  <si>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</si>
  <si>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</si>
  <si>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</si>
  <si>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</si>
  <si>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</si>
  <si>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</si>
  <si>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</si>
  <si>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</si>
  <si>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</si>
  <si>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</si>
  <si>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</si>
  <si>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</si>
  <si>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</si>
  <si>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</si>
  <si>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</si>
  <si>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</si>
  <si>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</si>
  <si>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</si>
  <si>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</si>
  <si>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</si>
  <si>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</si>
  <si>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</si>
  <si>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</si>
  <si>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</si>
  <si>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</si>
  <si>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</si>
  <si>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</si>
  <si>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</si>
  <si>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</si>
  <si>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</si>
  <si>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</si>
  <si>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</si>
  <si>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</si>
  <si>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</si>
  <si>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</si>
  <si>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</si>
  <si>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</si>
  <si>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</si>
  <si>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</si>
  <si>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</si>
  <si>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</si>
  <si>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</si>
  <si>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</si>
  <si>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</si>
  <si>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</si>
  <si>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</si>
  <si>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</si>
  <si>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</si>
  <si>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</si>
  <si>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</si>
  <si>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</si>
  <si>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</si>
  <si>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</si>
  <si>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</si>
  <si>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</si>
  <si>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</si>
  <si>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</si>
  <si>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</si>
  <si>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</si>
  <si>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</si>
  <si>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</si>
  <si>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</si>
  <si>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</si>
  <si>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</si>
  <si>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</si>
  <si>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</si>
  <si>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</si>
  <si>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</si>
  <si>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</si>
  <si>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</si>
  <si>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</si>
  <si>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</si>
  <si>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</si>
  <si>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</si>
  <si>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</si>
  <si>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</si>
  <si>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</si>
  <si>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</si>
  <si>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</si>
  <si>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</si>
  <si>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</si>
  <si>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</si>
  <si>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</si>
  <si>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</si>
  <si>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</si>
  <si>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</si>
  <si>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</si>
  <si>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</si>
  <si>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</si>
  <si>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</si>
  <si>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</si>
  <si>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</si>
  <si>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</si>
  <si>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</si>
  <si>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</si>
  <si>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</si>
  <si>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</si>
  <si>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</si>
  <si>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</si>
  <si>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</si>
  <si>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</si>
  <si>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</si>
  <si>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</si>
  <si>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</si>
  <si>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</si>
  <si>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</si>
  <si>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</si>
  <si>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</si>
  <si>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</si>
  <si>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</si>
  <si>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</si>
  <si>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</si>
  <si>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</si>
  <si>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</si>
  <si>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</si>
  <si>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</si>
  <si>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</si>
  <si>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</si>
  <si>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</si>
  <si>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</si>
  <si>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</si>
  <si>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</si>
  <si>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</si>
  <si>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</si>
  <si>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</si>
  <si>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</si>
  <si>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</si>
  <si>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</si>
  <si>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</si>
  <si>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</si>
  <si>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</si>
  <si>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</si>
  <si>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</si>
  <si>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</si>
  <si>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</si>
  <si>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</si>
  <si>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</si>
  <si>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</si>
  <si>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</si>
  <si>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</si>
  <si>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</si>
  <si>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</si>
  <si>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</si>
  <si>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</si>
  <si>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</si>
  <si>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</si>
  <si>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</si>
  <si>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</si>
  <si>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</si>
  <si>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</si>
  <si>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</si>
  <si>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</si>
  <si>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</si>
  <si>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</si>
  <si>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</si>
  <si>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</si>
  <si>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</si>
  <si>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</si>
  <si>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</si>
  <si>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</si>
  <si>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</si>
  <si>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</si>
  <si>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</si>
  <si>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</si>
  <si>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</si>
  <si>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</si>
  <si>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</si>
  <si>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</si>
  <si>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</si>
  <si>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</si>
  <si>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</si>
  <si>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</si>
  <si>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</si>
  <si>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</si>
  <si>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</si>
  <si>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</si>
  <si>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</si>
  <si>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</si>
  <si>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</si>
  <si>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</si>
  <si>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</si>
  <si>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</si>
  <si>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</si>
  <si>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</si>
  <si>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</si>
  <si>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</si>
  <si>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</si>
  <si>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</si>
  <si>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</si>
  <si>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</si>
  <si>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</si>
  <si>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</si>
  <si>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</si>
  <si>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</si>
  <si>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</si>
  <si>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</si>
  <si>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</si>
  <si>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</si>
  <si>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</si>
  <si>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</si>
  <si>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</si>
  <si>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</si>
  <si>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</si>
  <si>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</si>
  <si>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</si>
  <si>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</si>
  <si>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</si>
  <si>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</si>
  <si>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</si>
  <si>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</si>
  <si>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</si>
  <si>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</si>
  <si>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</si>
  <si>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</si>
  <si>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</si>
  <si>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</si>
  <si>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</si>
  <si>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</si>
  <si>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</si>
  <si>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</si>
  <si>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</si>
  <si>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</si>
  <si>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</si>
  <si>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</si>
  <si>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</si>
  <si>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</si>
  <si>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</si>
  <si>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</si>
  <si>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</si>
  <si>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</si>
  <si>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</si>
  <si>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</si>
  <si>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</si>
  <si>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</si>
  <si>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</si>
  <si>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</si>
  <si>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</si>
  <si>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</si>
  <si>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</si>
  <si>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</si>
  <si>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</si>
  <si>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</si>
  <si>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</si>
  <si>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</si>
  <si>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</si>
  <si>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</si>
  <si>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</si>
  <si>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</si>
  <si>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</si>
  <si>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</si>
  <si>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</si>
  <si>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</si>
  <si>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</si>
  <si>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</si>
  <si>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</si>
  <si>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</si>
  <si>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</si>
  <si>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</si>
  <si>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</si>
  <si>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</si>
  <si>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</si>
  <si>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</si>
  <si>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</si>
  <si>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</si>
  <si>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</si>
  <si>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</si>
  <si>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</si>
  <si>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</si>
  <si>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</si>
  <si>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</si>
  <si>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</si>
  <si>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</si>
  <si>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</si>
  <si>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</si>
  <si>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</si>
  <si>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</si>
  <si>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</si>
  <si>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</si>
  <si>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</si>
  <si>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</si>
  <si>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</si>
  <si>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</si>
  <si>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</si>
  <si>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</si>
  <si>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</si>
  <si>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</si>
  <si>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</si>
  <si>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</si>
  <si>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</si>
  <si>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</si>
  <si>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</si>
  <si>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</si>
  <si>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</si>
  <si>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</si>
  <si>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</si>
  <si>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</si>
  <si>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</si>
  <si>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</si>
  <si>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</si>
  <si>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</si>
  <si>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</si>
  <si>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</si>
  <si>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</si>
  <si>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</si>
  <si>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</si>
  <si>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</si>
  <si>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</si>
  <si>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</si>
  <si>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</si>
  <si>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</si>
  <si>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</si>
  <si>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</si>
  <si>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</si>
  <si>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</si>
  <si>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</si>
  <si>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</si>
  <si>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</si>
  <si>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</si>
  <si>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</si>
  <si>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</si>
  <si>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</si>
  <si>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</si>
  <si>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</si>
  <si>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</si>
  <si>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</si>
  <si>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</si>
  <si>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</si>
  <si>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</si>
  <si>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</si>
  <si>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</si>
  <si>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</si>
  <si>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</si>
  <si>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</si>
  <si>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</si>
  <si>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</si>
  <si>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</si>
  <si>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</si>
  <si>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</si>
  <si>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</si>
  <si>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</si>
  <si>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</si>
  <si>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</si>
  <si>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</si>
  <si>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</si>
  <si>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</si>
  <si>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</si>
  <si>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</si>
  <si>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</si>
  <si>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</si>
  <si>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</si>
  <si>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</si>
  <si>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</si>
  <si>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</si>
  <si>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</si>
  <si>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</si>
  <si>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</si>
  <si>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</si>
  <si>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</si>
  <si>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</si>
  <si>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</si>
  <si>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</si>
  <si>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</si>
  <si>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</si>
  <si>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</si>
  <si>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</si>
  <si>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</si>
  <si>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</si>
  <si>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</si>
  <si>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</si>
  <si>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</si>
  <si>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</si>
  <si>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</si>
  <si>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</si>
  <si>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</si>
  <si>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</si>
  <si>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</si>
  <si>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</si>
  <si>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</si>
  <si>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</si>
  <si>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</si>
  <si>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</si>
  <si>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</si>
  <si>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</si>
  <si>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</si>
  <si>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</si>
  <si>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</si>
  <si>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</si>
  <si>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</si>
  <si>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</si>
  <si>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</si>
  <si>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</si>
  <si>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</si>
  <si>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</si>
  <si>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</si>
  <si>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</si>
  <si>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</si>
  <si>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</si>
  <si>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</si>
  <si>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</si>
  <si>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</si>
  <si>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</si>
  <si>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</si>
  <si>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</si>
  <si>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</si>
  <si>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</si>
  <si>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</si>
  <si>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</si>
  <si>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</si>
  <si>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</si>
  <si>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</si>
  <si>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</si>
  <si>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</si>
  <si>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</si>
  <si>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</si>
  <si>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</si>
  <si>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</si>
  <si>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</si>
  <si>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</si>
  <si>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</si>
  <si>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</si>
  <si>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</si>
  <si>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</si>
  <si>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</si>
  <si>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</si>
  <si>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</si>
  <si>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</si>
  <si>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</si>
  <si>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</si>
  <si>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</si>
  <si>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</si>
  <si>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</si>
  <si>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</si>
  <si>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</si>
  <si>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</si>
  <si>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</si>
  <si>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</si>
  <si>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</si>
  <si>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</si>
  <si>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</si>
  <si>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</si>
  <si>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</si>
  <si>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</si>
  <si>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</si>
  <si>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</si>
  <si>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</si>
  <si>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</si>
  <si>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</si>
  <si>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</si>
  <si>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</si>
  <si>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</si>
  <si>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</si>
  <si>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</si>
  <si>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</si>
  <si>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</si>
  <si>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</si>
  <si>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</si>
  <si>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</si>
  <si>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</si>
  <si>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</si>
  <si>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</si>
  <si>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</si>
  <si>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</si>
  <si>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</si>
  <si>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</si>
  <si>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</si>
  <si>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</si>
  <si>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</si>
  <si>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</si>
  <si>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</si>
  <si>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</si>
  <si>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</si>
  <si>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</si>
  <si>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</si>
  <si>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</si>
  <si>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</si>
  <si>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</si>
  <si>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</si>
  <si>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</si>
  <si>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</si>
  <si>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</si>
  <si>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</si>
  <si>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</si>
  <si>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</si>
  <si>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</si>
  <si>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</si>
  <si>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</si>
  <si>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</si>
  <si>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</si>
  <si>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</si>
  <si>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</si>
  <si>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</si>
  <si>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</si>
  <si>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</si>
  <si>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</si>
  <si>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</si>
  <si>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</si>
  <si>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</si>
  <si>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</si>
  <si>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</si>
  <si>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</si>
  <si>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</si>
  <si>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</si>
  <si>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</si>
  <si>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</si>
  <si>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</si>
  <si>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</si>
  <si>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</si>
  <si>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</si>
  <si>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</si>
  <si>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</si>
  <si>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</si>
  <si>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</si>
  <si>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</si>
  <si>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</si>
  <si>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</si>
  <si>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</si>
  <si>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</si>
  <si>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</si>
  <si>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</si>
  <si>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</si>
  <si>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</si>
  <si>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</si>
  <si>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</si>
  <si>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</si>
  <si>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</si>
  <si>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</si>
  <si>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</si>
  <si>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</si>
  <si>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</si>
  <si>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</si>
  <si>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</si>
  <si>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</si>
  <si>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</si>
  <si>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</si>
  <si>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</si>
  <si>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</si>
  <si>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</si>
  <si>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</si>
  <si>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</si>
  <si>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</si>
  <si>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</si>
  <si>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</si>
  <si>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</si>
  <si>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</si>
  <si>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</si>
  <si>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</si>
  <si>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</si>
  <si>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</si>
  <si>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</si>
  <si>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</si>
  <si>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</si>
  <si>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</si>
  <si>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</si>
  <si>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</si>
  <si>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</si>
  <si>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</si>
  <si>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</si>
  <si>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</si>
  <si>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</si>
  <si>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</si>
  <si>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</si>
  <si>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</si>
  <si>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</si>
  <si>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</si>
  <si>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</si>
  <si>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</si>
  <si>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</si>
  <si>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</si>
  <si>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</si>
  <si>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</si>
  <si>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</si>
  <si>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</si>
  <si>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</si>
  <si>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</si>
  <si>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</si>
  <si>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</si>
  <si>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</si>
  <si>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</si>
  <si>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</si>
  <si>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</si>
  <si>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</si>
  <si>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</si>
  <si>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</si>
  <si>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</si>
  <si>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</si>
  <si>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</si>
  <si>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</si>
  <si>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</si>
  <si>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</si>
  <si>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</si>
  <si>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</si>
  <si>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</si>
  <si>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</si>
  <si>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</si>
  <si>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</si>
  <si>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</si>
  <si>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</si>
  <si>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</si>
  <si>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</si>
  <si>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</si>
  <si>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</si>
  <si>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</si>
  <si>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</si>
  <si>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</si>
  <si>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</si>
  <si>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</si>
  <si>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</si>
  <si>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</si>
  <si>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</si>
  <si>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</si>
  <si>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</si>
  <si>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</si>
  <si>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</si>
  <si>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</si>
  <si>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</si>
  <si>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</si>
  <si>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</si>
  <si>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</si>
  <si>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</si>
  <si>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</si>
  <si>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</si>
  <si>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</si>
  <si>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</si>
  <si>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</si>
  <si>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</si>
  <si>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</si>
  <si>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</si>
  <si>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</si>
  <si>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</si>
  <si>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</si>
  <si>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</si>
  <si>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</si>
  <si>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</si>
  <si>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</si>
  <si>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</si>
  <si>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</si>
  <si>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</si>
  <si>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</si>
  <si>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</si>
  <si>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</si>
  <si>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</si>
  <si>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</si>
  <si>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</si>
  <si>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</si>
  <si>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</si>
  <si>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</si>
  <si>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</si>
  <si>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</si>
  <si>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</si>
  <si>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</si>
  <si>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</si>
  <si>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</si>
  <si>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</si>
  <si>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</si>
  <si>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</si>
  <si>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</si>
  <si>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</si>
  <si>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</si>
  <si>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</si>
  <si>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</si>
  <si>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</si>
  <si>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</si>
  <si>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</si>
  <si>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</si>
  <si>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</si>
  <si>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</si>
  <si>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</si>
  <si>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</si>
  <si>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</si>
  <si>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</si>
  <si>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</si>
  <si>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</si>
  <si>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</si>
  <si>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</si>
  <si>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</si>
  <si>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</si>
  <si>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</si>
  <si>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</si>
  <si>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</si>
  <si>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</si>
  <si>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</si>
  <si>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</si>
  <si>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</si>
  <si>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</si>
  <si>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</si>
  <si>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</si>
  <si>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</si>
  <si>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</si>
  <si>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</si>
  <si>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</si>
  <si>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</si>
  <si>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</si>
  <si>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</si>
  <si>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</si>
  <si>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</si>
  <si>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</si>
  <si>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</si>
  <si>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</si>
  <si>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</si>
  <si>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</si>
  <si>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</si>
  <si>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</si>
  <si>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</si>
  <si>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</si>
  <si>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</si>
  <si>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</si>
  <si>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</si>
  <si>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</si>
  <si>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</si>
  <si>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</si>
  <si>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</si>
  <si>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</si>
  <si>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</si>
  <si>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</si>
  <si>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</si>
  <si>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</si>
  <si>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</si>
  <si>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</si>
  <si>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</si>
  <si>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</si>
  <si>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</si>
  <si>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</si>
  <si>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</si>
  <si>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</si>
  <si>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</si>
  <si>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</si>
  <si>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</si>
  <si>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</si>
  <si>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</si>
  <si>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</si>
  <si>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</si>
  <si>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</si>
  <si>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</si>
  <si>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</si>
  <si>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</si>
  <si>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</si>
  <si>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</si>
  <si>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</si>
  <si>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</si>
  <si>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</si>
  <si>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</si>
  <si>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</si>
  <si>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</si>
  <si>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</si>
  <si>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</si>
  <si>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</si>
  <si>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</si>
  <si>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</si>
  <si>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</si>
  <si>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</si>
  <si>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</si>
  <si>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</si>
  <si>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</si>
  <si>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</si>
  <si>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</si>
  <si>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</si>
  <si>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</si>
  <si>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</si>
  <si>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</si>
  <si>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</si>
  <si>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</si>
  <si>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</si>
  <si>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</si>
  <si>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</si>
  <si>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</si>
  <si>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</si>
  <si>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</si>
  <si>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</si>
  <si>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</si>
  <si>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</si>
  <si>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</si>
  <si>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</si>
  <si>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</si>
  <si>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</si>
  <si>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</si>
  <si>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</si>
  <si>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</si>
  <si>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</si>
  <si>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</si>
  <si>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</si>
  <si>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</si>
  <si>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</si>
  <si>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</si>
  <si>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</si>
  <si>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</si>
  <si>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</si>
  <si>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</si>
  <si>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</si>
  <si>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</si>
  <si>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</si>
  <si>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</si>
  <si>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</si>
  <si>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</si>
  <si>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</si>
  <si>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</si>
  <si>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</si>
  <si>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</si>
  <si>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</si>
  <si>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</si>
  <si>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</si>
  <si>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</si>
  <si>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</si>
  <si>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</si>
  <si>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</si>
  <si>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</si>
  <si>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</si>
  <si>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</si>
  <si>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</si>
  <si>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</si>
  <si>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</si>
  <si>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</si>
  <si>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</si>
  <si>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</si>
  <si>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</si>
  <si>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</si>
  <si>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</si>
  <si>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</si>
  <si>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</si>
  <si>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</si>
  <si>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</si>
  <si>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</si>
  <si>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</si>
  <si>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</si>
  <si>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</si>
  <si>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</si>
  <si>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</si>
  <si>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</si>
  <si>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</si>
  <si>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</si>
  <si>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</si>
  <si>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</si>
  <si>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</si>
  <si>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</si>
  <si>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</si>
  <si>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</si>
  <si>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</si>
  <si>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</si>
  <si>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</si>
  <si>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</si>
  <si>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</si>
  <si>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</si>
  <si>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</si>
  <si>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</si>
  <si>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</si>
  <si>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</si>
  <si>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</si>
  <si>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</si>
  <si>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</si>
  <si>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</si>
  <si>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</si>
  <si>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</si>
  <si>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</si>
  <si>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</si>
  <si>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</si>
  <si>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</si>
  <si>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</si>
  <si>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</si>
  <si>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</si>
  <si>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</si>
  <si>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</si>
  <si>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</si>
  <si>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</si>
  <si>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</si>
  <si>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</si>
  <si>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</si>
  <si>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</si>
  <si>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</si>
  <si>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</si>
  <si>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</si>
  <si>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</si>
  <si>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</si>
  <si>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</si>
  <si>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</si>
  <si>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</si>
  <si>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</si>
  <si>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</si>
  <si>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</si>
  <si>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</si>
  <si>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</si>
  <si>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</si>
  <si>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</si>
  <si>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</si>
  <si>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</si>
  <si>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</si>
  <si>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</si>
  <si>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</si>
  <si>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</si>
  <si>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</si>
  <si>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</si>
  <si>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</si>
  <si>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</si>
  <si>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</si>
  <si>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</si>
  <si>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</si>
  <si>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</si>
  <si>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</si>
  <si>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</si>
  <si>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</si>
  <si>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</si>
  <si>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</si>
  <si>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</si>
  <si>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</si>
  <si>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</si>
  <si>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</si>
  <si>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</si>
  <si>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</si>
  <si>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</si>
  <si>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</si>
  <si>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</si>
  <si>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</si>
  <si>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</si>
  <si>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</si>
  <si>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</si>
  <si>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</si>
  <si>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</si>
  <si>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</si>
  <si>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</si>
  <si>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</si>
  <si>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</si>
  <si>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</si>
  <si>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</si>
  <si>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</si>
  <si>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</si>
  <si>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</si>
  <si>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</si>
  <si>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</si>
  <si>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</si>
  <si>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</si>
  <si>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</si>
  <si>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</si>
  <si>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</si>
  <si>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</si>
  <si>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</si>
  <si>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</si>
  <si>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</si>
  <si>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</si>
  <si>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</si>
  <si>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</si>
  <si>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</si>
  <si>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</si>
  <si>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</si>
  <si>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</si>
  <si>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</si>
  <si>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</si>
  <si>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</si>
  <si>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</si>
  <si>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</si>
  <si>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</si>
  <si>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</si>
  <si>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</si>
  <si>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</si>
  <si>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</si>
  <si>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</si>
  <si>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</si>
  <si>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</si>
  <si>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</si>
  <si>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</si>
  <si>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</si>
  <si>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</si>
  <si>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</si>
  <si>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</si>
  <si>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</si>
  <si>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</si>
  <si>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</si>
  <si>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</si>
  <si>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</si>
  <si>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</si>
  <si>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</si>
  <si>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</si>
  <si>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</si>
  <si>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</si>
  <si>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</si>
  <si>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</si>
  <si>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</si>
  <si>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</si>
  <si>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</si>
  <si>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</si>
  <si>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</si>
  <si>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</si>
  <si>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</si>
  <si>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</si>
  <si>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</si>
  <si>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</si>
  <si>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</si>
  <si>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</si>
  <si>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</si>
  <si>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</si>
  <si>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</si>
  <si>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</si>
  <si>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</si>
  <si>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</si>
  <si>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</si>
  <si>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</si>
  <si>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</si>
  <si>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</si>
  <si>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</si>
  <si>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</si>
  <si>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</si>
  <si>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</si>
  <si>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</si>
  <si>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</si>
  <si>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</si>
  <si>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</si>
  <si>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</si>
  <si>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</si>
  <si>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</si>
  <si>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</si>
  <si>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</si>
  <si>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</si>
  <si>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</si>
  <si>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</si>
  <si>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</si>
  <si>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</si>
  <si>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</si>
  <si>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</si>
  <si>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</si>
  <si>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</si>
  <si>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</si>
  <si>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</si>
  <si>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</si>
  <si>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</si>
  <si>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</si>
  <si>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</si>
  <si>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</si>
  <si>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</si>
  <si>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</si>
  <si>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</si>
  <si>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</si>
  <si>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</si>
  <si>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</si>
  <si>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</si>
  <si>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</si>
  <si>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</si>
  <si>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</si>
  <si>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</si>
  <si>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</si>
  <si>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</si>
  <si>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</si>
  <si>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</si>
  <si>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</si>
  <si>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</si>
  <si>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</si>
  <si>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</si>
  <si>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</si>
  <si>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</si>
  <si>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</si>
  <si>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</si>
  <si>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</si>
  <si>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</si>
  <si>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</si>
  <si>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</si>
  <si>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</si>
  <si>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</si>
  <si>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</si>
  <si>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</si>
  <si>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</si>
  <si>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</si>
  <si>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</si>
  <si>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</si>
  <si>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</si>
  <si>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</si>
  <si>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</si>
  <si>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</si>
  <si>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</si>
  <si>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</si>
  <si>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</si>
  <si>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</si>
  <si>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</si>
  <si>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</si>
  <si>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</si>
  <si>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</si>
  <si>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</si>
  <si>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</si>
  <si>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</si>
  <si>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</si>
  <si>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</si>
  <si>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</si>
  <si>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</si>
  <si>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</si>
  <si>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</si>
  <si>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</si>
  <si>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</si>
  <si>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</si>
  <si>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</si>
  <si>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</si>
  <si>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</si>
  <si>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</si>
  <si>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</si>
  <si>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</si>
  <si>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</si>
  <si>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</si>
  <si>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</si>
  <si>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</si>
  <si>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</si>
  <si>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</si>
  <si>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</si>
  <si>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</si>
  <si>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</si>
  <si>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</si>
  <si>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</si>
  <si>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</si>
  <si>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</si>
  <si>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</si>
  <si>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</si>
  <si>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</si>
  <si>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</si>
  <si>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</si>
  <si>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</si>
  <si>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</si>
  <si>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</si>
  <si>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</si>
  <si>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</si>
  <si>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</si>
  <si>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</si>
  <si>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</si>
  <si>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</si>
  <si>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</si>
  <si>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</si>
  <si>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</si>
  <si>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</si>
  <si>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</si>
  <si>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</si>
  <si>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</si>
  <si>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</si>
  <si>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</si>
  <si>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</si>
  <si>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</si>
  <si>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</si>
  <si>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</si>
  <si>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</si>
  <si>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</si>
  <si>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</si>
  <si>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</si>
  <si>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</si>
  <si>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</si>
  <si>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</si>
  <si>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</si>
  <si>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</si>
  <si>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</si>
  <si>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</si>
  <si>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</si>
  <si>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</si>
  <si>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</si>
  <si>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</si>
  <si>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</si>
  <si>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</si>
  <si>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</si>
  <si>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</si>
  <si>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</si>
  <si>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</si>
  <si>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</si>
  <si>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</si>
  <si>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</si>
  <si>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</si>
  <si>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</si>
  <si>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</si>
  <si>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</si>
  <si>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</si>
  <si>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</si>
  <si>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</si>
  <si>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</si>
  <si>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</si>
  <si>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</si>
  <si>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</si>
  <si>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</si>
  <si>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</si>
  <si>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</si>
  <si>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</si>
  <si>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</si>
  <si>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</si>
  <si>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</si>
  <si>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</si>
  <si>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</si>
  <si>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</si>
  <si>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</si>
  <si>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</si>
  <si>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</si>
  <si>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</si>
  <si>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</si>
  <si>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</si>
  <si>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</si>
  <si>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</si>
  <si>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</si>
  <si>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</si>
  <si>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</si>
  <si>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</si>
  <si>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</si>
  <si>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</si>
  <si>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</si>
  <si>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</si>
  <si>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</si>
  <si>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</si>
  <si>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</si>
  <si>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</si>
  <si>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</si>
  <si>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</si>
  <si>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</si>
  <si>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</si>
  <si>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</si>
  <si>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</si>
  <si>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</si>
  <si>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</si>
  <si>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</si>
  <si>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</si>
  <si>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</si>
  <si>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</si>
  <si>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</si>
  <si>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</si>
  <si>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</si>
  <si>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</si>
  <si>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</si>
  <si>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</si>
  <si>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</si>
  <si>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</si>
  <si>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</si>
  <si>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</si>
  <si>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</si>
  <si>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</si>
  <si>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</si>
  <si>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</si>
  <si>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</si>
  <si>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</si>
  <si>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</si>
  <si>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</si>
  <si>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</si>
  <si>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</si>
  <si>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</si>
  <si>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</si>
  <si>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</si>
  <si>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</si>
  <si>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</si>
  <si>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</si>
  <si>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</si>
  <si>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</si>
  <si>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</si>
  <si>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</si>
  <si>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</si>
  <si>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</si>
  <si>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</si>
  <si>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</si>
  <si>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</si>
  <si>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</si>
  <si>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</si>
  <si>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</si>
  <si>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</si>
  <si>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</si>
  <si>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</si>
  <si>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</si>
  <si>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</si>
  <si>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</si>
  <si>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</si>
  <si>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</si>
  <si>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</si>
  <si>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</si>
  <si>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</si>
  <si>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</si>
  <si>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</si>
  <si>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</si>
  <si>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</si>
  <si>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</si>
  <si>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</si>
  <si>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</si>
  <si>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</si>
  <si>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</si>
  <si>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</si>
  <si>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</si>
  <si>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</si>
  <si>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</si>
  <si>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</si>
  <si>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</si>
  <si>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</si>
  <si>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</si>
  <si>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</si>
  <si>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</si>
  <si>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</si>
  <si>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</si>
  <si>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</si>
  <si>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</si>
  <si>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</si>
  <si>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</si>
  <si>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</si>
  <si>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</si>
  <si>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</si>
  <si>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</si>
  <si>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</si>
  <si>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</si>
  <si>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</si>
  <si>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</si>
  <si>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</si>
  <si>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</si>
  <si>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</si>
  <si>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</si>
  <si>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</si>
  <si>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</si>
  <si>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</si>
  <si>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</si>
  <si>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</si>
  <si>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</si>
  <si>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</si>
  <si>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</si>
  <si>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</si>
  <si>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</si>
  <si>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</si>
  <si>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</si>
  <si>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</si>
  <si>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</si>
  <si>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</si>
  <si>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</si>
  <si>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</si>
  <si>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</si>
  <si>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</si>
  <si>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</si>
  <si>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</si>
  <si>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</si>
  <si>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</si>
  <si>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</si>
  <si>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</si>
  <si>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</si>
  <si>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</si>
  <si>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</si>
  <si>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</si>
  <si>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</si>
  <si>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</si>
  <si>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</si>
  <si>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</si>
  <si>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</si>
  <si>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</si>
  <si>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</si>
  <si>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</si>
  <si>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</si>
  <si>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</si>
  <si>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</si>
  <si>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</si>
  <si>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</si>
  <si>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</si>
  <si>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</si>
  <si>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</si>
  <si>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</si>
  <si>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</si>
  <si>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</si>
  <si>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</si>
  <si>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</si>
  <si>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</si>
  <si>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</si>
  <si>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</si>
  <si>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</si>
  <si>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</si>
  <si>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</si>
  <si>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</si>
  <si>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</si>
  <si>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</si>
  <si>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</si>
  <si>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</si>
  <si>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</si>
  <si>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</si>
  <si>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</si>
  <si>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</si>
  <si>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</si>
  <si>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</si>
  <si>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</si>
  <si>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</si>
  <si>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</si>
  <si>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</si>
  <si>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</si>
  <si>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</si>
  <si>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</si>
  <si>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</si>
  <si>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</si>
  <si>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</si>
  <si>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</si>
  <si>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</si>
  <si>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</si>
  <si>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</si>
  <si>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</si>
  <si>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</si>
  <si>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</si>
  <si>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</si>
  <si>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</si>
  <si>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</si>
  <si>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</si>
  <si>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</si>
  <si>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</si>
  <si>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</si>
  <si>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</si>
  <si>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</si>
  <si>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</si>
  <si>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</si>
  <si>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</si>
  <si>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</si>
  <si>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</si>
  <si>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</si>
  <si>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</si>
  <si>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</si>
  <si>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</si>
  <si>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</si>
  <si>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</si>
  <si>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</si>
  <si>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</si>
  <si>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</si>
  <si>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</si>
  <si>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</si>
  <si>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</si>
  <si>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</si>
  <si>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</si>
  <si>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</si>
  <si>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</si>
  <si>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</si>
  <si>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</si>
  <si>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</si>
  <si>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</si>
  <si>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</si>
  <si>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</si>
  <si>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</si>
  <si>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</si>
  <si>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</si>
  <si>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</si>
  <si>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</si>
  <si>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</si>
  <si>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</si>
  <si>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</si>
  <si>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</si>
  <si>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</si>
  <si>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</si>
  <si>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</si>
  <si>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</si>
  <si>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</si>
  <si>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</si>
  <si>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</si>
  <si>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</si>
  <si>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</si>
  <si>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</si>
  <si>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</si>
  <si>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</si>
  <si>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</si>
  <si>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</si>
  <si>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</si>
  <si>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</si>
  <si>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</si>
  <si>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</si>
  <si>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</si>
  <si>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</si>
  <si>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</si>
  <si>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</si>
  <si>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</si>
  <si>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</si>
  <si>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</si>
  <si>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</si>
  <si>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</si>
  <si>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</si>
  <si>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</si>
  <si>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</si>
  <si>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</si>
  <si>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</si>
  <si>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</si>
  <si>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</si>
  <si>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</si>
  <si>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</si>
  <si>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</si>
  <si>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</si>
  <si>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</si>
  <si>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</si>
  <si>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</si>
  <si>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</si>
  <si>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</si>
  <si>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</si>
  <si>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</si>
  <si>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</si>
  <si>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</si>
  <si>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</si>
  <si>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</si>
  <si>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</si>
  <si>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</si>
  <si>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</si>
  <si>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</si>
  <si>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</si>
  <si>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</si>
  <si>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</si>
  <si>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</si>
  <si>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</si>
  <si>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</si>
  <si>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</si>
  <si>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</si>
  <si>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</si>
  <si>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</si>
  <si>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</si>
  <si>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</si>
  <si>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</si>
  <si>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</si>
  <si>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</si>
  <si>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</si>
  <si>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</si>
  <si>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</si>
  <si>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</si>
  <si>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</si>
  <si>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</si>
  <si>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</si>
  <si>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</si>
  <si>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</si>
  <si>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</si>
  <si>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</si>
  <si>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</si>
  <si>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</si>
  <si>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</si>
  <si>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</si>
  <si>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</si>
  <si>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</si>
  <si>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</si>
  <si>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</si>
  <si>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</si>
  <si>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</si>
  <si>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</si>
  <si>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</si>
  <si>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</si>
  <si>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</si>
  <si>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</si>
  <si>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</si>
  <si>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</si>
  <si>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</si>
  <si>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</si>
  <si>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</si>
  <si>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</si>
  <si>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</si>
  <si>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</si>
  <si>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</si>
  <si>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</si>
  <si>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</si>
  <si>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</si>
  <si>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</si>
  <si>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</si>
  <si>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</si>
  <si>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</si>
  <si>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</si>
  <si>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</si>
  <si>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</si>
  <si>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</si>
  <si>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</si>
  <si>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</si>
  <si>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</si>
  <si>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</si>
  <si>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</si>
  <si>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</si>
  <si>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</si>
  <si>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</si>
  <si>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</si>
  <si>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</si>
  <si>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</si>
  <si>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</si>
  <si>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</si>
  <si>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</si>
  <si>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</si>
  <si>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</si>
  <si>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</si>
  <si>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</si>
  <si>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</si>
  <si>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</si>
  <si>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</si>
  <si>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</si>
  <si>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</si>
  <si>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</si>
  <si>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</si>
  <si>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</si>
  <si>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</si>
  <si>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</si>
  <si>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</si>
  <si>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</si>
  <si>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</si>
  <si>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</si>
  <si>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</si>
  <si>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</si>
  <si>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</si>
  <si>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</si>
  <si>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</si>
  <si>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</si>
  <si>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</si>
  <si>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</si>
  <si>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</si>
  <si>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</si>
  <si>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</si>
  <si>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</si>
  <si>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</si>
  <si>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</si>
  <si>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</si>
  <si>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</si>
  <si>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</si>
  <si>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</si>
  <si>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</si>
  <si>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</si>
  <si>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</si>
  <si>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</si>
  <si>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</si>
  <si>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</si>
  <si>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</si>
  <si>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</si>
  <si>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</si>
  <si>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</si>
  <si>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</si>
  <si>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</si>
  <si>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</si>
  <si>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</si>
  <si>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</si>
  <si>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</si>
  <si>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</si>
  <si>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</si>
  <si>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</si>
  <si>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</si>
  <si>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</si>
  <si>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</si>
  <si>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</si>
  <si>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</si>
  <si>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</si>
  <si>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</si>
  <si>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</si>
  <si>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</si>
  <si>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</si>
  <si>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</si>
  <si>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</si>
  <si>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</si>
  <si>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</si>
  <si>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</si>
  <si>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</si>
  <si>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</si>
  <si>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</si>
  <si>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</si>
  <si>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</si>
  <si>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</si>
  <si>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</si>
  <si>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</si>
  <si>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</si>
  <si>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</si>
  <si>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</si>
  <si>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</si>
  <si>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</si>
  <si>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</si>
  <si>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</si>
  <si>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</si>
  <si>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</si>
  <si>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</si>
  <si>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</si>
  <si>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</si>
  <si>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</si>
  <si>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</si>
  <si>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</si>
  <si>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</si>
  <si>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</si>
  <si>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</si>
  <si>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</si>
  <si>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</si>
  <si>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</si>
  <si>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</si>
  <si>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</si>
  <si>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</si>
  <si>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</si>
  <si>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</si>
  <si>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</si>
  <si>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</si>
  <si>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</si>
  <si>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</si>
  <si>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</si>
  <si>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</si>
  <si>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</si>
  <si>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</si>
  <si>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</si>
  <si>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</si>
  <si>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</si>
  <si>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</si>
  <si>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</si>
  <si>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</si>
  <si>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</si>
  <si>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</si>
  <si>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</si>
  <si>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</si>
  <si>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</si>
  <si>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</si>
  <si>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</si>
  <si>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</si>
  <si>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</si>
  <si>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</si>
  <si>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</si>
  <si>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</si>
  <si>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</si>
  <si>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</si>
  <si>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</si>
  <si>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</si>
  <si>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</si>
  <si>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</si>
  <si>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</si>
  <si>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</si>
  <si>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</si>
  <si>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</si>
  <si>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</si>
  <si>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</si>
  <si>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</si>
  <si>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</si>
  <si>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</si>
  <si>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</si>
  <si>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</si>
  <si>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</si>
  <si>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</si>
  <si>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</si>
  <si>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</si>
  <si>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</si>
  <si>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</si>
  <si>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</si>
  <si>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</si>
  <si>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</si>
  <si>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</si>
  <si>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</si>
  <si>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</si>
  <si>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</si>
  <si>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</si>
  <si>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</si>
  <si>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</si>
  <si>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</si>
  <si>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</si>
  <si>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</si>
  <si>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</si>
  <si>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</si>
  <si>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</si>
  <si>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</si>
  <si>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</si>
  <si>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</si>
  <si>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</si>
  <si>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</si>
  <si>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</si>
  <si>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</si>
  <si>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</si>
  <si>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</si>
  <si>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</si>
  <si>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</si>
  <si>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</si>
  <si>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</si>
  <si>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</si>
  <si>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</si>
  <si>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</si>
  <si>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</si>
  <si>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</si>
  <si>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</si>
  <si>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</si>
  <si>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</si>
  <si>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</si>
  <si>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</si>
  <si>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</si>
  <si>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</si>
  <si>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</si>
  <si>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</si>
  <si>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</si>
  <si>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</si>
  <si>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</si>
  <si>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</si>
  <si>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</si>
  <si>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</si>
  <si>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</si>
  <si>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</si>
  <si>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</si>
  <si>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</si>
  <si>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</si>
  <si>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</si>
  <si>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</si>
  <si>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</si>
  <si>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</si>
  <si>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</si>
  <si>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</si>
  <si>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</si>
  <si>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</si>
  <si>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</si>
  <si>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</si>
  <si>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</si>
  <si>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</si>
  <si>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</si>
  <si>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</si>
  <si>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</si>
  <si>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</si>
  <si>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</si>
  <si>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</si>
  <si>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</si>
  <si>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</si>
  <si>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</si>
  <si>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</si>
  <si>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</si>
  <si>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</si>
  <si>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</si>
  <si>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</si>
  <si>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</si>
  <si>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</si>
  <si>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</si>
  <si>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</si>
  <si>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</si>
  <si>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</si>
  <si>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</si>
  <si>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</si>
  <si>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</si>
  <si>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</si>
  <si>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</si>
  <si>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</si>
  <si>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</si>
  <si>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</si>
  <si>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</si>
  <si>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</si>
  <si>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</si>
  <si>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</si>
  <si>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</si>
  <si>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</si>
  <si>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</si>
  <si>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</si>
  <si>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</si>
  <si>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</si>
  <si>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</si>
  <si>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</si>
  <si>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</si>
  <si>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</si>
  <si>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</si>
  <si>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</si>
  <si>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</si>
  <si>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</si>
  <si>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</si>
  <si>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</si>
  <si>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</si>
  <si>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</si>
  <si>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</si>
  <si>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</si>
  <si>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</si>
  <si>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</si>
  <si>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</si>
  <si>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</si>
  <si>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</si>
  <si>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</si>
  <si>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</si>
  <si>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</si>
  <si>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</si>
  <si>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</si>
  <si>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</si>
  <si>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</si>
  <si>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</si>
  <si>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</si>
  <si>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</si>
  <si>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</si>
  <si>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</si>
  <si>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</si>
  <si>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</si>
  <si>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</si>
  <si>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</si>
  <si>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</si>
  <si>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</si>
  <si>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</si>
  <si>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</si>
  <si>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</si>
  <si>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</si>
  <si>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</si>
  <si>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</si>
  <si>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</si>
  <si>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</si>
  <si>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</si>
  <si>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</si>
  <si>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</si>
  <si>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</si>
  <si>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</si>
  <si>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</si>
  <si>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</si>
  <si>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</si>
  <si>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</si>
  <si>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</si>
  <si>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</si>
  <si>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</si>
  <si>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</si>
  <si>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</si>
  <si>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</si>
  <si>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</si>
  <si>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</si>
  <si>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</si>
  <si>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</si>
  <si>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</si>
  <si>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</si>
  <si>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</si>
  <si>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</si>
  <si>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</si>
  <si>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</si>
  <si>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</si>
  <si>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</si>
  <si>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</si>
  <si>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</si>
  <si>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</si>
  <si>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</si>
  <si>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</si>
  <si>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</si>
  <si>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</si>
  <si>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</si>
  <si>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</si>
  <si>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</si>
  <si>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</si>
  <si>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</si>
  <si>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</si>
  <si>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</si>
  <si>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</si>
  <si>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</si>
  <si>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</si>
  <si>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</si>
  <si>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</si>
  <si>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</si>
  <si>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</si>
  <si>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</si>
  <si>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</si>
  <si>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</si>
  <si>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</si>
  <si>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</si>
  <si>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</si>
  <si>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</si>
  <si>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</si>
  <si>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</si>
  <si>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</si>
  <si>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</si>
  <si>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</si>
  <si>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</si>
  <si>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</si>
  <si>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</si>
  <si>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</si>
  <si>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</si>
  <si>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</si>
  <si>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</si>
  <si>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</si>
  <si>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</si>
  <si>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</si>
  <si>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</si>
  <si>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</si>
  <si>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</si>
  <si>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</si>
  <si>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</si>
  <si>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</si>
  <si>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</si>
  <si>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</si>
  <si>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</si>
  <si>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</si>
  <si>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</si>
  <si>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</si>
  <si>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</si>
  <si>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</si>
  <si>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</si>
  <si>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</si>
  <si>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</si>
  <si>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</si>
  <si>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</si>
  <si>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</si>
  <si>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</si>
  <si>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</si>
  <si>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</si>
  <si>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</si>
  <si>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</si>
  <si>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</si>
  <si>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</si>
  <si>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</si>
  <si>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</si>
  <si>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</si>
  <si>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</si>
  <si>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</si>
  <si>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</si>
  <si>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</si>
  <si>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</si>
  <si>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</si>
  <si>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</si>
  <si>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</si>
  <si>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</si>
  <si>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</si>
  <si>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</si>
  <si>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</si>
  <si>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</si>
  <si>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</si>
  <si>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</si>
  <si>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</si>
  <si>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</si>
  <si>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</si>
  <si>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</si>
  <si>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</si>
  <si>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</si>
  <si>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</si>
  <si>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</si>
  <si>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</si>
  <si>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</si>
  <si>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</si>
  <si>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</si>
  <si>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</si>
  <si>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</si>
  <si>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</si>
  <si>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</si>
  <si>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</si>
  <si>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</si>
  <si>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</si>
  <si>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</si>
  <si>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</si>
  <si>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</si>
  <si>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</si>
  <si>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</si>
  <si>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</si>
  <si>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</si>
  <si>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</si>
  <si>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</si>
  <si>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</si>
  <si>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</si>
  <si>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</si>
  <si>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</si>
  <si>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</si>
  <si>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</si>
  <si>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</si>
  <si>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</si>
  <si>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</si>
  <si>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</si>
  <si>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</si>
  <si>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</si>
  <si>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</si>
  <si>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</si>
  <si>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</si>
  <si>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</si>
  <si>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</si>
  <si>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</si>
  <si>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</si>
  <si>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</si>
  <si>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</si>
  <si>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</si>
  <si>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</si>
  <si>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</si>
  <si>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</si>
  <si>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</si>
  <si>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</si>
  <si>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</si>
  <si>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</si>
  <si>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</si>
  <si>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</si>
  <si>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</si>
  <si>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</si>
  <si>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</si>
  <si>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</si>
  <si>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</si>
  <si>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</si>
  <si>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</si>
  <si>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</si>
  <si>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</si>
  <si>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</si>
  <si>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</si>
  <si>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</si>
  <si>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</si>
  <si>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</si>
  <si>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</si>
  <si>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</si>
  <si>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</si>
  <si>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</si>
  <si>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</si>
  <si>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</si>
  <si>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</si>
  <si>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</si>
  <si>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</si>
  <si>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</si>
  <si>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</si>
  <si>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</si>
  <si>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</si>
  <si>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</si>
  <si>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</si>
  <si>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</si>
  <si>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</si>
  <si>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</si>
  <si>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</si>
  <si>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</si>
  <si>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</si>
  <si>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</si>
  <si>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</si>
  <si>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</si>
  <si>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</si>
  <si>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</si>
  <si>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</si>
  <si>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</si>
  <si>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</si>
  <si>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</si>
  <si>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</si>
  <si>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</si>
  <si>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</si>
  <si>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</si>
  <si>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</si>
  <si>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</si>
  <si>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</si>
  <si>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</si>
  <si>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</si>
  <si>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</si>
  <si>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</si>
  <si>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</si>
  <si>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</si>
  <si>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</si>
  <si>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</si>
  <si>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</si>
  <si>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</si>
  <si>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</si>
  <si>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</si>
  <si>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</si>
  <si>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</si>
  <si>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</si>
  <si>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</si>
  <si>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</si>
  <si>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</si>
  <si>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</si>
  <si>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</si>
  <si>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</si>
  <si>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</si>
  <si>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</si>
  <si>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</si>
  <si>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</si>
  <si>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</si>
  <si>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</si>
  <si>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</si>
  <si>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</si>
  <si>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</si>
  <si>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</si>
  <si>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</si>
  <si>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</si>
  <si>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</si>
  <si>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</si>
  <si>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</si>
  <si>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</si>
  <si>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</si>
  <si>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</si>
  <si>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</si>
  <si>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</si>
  <si>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</si>
  <si>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</si>
  <si>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</si>
  <si>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</si>
  <si>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</si>
  <si>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</si>
  <si>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</si>
  <si>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</si>
  <si>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</si>
  <si>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</si>
  <si>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</si>
  <si>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</si>
  <si>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</si>
  <si>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</si>
  <si>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</si>
  <si>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</si>
  <si>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</si>
  <si>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</si>
  <si>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</si>
  <si>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</si>
  <si>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</si>
  <si>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</si>
  <si>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</si>
  <si>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</si>
  <si>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</si>
  <si>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</si>
  <si>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</si>
  <si>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</si>
  <si>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</si>
  <si>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</si>
  <si>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</si>
  <si>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</si>
  <si>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</si>
  <si>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</si>
  <si>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</si>
  <si>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</si>
  <si>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</si>
  <si>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</si>
  <si>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</si>
  <si>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</si>
  <si>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</si>
  <si>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</si>
  <si>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</si>
  <si>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</si>
  <si>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</si>
  <si>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</si>
  <si>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</si>
  <si>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</si>
  <si>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</si>
  <si>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</si>
  <si>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</si>
  <si>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</si>
  <si>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</si>
  <si>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</si>
  <si>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</si>
  <si>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</si>
  <si>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</si>
  <si>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</si>
  <si>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</si>
  <si>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</si>
  <si>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</si>
  <si>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</si>
  <si>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</si>
  <si>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</si>
  <si>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</si>
  <si>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</si>
  <si>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</si>
  <si>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</si>
  <si>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</si>
  <si>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</si>
  <si>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</si>
  <si>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</si>
  <si>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</si>
  <si>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</si>
  <si>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</si>
  <si>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</si>
  <si>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</si>
  <si>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</si>
  <si>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</si>
  <si>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</si>
  <si>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</si>
  <si>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</si>
  <si>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</si>
  <si>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</si>
  <si>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</si>
  <si>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</si>
  <si>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</si>
  <si>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</si>
  <si>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</si>
  <si>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</si>
  <si>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</si>
  <si>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</si>
  <si>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</si>
  <si>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</si>
  <si>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</si>
  <si>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</si>
  <si>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</si>
  <si>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</si>
  <si>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</si>
  <si>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</si>
  <si>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</si>
  <si>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</si>
  <si>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</si>
  <si>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</si>
  <si>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</si>
  <si>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</si>
  <si>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</si>
  <si>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</si>
  <si>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</si>
  <si>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</si>
  <si>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</si>
  <si>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</si>
  <si>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</si>
  <si>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</si>
  <si>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</si>
  <si>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</si>
  <si>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</si>
  <si>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</si>
  <si>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</si>
  <si>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</si>
  <si>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</si>
  <si>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</si>
  <si>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</si>
  <si>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</si>
  <si>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</si>
  <si>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</si>
  <si>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</si>
  <si>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</si>
  <si>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</si>
  <si>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</si>
  <si>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</si>
  <si>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</si>
  <si>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</si>
  <si>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</si>
  <si>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</si>
  <si>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</si>
  <si>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</si>
  <si>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</si>
  <si>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</si>
  <si>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</si>
  <si>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</si>
  <si>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</si>
  <si>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</si>
  <si>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</si>
  <si>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</si>
  <si>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</si>
  <si>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</si>
  <si>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</si>
  <si>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</si>
  <si>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</si>
  <si>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</si>
  <si>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</si>
  <si>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</si>
  <si>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</si>
  <si>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</si>
  <si>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</si>
  <si>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</si>
  <si>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</si>
  <si>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</si>
  <si>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</si>
  <si>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</si>
  <si>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</si>
  <si>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</si>
  <si>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</si>
  <si>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</si>
  <si>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</si>
  <si>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</si>
  <si>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</si>
  <si>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</si>
  <si>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</si>
  <si>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</si>
  <si>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</si>
  <si>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</si>
  <si>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</si>
  <si>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</si>
  <si>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</si>
  <si>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</si>
  <si>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</si>
  <si>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</si>
  <si>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</si>
  <si>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</si>
  <si>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</si>
  <si>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</si>
  <si>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</si>
  <si>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</si>
  <si>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</si>
  <si>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</si>
  <si>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</si>
  <si>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</si>
  <si>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</si>
  <si>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</si>
  <si>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</si>
  <si>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</si>
  <si>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</si>
  <si>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</si>
  <si>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</si>
  <si>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</si>
  <si>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</si>
  <si>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</si>
  <si>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</si>
  <si>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</si>
  <si>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</si>
  <si>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</si>
  <si>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</si>
  <si>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</si>
  <si>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</si>
  <si>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</si>
  <si>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</si>
  <si>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</si>
  <si>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</si>
  <si>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</si>
  <si>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</si>
  <si>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</si>
  <si>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</si>
  <si>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</si>
  <si>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</si>
  <si>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</si>
  <si>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</si>
  <si>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</si>
  <si>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</si>
  <si>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</si>
  <si>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</si>
  <si>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</si>
  <si>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</si>
  <si>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</si>
  <si>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</si>
  <si>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</si>
  <si>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</si>
  <si>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</si>
  <si>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</si>
  <si>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</si>
  <si>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</si>
  <si>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</si>
  <si>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</si>
  <si>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</si>
  <si>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</si>
  <si>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</si>
  <si>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</si>
  <si>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</si>
  <si>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</si>
  <si>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</si>
  <si>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</si>
  <si>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</si>
  <si>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</si>
  <si>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</si>
  <si>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</si>
  <si>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</si>
  <si>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</si>
  <si>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</si>
  <si>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</si>
  <si>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</si>
  <si>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</si>
  <si>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</si>
  <si>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</si>
  <si>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</si>
  <si>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</si>
  <si>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</si>
  <si>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</si>
  <si>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</si>
  <si>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</si>
  <si>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</si>
  <si>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</si>
  <si>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</si>
  <si>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</si>
  <si>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</si>
  <si>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</si>
  <si>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</si>
  <si>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</si>
  <si>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</si>
  <si>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</si>
  <si>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</si>
  <si>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</si>
  <si>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</si>
  <si>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</si>
  <si>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</si>
  <si>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</si>
  <si>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</si>
  <si>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</si>
  <si>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</si>
  <si>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</si>
  <si>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</si>
  <si>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</si>
  <si>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</si>
  <si>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</si>
  <si>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</si>
  <si>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</si>
  <si>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</si>
  <si>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</si>
  <si>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</si>
  <si>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</si>
  <si>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</si>
  <si>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</si>
  <si>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</si>
  <si>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</si>
  <si>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</si>
  <si>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</si>
  <si>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</si>
  <si>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</si>
  <si>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</si>
  <si>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</si>
  <si>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</si>
  <si>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</si>
  <si>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</si>
  <si>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</si>
  <si>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</si>
  <si>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</si>
  <si>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</si>
  <si>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</si>
  <si>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</si>
  <si>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</si>
  <si>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</si>
  <si>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</si>
  <si>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</si>
  <si>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</si>
  <si>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</si>
  <si>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</si>
  <si>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</si>
  <si>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</si>
  <si>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</si>
  <si>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</si>
  <si>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</si>
  <si>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</si>
  <si>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</si>
  <si>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</si>
  <si>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</si>
  <si>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</si>
  <si>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</si>
  <si>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</si>
  <si>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</si>
  <si>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</si>
  <si>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</si>
  <si>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</si>
  <si>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</si>
  <si>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</si>
  <si>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</si>
  <si>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</si>
  <si>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</si>
  <si>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</si>
  <si>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</si>
  <si>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</si>
  <si>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</si>
  <si>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</si>
  <si>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</si>
  <si>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</si>
  <si>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</si>
  <si>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</si>
  <si>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</si>
  <si>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</si>
  <si>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</si>
  <si>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</si>
  <si>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</si>
  <si>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</si>
  <si>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</si>
  <si>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</si>
  <si>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</si>
  <si>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</si>
  <si>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</si>
  <si>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</si>
  <si>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</si>
  <si>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</si>
  <si>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</si>
  <si>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</si>
  <si>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</si>
  <si>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</si>
  <si>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</si>
  <si>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</si>
  <si>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</si>
  <si>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</si>
  <si>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</si>
  <si>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</si>
  <si>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</si>
  <si>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</si>
  <si>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</si>
  <si>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</si>
  <si>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</si>
  <si>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</si>
  <si>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</si>
  <si>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</si>
  <si>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</si>
  <si>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</si>
  <si>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</si>
  <si>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</si>
  <si>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</si>
  <si>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</si>
  <si>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</si>
  <si>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</si>
  <si>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</si>
  <si>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</si>
  <si>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</si>
  <si>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</si>
  <si>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</si>
  <si>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</si>
  <si>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</si>
  <si>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</si>
  <si>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</si>
  <si>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</si>
  <si>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</si>
  <si>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</si>
  <si>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</si>
  <si>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</si>
  <si>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</si>
  <si>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</si>
  <si>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</si>
  <si>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</si>
  <si>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</si>
  <si>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</si>
  <si>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</si>
  <si>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</si>
  <si>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</si>
  <si>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</si>
  <si>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</si>
  <si>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</si>
  <si>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</si>
  <si>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</si>
  <si>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</si>
  <si>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</si>
  <si>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</si>
  <si>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</si>
  <si>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</si>
  <si>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</si>
  <si>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</si>
  <si>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</si>
  <si>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</si>
  <si>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</si>
  <si>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</si>
  <si>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</si>
  <si>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</si>
  <si>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</si>
  <si>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</si>
  <si>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</si>
  <si>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</si>
  <si>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</si>
  <si>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</si>
  <si>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</si>
  <si>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</si>
  <si>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</si>
  <si>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</si>
  <si>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</si>
  <si>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</si>
  <si>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</si>
  <si>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</si>
  <si>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</si>
  <si>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</si>
  <si>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</si>
  <si>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</si>
  <si>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</si>
  <si>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</si>
  <si>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</si>
  <si>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</si>
  <si>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</si>
  <si>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</si>
  <si>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</si>
  <si>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</si>
  <si>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</si>
  <si>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</si>
  <si>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</si>
  <si>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</si>
  <si>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</si>
  <si>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</si>
  <si>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</si>
  <si>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</si>
  <si>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</si>
  <si>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</si>
  <si>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</si>
  <si>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</si>
  <si>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</si>
  <si>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</si>
  <si>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</si>
  <si>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</si>
  <si>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</si>
  <si>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</si>
  <si>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</si>
  <si>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</si>
  <si>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</si>
  <si>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</si>
  <si>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</si>
  <si>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</si>
  <si>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</si>
  <si>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</si>
  <si>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</si>
  <si>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</si>
  <si>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</si>
  <si>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</si>
  <si>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</si>
  <si>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</si>
  <si>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</si>
  <si>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</si>
  <si>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</si>
  <si>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</si>
  <si>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</si>
  <si>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</si>
  <si>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</si>
  <si>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</si>
  <si>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</si>
  <si>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</si>
  <si>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</si>
  <si>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</si>
  <si>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</si>
  <si>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</si>
  <si>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</si>
  <si>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</si>
  <si>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</si>
  <si>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</si>
  <si>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</si>
  <si>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</si>
  <si>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</si>
  <si>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</si>
  <si>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</si>
  <si>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</si>
  <si>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</si>
  <si>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</si>
  <si>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</si>
  <si>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</si>
  <si>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</si>
  <si>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</si>
  <si>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</si>
  <si>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</si>
  <si>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</si>
  <si>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</si>
  <si>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</si>
  <si>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</si>
  <si>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</si>
  <si>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</si>
  <si>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</si>
  <si>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</si>
  <si>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</si>
  <si>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</si>
  <si>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</si>
  <si>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</si>
  <si>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</si>
  <si>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</si>
  <si>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</si>
  <si>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</si>
  <si>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</si>
  <si>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</si>
  <si>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</si>
  <si>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</si>
  <si>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</si>
  <si>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</si>
  <si>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</si>
  <si>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</si>
  <si>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</si>
  <si>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</si>
  <si>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</si>
  <si>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</si>
  <si>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</si>
  <si>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</si>
  <si>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</si>
  <si>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</si>
  <si>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</si>
  <si>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</si>
  <si>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</si>
  <si>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</si>
  <si>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</si>
  <si>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</si>
  <si>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</si>
  <si>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</si>
  <si>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</si>
  <si>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</si>
  <si>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</si>
  <si>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</si>
  <si>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</si>
  <si>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</si>
  <si>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</si>
  <si>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</si>
  <si>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</si>
  <si>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</si>
  <si>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</si>
  <si>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</si>
  <si>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</si>
  <si>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</si>
  <si>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</si>
  <si>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</si>
  <si>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</si>
  <si>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</si>
  <si>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</si>
  <si>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</si>
  <si>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</si>
  <si>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</si>
  <si>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</si>
  <si>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</si>
  <si>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</si>
  <si>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</si>
  <si>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</si>
  <si>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</si>
  <si>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</si>
  <si>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</si>
  <si>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</si>
  <si>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</si>
  <si>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</si>
  <si>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</si>
  <si>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</si>
  <si>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</si>
  <si>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</si>
  <si>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</si>
  <si>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</si>
  <si>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</si>
  <si>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</si>
  <si>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</si>
  <si>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</si>
  <si>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</si>
  <si>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</si>
  <si>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</si>
  <si>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</si>
  <si>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</si>
  <si>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</si>
  <si>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</si>
  <si>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</si>
  <si>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</si>
  <si>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</si>
  <si>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</si>
  <si>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</si>
  <si>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</si>
  <si>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</si>
  <si>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</si>
  <si>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</si>
  <si>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</si>
  <si>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</si>
  <si>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</si>
  <si>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</si>
  <si>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</si>
  <si>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</si>
  <si>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</si>
  <si>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</si>
  <si>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</si>
  <si>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</si>
  <si>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</si>
  <si>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</si>
  <si>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</si>
  <si>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</si>
  <si>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</si>
  <si>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</si>
  <si>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</si>
  <si>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</si>
  <si>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</si>
  <si>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</si>
  <si>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</si>
  <si>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</si>
  <si>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</si>
  <si>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</si>
  <si>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</si>
  <si>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</si>
  <si>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</si>
  <si>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</si>
  <si>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</si>
  <si>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</si>
  <si>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</si>
  <si>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</si>
  <si>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</si>
  <si>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</si>
  <si>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</si>
  <si>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</si>
  <si>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</si>
  <si>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</si>
  <si>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</si>
  <si>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</si>
  <si>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</si>
  <si>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</si>
  <si>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</si>
  <si>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</si>
  <si>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</si>
  <si>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</si>
  <si>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</si>
  <si>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</si>
  <si>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</si>
  <si>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</si>
  <si>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</si>
  <si>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</si>
  <si>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</si>
  <si>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</si>
  <si>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</si>
  <si>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</si>
  <si>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</si>
  <si>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</si>
  <si>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</si>
  <si>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</si>
  <si>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</si>
  <si>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</si>
  <si>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</si>
  <si>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</si>
  <si>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</si>
  <si>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</si>
  <si>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</si>
  <si>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</si>
  <si>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</si>
  <si>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</si>
  <si>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</si>
  <si>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</si>
  <si>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</si>
  <si>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</si>
  <si>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</si>
  <si>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</si>
  <si>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</si>
  <si>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</si>
  <si>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</si>
  <si>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</si>
  <si>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</si>
  <si>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</si>
  <si>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</si>
  <si>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</si>
  <si>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</si>
  <si>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</si>
  <si>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</si>
  <si>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</si>
  <si>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</si>
  <si>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</si>
  <si>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</si>
  <si>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</si>
  <si>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</si>
  <si>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</si>
  <si>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</si>
  <si>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</si>
  <si>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</si>
  <si>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</si>
  <si>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</si>
  <si>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</si>
  <si>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</si>
  <si>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</si>
  <si>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</si>
  <si>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</si>
  <si>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</si>
  <si>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</si>
  <si>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</si>
  <si>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</si>
  <si>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</si>
  <si>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</si>
  <si>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</si>
  <si>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</si>
  <si>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</si>
  <si>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</si>
  <si>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</si>
  <si>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</si>
  <si>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</si>
  <si>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</si>
  <si>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</si>
  <si>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</si>
  <si>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</si>
  <si>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</si>
  <si>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</si>
  <si>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</si>
  <si>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</si>
  <si>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</si>
  <si>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</si>
  <si>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</si>
  <si>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</si>
  <si>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</si>
  <si>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</si>
  <si>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</si>
  <si>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</si>
  <si>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</si>
  <si>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</si>
  <si>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</si>
  <si>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</si>
  <si>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</si>
  <si>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</si>
  <si>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</si>
  <si>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</si>
  <si>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</si>
  <si>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</si>
  <si>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</si>
  <si>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</si>
  <si>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</si>
  <si>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</si>
  <si>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</si>
  <si>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</si>
  <si>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</si>
  <si>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</si>
  <si>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</si>
  <si>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</si>
  <si>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</si>
  <si>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</si>
  <si>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</si>
  <si>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</si>
  <si>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</si>
  <si>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</si>
  <si>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</si>
  <si>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</si>
  <si>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</si>
  <si>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</si>
  <si>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</si>
  <si>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</si>
  <si>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</si>
  <si>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</si>
  <si>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</si>
  <si>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</si>
  <si>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</si>
  <si>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</si>
  <si>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</si>
  <si>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</si>
  <si>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</si>
  <si>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</si>
  <si>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</si>
  <si>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</si>
  <si>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</si>
  <si>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</si>
  <si>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</si>
  <si>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</si>
  <si>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</si>
  <si>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</si>
  <si>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</si>
  <si>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</si>
  <si>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</si>
  <si>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</si>
  <si>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</si>
  <si>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</si>
  <si>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</si>
  <si>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</si>
  <si>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</si>
  <si>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</si>
  <si>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</si>
  <si>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</si>
  <si>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</si>
  <si>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</si>
  <si>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</si>
  <si>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</si>
  <si>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</si>
  <si>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</si>
  <si>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</si>
  <si>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</si>
  <si>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</si>
  <si>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</si>
  <si>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</si>
  <si>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</si>
  <si>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</si>
  <si>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</si>
  <si>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</si>
  <si>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</si>
  <si>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</si>
  <si>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</si>
  <si>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</si>
  <si>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</si>
  <si>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</si>
  <si>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</si>
  <si>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</si>
  <si>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</si>
  <si>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</si>
  <si>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</si>
  <si>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</si>
  <si>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</si>
  <si>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</si>
  <si>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</si>
  <si>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</si>
  <si>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</si>
  <si>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</si>
  <si>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</si>
  <si>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</si>
  <si>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</si>
  <si>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</si>
  <si>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</si>
  <si>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</si>
  <si>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</si>
  <si>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</si>
  <si>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</si>
  <si>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</si>
  <si>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</si>
  <si>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</si>
  <si>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</si>
  <si>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</si>
  <si>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</si>
  <si>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</si>
  <si>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</si>
  <si>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</si>
  <si>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</si>
  <si>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</si>
  <si>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</si>
  <si>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</si>
  <si>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</si>
  <si>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</si>
  <si>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</si>
  <si>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</si>
  <si>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</si>
  <si>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</si>
  <si>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</si>
  <si>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</si>
  <si>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</si>
  <si>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</si>
  <si>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</si>
  <si>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</si>
  <si>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</si>
  <si>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</si>
  <si>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</si>
  <si>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</si>
  <si>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</si>
  <si>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</si>
  <si>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</si>
  <si>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</si>
  <si>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</si>
  <si>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</si>
  <si>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</si>
  <si>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</si>
  <si>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</si>
  <si>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</si>
  <si>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</si>
  <si>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</si>
  <si>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</si>
  <si>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</si>
  <si>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</si>
  <si>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</si>
  <si>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</si>
  <si>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</si>
  <si>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</si>
  <si>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</si>
  <si>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</si>
  <si>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</si>
  <si>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</si>
  <si>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</si>
  <si>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</si>
  <si>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</si>
  <si>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</si>
  <si>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</si>
  <si>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</si>
  <si>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</si>
  <si>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</si>
  <si>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</si>
  <si>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</si>
  <si>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</si>
  <si>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</si>
  <si>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</si>
  <si>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</si>
  <si>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</si>
  <si>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</si>
  <si>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</si>
  <si>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</si>
  <si>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</si>
  <si>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</si>
  <si>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</si>
  <si>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</si>
  <si>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</si>
  <si>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</si>
  <si>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</si>
  <si>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</si>
  <si>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</si>
  <si>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</si>
  <si>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</si>
  <si>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</si>
  <si>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</si>
  <si>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</si>
  <si>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</si>
  <si>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</si>
  <si>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容积率修正</t>
  </si>
  <si>
    <t>一般</t>
  </si>
  <si>
    <t>好</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</si>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</sst>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28</xdr:row>
      <xdr:rowOff>192174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3273</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708" t="s">
        <v>832</v>
      </c>
      <c r="C54" s="1705" t="s">
        <v>1189</v>
      </c>
    </row>
    <row r="55" spans="1:4">
      <c r="A55" s="3301"/>
      <c r="B55" s="1708" t="s">
        <v>833</v>
      </c>
      <c r="C55" s="1705" t="s">
        <v>1190</v>
      </c>
    </row>
    <row r="56" spans="1:4">
      <c r="A56" s="3301"/>
      <c r="B56" s="1708" t="s">
        <v>834</v>
      </c>
      <c r="C56" s="1705" t="s">
        <v>1194</v>
      </c>
    </row>
    <row r="57" spans="1:4">
      <c r="A57" s="330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10" t="str">
        <f>IF(B10="北京市","北京市",C10)&amp;F10&amp;IF('结果表-车位'!G1="在建","出让国有建设用地使用权及在建建筑物",IF('结果表-车位'!G1="土地","出让国有建设用地使用权",))&amp;B9&amp;"预评估"</f>
        <v>北京市房地产市场价值预评估</v>
      </c>
      <c r="C1" s="3311"/>
      <c r="D1" s="3311"/>
      <c r="E1" s="3311"/>
      <c r="F1" s="3311"/>
      <c r="G1" s="3311"/>
      <c r="H1" s="3311"/>
      <c r="I1" s="3312"/>
      <c r="J1" s="2666"/>
      <c r="K1" s="2561"/>
      <c r="L1" s="2562"/>
      <c r="M1" s="2562"/>
      <c r="N1" s="2563"/>
      <c r="O1" s="1730"/>
      <c r="P1" s="2563"/>
      <c r="Q1" s="2563"/>
      <c r="R1" s="2563"/>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6">
        <v>44617</v>
      </c>
      <c r="C3" s="2567" t="s">
        <v>2855</v>
      </c>
      <c r="D3" s="2566">
        <f>B3</f>
        <v>44617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3127</v>
      </c>
      <c r="C4" s="2569">
        <f ca="1">SUMIF(注册房地产估价师,B4,估价师及机构信息!B3:B24)</f>
        <v>0</v>
      </c>
      <c r="D4" s="2568" t="s">
        <v>3128</v>
      </c>
      <c r="E4" s="2570">
        <f ca="1">SUMIF(注册房地产估价师,D4,估价师及机构信息!B3:B24)</f>
        <v>1119970111</v>
      </c>
      <c r="F4" s="2568"/>
      <c r="G4" s="2570">
        <f>SUMIF(注册房地产估价师,F4,估价师及机构信息!B3:B24)</f>
        <v>0</v>
      </c>
      <c r="H4" s="2568"/>
      <c r="I4" s="2570">
        <f>SUMIF(注册房地产估价师,H4,估价师及机构信息!B3:B24)</f>
        <v>0</v>
      </c>
      <c r="J4" s="2634"/>
      <c r="K4" s="2571" t="str">
        <f ca="1">CONCATENATE(B4,"（注册号：",C4,")、",D4,"（注册号：",E4,")")</f>
        <v>陈颖（注册号：0)、叶凌（注册号：1119970111)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3129</v>
      </c>
      <c r="C8" s="2583"/>
      <c r="D8" s="3313" t="s">
        <v>2861</v>
      </c>
      <c r="E8" s="2584"/>
      <c r="F8" s="2585"/>
      <c r="G8" s="2859"/>
      <c r="H8" s="2859"/>
      <c r="I8" s="2859"/>
      <c r="J8" s="2634"/>
      <c r="K8" s="2809"/>
      <c r="L8" s="2808"/>
      <c r="M8" s="2808"/>
      <c r="N8" s="2634"/>
      <c r="O8" s="2645"/>
      <c r="P8" s="2634"/>
      <c r="Q8" s="2634"/>
      <c r="R8" s="2634"/>
    </row>
    <row r="9" spans="1:28" ht="13.5" thickBot="1">
      <c r="A9" s="2586" t="s">
        <v>2862</v>
      </c>
      <c r="B9" s="2587" t="s">
        <v>3130</v>
      </c>
      <c r="C9" s="2588"/>
      <c r="D9" s="3314"/>
      <c r="E9" s="2587"/>
      <c r="F9" s="2589"/>
      <c r="G9" s="2861"/>
      <c r="H9" s="2861"/>
      <c r="I9" s="2861"/>
      <c r="J9" s="2634"/>
      <c r="K9" s="2811"/>
      <c r="L9" s="2808"/>
      <c r="M9" s="2808"/>
      <c r="N9" s="2634"/>
      <c r="O9" s="2645"/>
      <c r="P9" s="2634"/>
      <c r="Q9" s="2634"/>
      <c r="R9" s="2634"/>
    </row>
    <row r="10" spans="1:28" ht="13.5" thickTop="1">
      <c r="A10" s="2590" t="s">
        <v>2863</v>
      </c>
      <c r="B10" s="2591" t="s">
        <v>3131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3132</v>
      </c>
      <c r="C11" s="2596"/>
      <c r="D11" s="2597"/>
      <c r="E11" s="2563"/>
      <c r="F11" s="2563"/>
      <c r="G11" s="2563"/>
      <c r="H11" s="2563"/>
      <c r="I11" s="2563"/>
      <c r="J11" s="2634"/>
      <c r="K11" s="2811"/>
      <c r="L11" s="2808"/>
      <c r="M11" s="2808"/>
      <c r="N11" s="2634"/>
      <c r="O11" s="2645"/>
      <c r="P11" s="2634"/>
      <c r="Q11" s="2634"/>
      <c r="R11" s="2634"/>
    </row>
    <row r="12" spans="1:28">
      <c r="A12" s="2598" t="s">
        <v>2866</v>
      </c>
      <c r="B12" s="2595" t="s">
        <v>3133</v>
      </c>
      <c r="C12" s="328"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2"/>
      <c r="B13" s="2600"/>
      <c r="C13" s="2601" t="s">
        <v>2874</v>
      </c>
      <c r="D13" s="964">
        <v>69899</v>
      </c>
      <c r="E13" s="964"/>
      <c r="F13" s="964"/>
      <c r="G13" s="964">
        <v>62594</v>
      </c>
      <c r="H13" s="964">
        <f>G13</f>
        <v>62594</v>
      </c>
      <c r="I13" s="964"/>
      <c r="J13" s="2634"/>
      <c r="K13" s="2811"/>
      <c r="L13" s="2808"/>
      <c r="M13" s="2808"/>
      <c r="N13" s="2634"/>
      <c r="O13" s="2645"/>
      <c r="P13" s="2634"/>
      <c r="Q13" s="2634"/>
      <c r="R13" s="2634"/>
    </row>
    <row r="14" spans="1:28">
      <c r="A14" s="1212"/>
      <c r="B14" s="2600"/>
      <c r="C14" s="2601" t="s">
        <v>2875</v>
      </c>
      <c r="D14" s="2602">
        <v>70</v>
      </c>
      <c r="E14" s="2602">
        <v>40</v>
      </c>
      <c r="F14" s="2602">
        <v>50</v>
      </c>
      <c r="G14" s="2602">
        <v>50</v>
      </c>
      <c r="H14" s="2602">
        <v>50</v>
      </c>
      <c r="I14" s="2602">
        <v>50</v>
      </c>
      <c r="J14" s="2634"/>
      <c r="K14" s="2812"/>
      <c r="L14" s="2808"/>
      <c r="M14" s="2808"/>
      <c r="N14" s="2634"/>
      <c r="O14" s="2645"/>
      <c r="P14" s="2634"/>
      <c r="Q14" s="2634"/>
      <c r="R14" s="2634"/>
    </row>
    <row r="15" spans="1:28">
      <c r="A15" s="325"/>
      <c r="B15" s="2603"/>
      <c r="C15" s="2604" t="s">
        <v>2876</v>
      </c>
      <c r="D15" s="2605">
        <f>IF(B12="出让",IF(D13="","",ROUNDDOWN(MIN((D13-$D$3)/365,D14),2)),D14)</f>
        <v>69.260000000000005</v>
      </c>
      <c r="E15" s="2605" t="str">
        <f>IF(B12="出让",IF(E13="","",ROUNDDOWN(MIN((E13-$D$3)/365,E14),2)),E14)</f>
        <v/>
      </c>
      <c r="F15" s="2605" t="str">
        <f>IF(B12="出让",IF(F13="","",ROUNDDOWN(MIN((F13-$D$3)/365,F14),2)),F14)</f>
        <v/>
      </c>
      <c r="G15" s="2605">
        <f>IF(B12="出让",IF(G13="","",ROUNDDOWN(MIN((G13-$D$3)/365,G14),2)),G14)</f>
        <v>49.25</v>
      </c>
      <c r="H15" s="2605">
        <f>IF(B12="出让",IF(H13="","",ROUNDDOWN(MIN((H13-$D$3)/365,H14),2)),H14)</f>
        <v>49.25</v>
      </c>
      <c r="I15" s="2605" t="str">
        <f>IF(B12="出让",IF(I13="","",ROUNDDOWN(MIN((I13-$D$3)/365,I14),2)),I14)</f>
        <v/>
      </c>
      <c r="J15" s="2634"/>
      <c r="K15" s="2813"/>
      <c r="L15" s="2646"/>
      <c r="M15" s="2646"/>
      <c r="N15" s="2704"/>
      <c r="O15" s="2646"/>
      <c r="P15" s="2704"/>
      <c r="Q15" s="2634"/>
      <c r="R15" s="2634"/>
    </row>
    <row r="16" spans="1:28">
      <c r="A16" s="2593" t="s">
        <v>2877</v>
      </c>
      <c r="B16" s="3320"/>
      <c r="C16" s="3321"/>
      <c r="D16" s="3322"/>
      <c r="E16" s="2608" t="s">
        <v>2878</v>
      </c>
      <c r="F16" s="3323"/>
      <c r="G16" s="3324"/>
      <c r="H16" s="3324"/>
      <c r="I16" s="3325"/>
      <c r="J16" s="2634"/>
      <c r="K16" s="2813"/>
      <c r="L16" s="2646"/>
      <c r="M16" s="2646"/>
      <c r="N16" s="2704"/>
      <c r="O16" s="2646"/>
      <c r="P16" s="2704"/>
      <c r="Q16" s="2634"/>
      <c r="R16" s="2634"/>
    </row>
    <row r="17" spans="1:28">
      <c r="A17" s="318" t="s">
        <v>2879</v>
      </c>
      <c r="B17" s="307" t="s">
        <v>2880</v>
      </c>
      <c r="C17" s="11">
        <f>'数据-汇总表'!E3</f>
        <v>20815.18</v>
      </c>
      <c r="D17" s="2514" t="s">
        <v>2881</v>
      </c>
      <c r="E17" s="3326" t="s">
        <v>2882</v>
      </c>
      <c r="F17" s="3327"/>
      <c r="G17" s="3327"/>
      <c r="H17" s="3327"/>
      <c r="I17" s="3328"/>
      <c r="J17" s="2634"/>
      <c r="K17" s="2814"/>
      <c r="L17" s="2646"/>
      <c r="M17" s="2646"/>
      <c r="N17" s="2704"/>
      <c r="O17" s="2646"/>
      <c r="P17" s="2704"/>
      <c r="Q17" s="2634"/>
      <c r="R17" s="2634"/>
      <c r="S17" s="2634"/>
      <c r="T17" s="2634"/>
      <c r="U17" s="2634"/>
      <c r="V17" s="2634"/>
    </row>
    <row r="18" spans="1:28" ht="24.75" thickBot="1">
      <c r="A18" s="2609" t="s">
        <v>2883</v>
      </c>
      <c r="B18" s="1221" t="s">
        <v>2884</v>
      </c>
      <c r="C18" s="2610">
        <f>'数据-汇总表'!D3</f>
        <v>10785.07</v>
      </c>
      <c r="D18" s="1223" t="s">
        <v>2885</v>
      </c>
      <c r="E18" s="3329" t="s">
        <v>2886</v>
      </c>
      <c r="F18" s="3330"/>
      <c r="G18" s="3330"/>
      <c r="H18" s="3330"/>
      <c r="I18" s="3331"/>
      <c r="J18" s="2634"/>
      <c r="K18" s="2814"/>
      <c r="L18" s="2646"/>
      <c r="M18" s="2646"/>
      <c r="N18" s="2704"/>
      <c r="O18" s="2646"/>
      <c r="P18" s="2704"/>
      <c r="Q18" s="2634"/>
      <c r="R18" s="2634"/>
      <c r="S18" s="2634"/>
      <c r="T18" s="2634"/>
      <c r="U18" s="2634"/>
      <c r="V18" s="2634"/>
    </row>
    <row r="19" spans="1:28" ht="37.5" thickTop="1" thickBot="1">
      <c r="A19" s="332" t="s">
        <v>1681</v>
      </c>
      <c r="B19" s="312"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16" t="s">
        <v>2890</v>
      </c>
      <c r="C20" s="3317"/>
      <c r="D20" s="3318" t="s">
        <v>2891</v>
      </c>
      <c r="E20" s="3319"/>
      <c r="F20" s="2843" t="s">
        <v>1682</v>
      </c>
      <c r="G20" s="2860"/>
      <c r="H20" s="2860"/>
      <c r="I20" s="2860"/>
      <c r="J20" s="2634"/>
      <c r="K20" s="3315"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1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15"/>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3" t="s">
        <v>2898</v>
      </c>
      <c r="B27" s="325"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3"/>
      <c r="B28" s="307"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3"/>
      <c r="B29" s="307"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4"/>
      <c r="B30" s="307" t="s">
        <v>2902</v>
      </c>
      <c r="C30" s="3305"/>
      <c r="D30" s="3306"/>
      <c r="E30" s="2860"/>
      <c r="F30" s="2860"/>
      <c r="G30" s="2860"/>
      <c r="H30" s="2860"/>
      <c r="I30" s="2860"/>
      <c r="J30" s="2634"/>
      <c r="K30" s="2811"/>
      <c r="L30" s="2808"/>
      <c r="M30" s="2808"/>
      <c r="N30" s="2634"/>
      <c r="O30" s="2645"/>
      <c r="P30" s="2634"/>
      <c r="Q30" s="2634"/>
      <c r="R30" s="2634"/>
      <c r="S30" s="2634"/>
      <c r="T30" s="2634"/>
      <c r="U30" s="2634"/>
      <c r="V30" s="2634"/>
    </row>
    <row r="31" spans="1:28">
      <c r="A31" s="3307"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8"/>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8"/>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2904</v>
      </c>
      <c r="B34" s="2183"/>
      <c r="C34" s="2183"/>
      <c r="D34" s="2183"/>
      <c r="E34" s="2183"/>
      <c r="F34" s="2183"/>
      <c r="G34" s="2183"/>
      <c r="H34" s="2183"/>
      <c r="I34" s="2860"/>
      <c r="J34" s="2634"/>
      <c r="K34" s="2622">
        <f>COUNTIF(B34:H34,"——")</f>
        <v>0</v>
      </c>
      <c r="L34" s="328" t="s">
        <v>2905</v>
      </c>
      <c r="M34" s="328" t="s">
        <v>2906</v>
      </c>
      <c r="N34" s="328" t="s">
        <v>2907</v>
      </c>
      <c r="O34" s="328" t="s">
        <v>2908</v>
      </c>
      <c r="P34" s="328" t="s">
        <v>2909</v>
      </c>
      <c r="Q34" s="328" t="s">
        <v>2910</v>
      </c>
      <c r="R34" s="328" t="s">
        <v>2911</v>
      </c>
      <c r="S34" s="3302" t="s">
        <v>2912</v>
      </c>
      <c r="T34" s="2623" t="str">
        <f>NUMBERSTRING(7-K34,1)&amp;"通"</f>
        <v>七通</v>
      </c>
      <c r="U34" s="2634"/>
      <c r="V34" s="2634"/>
    </row>
    <row r="35" spans="1:30">
      <c r="A35" s="2624"/>
      <c r="B35" s="3309" t="s">
        <v>2913</v>
      </c>
      <c r="C35" s="3309"/>
      <c r="D35" s="3309"/>
      <c r="E35" s="3309"/>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2"/>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t="s">
        <v>526</v>
      </c>
      <c r="C37" s="2626" t="s">
        <v>526</v>
      </c>
      <c r="D37" s="2626" t="s">
        <v>526</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t="s">
        <v>396</v>
      </c>
      <c r="C38" s="2627" t="s">
        <v>396</v>
      </c>
      <c r="D38" s="2627" t="s">
        <v>396</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3" t="s">
        <v>1757</v>
      </c>
      <c r="B2" s="3343"/>
      <c r="C2" s="3343"/>
      <c r="D2" s="903" t="s">
        <v>1733</v>
      </c>
      <c r="E2" s="1793" t="s">
        <v>1734</v>
      </c>
      <c r="F2" s="2855"/>
      <c r="G2" s="2846"/>
      <c r="H2" s="2847"/>
      <c r="I2" s="2517" t="s">
        <v>1758</v>
      </c>
      <c r="J2" s="2855"/>
      <c r="K2" s="2855"/>
      <c r="L2" s="2855"/>
      <c r="M2" s="2855"/>
      <c r="N2" s="2857"/>
      <c r="O2" s="2855"/>
      <c r="P2" s="2855"/>
    </row>
    <row r="3" spans="1:16" ht="15.75" thickBot="1">
      <c r="A3" s="3344" t="s">
        <v>1731</v>
      </c>
      <c r="B3" s="3344"/>
      <c r="C3" s="3344"/>
      <c r="D3" s="46">
        <f>'数据-基础表'!AY6</f>
        <v>10785.07</v>
      </c>
      <c r="E3" s="46">
        <f>'数据-基础表'!AZ5</f>
        <v>20815.18</v>
      </c>
      <c r="F3" s="2855"/>
      <c r="G3" s="1278"/>
      <c r="H3" s="1156" t="s">
        <v>1732</v>
      </c>
      <c r="I3" s="963">
        <f>ROUND('数据-基础表'!B3/'数据-基础表'!A3,2)</f>
        <v>1.93</v>
      </c>
      <c r="J3" s="2855"/>
      <c r="K3" s="2855"/>
      <c r="L3" s="2855"/>
      <c r="M3" s="2855"/>
      <c r="N3" s="2857"/>
      <c r="O3" s="2855"/>
      <c r="P3" s="2855"/>
    </row>
    <row r="4" spans="1:16" ht="15">
      <c r="A4" s="3345"/>
      <c r="B4" s="3346"/>
      <c r="C4" s="3347"/>
      <c r="D4" s="1795" t="s">
        <v>1733</v>
      </c>
      <c r="E4" s="1796" t="s">
        <v>1734</v>
      </c>
      <c r="F4" s="2855"/>
      <c r="G4" s="2848" t="s">
        <v>1759</v>
      </c>
      <c r="H4" s="1156" t="s">
        <v>1739</v>
      </c>
      <c r="I4" s="963">
        <f>ROUND(SUMIF('数据-基础表'!I9:AS9,"地上",'数据-基础表'!I5:AS5)/'数据-基础表'!A3,2)</f>
        <v>0</v>
      </c>
      <c r="J4" s="2855"/>
      <c r="K4" s="2855"/>
      <c r="L4" s="2855"/>
      <c r="M4" s="2855"/>
      <c r="N4" s="2857"/>
      <c r="O4" s="2855"/>
      <c r="P4" s="2855"/>
    </row>
    <row r="5" spans="1:16">
      <c r="A5" s="47" t="s">
        <v>1735</v>
      </c>
      <c r="B5" s="3348" t="s">
        <v>1736</v>
      </c>
      <c r="C5" s="3348"/>
      <c r="D5" s="48">
        <f>ROUND($D$3*E5/$E$3,2)</f>
        <v>0</v>
      </c>
      <c r="E5" s="49">
        <f>SUMIF('数据-基础表'!$11:$11,"住宅",'数据-基础表'!$5:$5)</f>
        <v>0</v>
      </c>
      <c r="F5" s="2855"/>
      <c r="G5" s="1278"/>
      <c r="H5" s="1156" t="s">
        <v>1732</v>
      </c>
      <c r="I5" s="963">
        <f>ROUND(E31/D31,2)</f>
        <v>1.93</v>
      </c>
      <c r="J5" s="2855"/>
      <c r="K5" s="2855"/>
      <c r="L5" s="2855"/>
      <c r="M5" s="2855"/>
      <c r="N5" s="2855"/>
      <c r="O5" s="2855"/>
      <c r="P5" s="2855"/>
    </row>
    <row r="6" spans="1:16" ht="15" thickBot="1">
      <c r="A6" s="1798"/>
      <c r="B6" s="3348" t="s">
        <v>1737</v>
      </c>
      <c r="C6" s="3348"/>
      <c r="D6" s="48">
        <f>ROUND($D$3*E6/$E$3,2)</f>
        <v>10785.07</v>
      </c>
      <c r="E6" s="49">
        <f>E3-E5</f>
        <v>20815.18</v>
      </c>
      <c r="F6" s="2855"/>
      <c r="G6" s="2849" t="s">
        <v>1738</v>
      </c>
      <c r="H6" s="1279" t="s">
        <v>1739</v>
      </c>
      <c r="I6" s="2850">
        <f>ROUND(F31/D31,2)</f>
        <v>0</v>
      </c>
      <c r="J6" s="2855"/>
      <c r="K6" s="2855"/>
      <c r="L6" s="2855"/>
      <c r="M6" s="2855"/>
      <c r="N6" s="2855"/>
      <c r="O6" s="2855"/>
      <c r="P6" s="2855"/>
    </row>
    <row r="7" spans="1:16" ht="15.75" thickBot="1">
      <c r="A7" s="3340"/>
      <c r="B7" s="3341"/>
      <c r="C7" s="3342"/>
      <c r="D7" s="1795" t="s">
        <v>1733</v>
      </c>
      <c r="E7" s="1799" t="s">
        <v>1740</v>
      </c>
      <c r="F7" s="2855"/>
      <c r="G7" s="2851" t="s">
        <v>1741</v>
      </c>
      <c r="H7" s="2852"/>
      <c r="I7" s="2853">
        <v>1.93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4681.33</v>
      </c>
      <c r="E12" s="51">
        <f>SUMPRODUCT(('数据-基础表'!BB10:BK10="地下")*('数据-基础表'!BB11:BK11="仓储")*('数据-基础表'!BB5:BK5))</f>
        <v>9034.9699999999993</v>
      </c>
      <c r="F12" s="2855"/>
      <c r="G12" s="2856"/>
      <c r="H12" s="2856"/>
      <c r="I12" s="2855"/>
      <c r="J12" s="2855"/>
      <c r="K12" s="2855"/>
      <c r="L12" s="2855"/>
      <c r="M12" s="2855"/>
      <c r="N12" s="2855"/>
      <c r="O12" s="2855"/>
      <c r="P12" s="2855"/>
    </row>
    <row r="13" spans="1:16">
      <c r="A13" s="1800"/>
      <c r="B13" s="1801"/>
      <c r="C13" s="48" t="s">
        <v>1748</v>
      </c>
      <c r="D13" s="48">
        <f t="shared" si="0"/>
        <v>6103.74</v>
      </c>
      <c r="E13" s="51">
        <f>SUMPRODUCT(('数据-基础表'!BB10:BK10="地下")*('数据-基础表'!BB11:BK11="车库")*('数据-基础表'!BB5:BK5))</f>
        <v>11780.21</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10785.07</v>
      </c>
      <c r="E16" s="53">
        <f>SUM(E8:E15)</f>
        <v>20815.18</v>
      </c>
      <c r="F16" s="2855"/>
      <c r="G16" s="2856"/>
      <c r="H16" s="1802" t="s">
        <v>1761</v>
      </c>
      <c r="I16" s="1803"/>
      <c r="J16" s="1272"/>
      <c r="K16" s="3337" t="s">
        <v>1761</v>
      </c>
      <c r="L16" s="3338"/>
      <c r="M16" s="3338"/>
      <c r="N16" s="3338"/>
      <c r="O16" s="3338"/>
      <c r="P16" s="3339"/>
    </row>
    <row r="17" spans="1:19" ht="15">
      <c r="A17" s="1804" t="s">
        <v>1762</v>
      </c>
      <c r="B17" s="1805" t="s">
        <v>1763</v>
      </c>
      <c r="C17" s="1806" t="s">
        <v>1764</v>
      </c>
      <c r="D17" s="1807" t="s">
        <v>1752</v>
      </c>
      <c r="E17" s="1808" t="s">
        <v>1753</v>
      </c>
      <c r="F17" s="1809"/>
      <c r="G17" s="1810"/>
      <c r="H17" s="1811" t="s">
        <v>1765</v>
      </c>
      <c r="I17" s="1812" t="s">
        <v>1750</v>
      </c>
      <c r="J17" s="1272"/>
      <c r="K17" s="3334" t="s">
        <v>1766</v>
      </c>
      <c r="L17" s="3335"/>
      <c r="M17" s="3336"/>
      <c r="N17" s="3334" t="s">
        <v>1767</v>
      </c>
      <c r="O17" s="3335"/>
      <c r="P17" s="3336"/>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30" t="s">
        <v>3138</v>
      </c>
      <c r="D19" s="48">
        <f>ROUND($D$3*E19/$E$3,2)</f>
        <v>6103.74</v>
      </c>
      <c r="E19" s="56">
        <f t="shared" ref="E19:E26" si="1">SUM(F19:G19)</f>
        <v>11780.21</v>
      </c>
      <c r="F19" s="2995"/>
      <c r="G19" s="2996">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30" t="s">
        <v>3139</v>
      </c>
      <c r="D20" s="48">
        <f t="shared" ref="D20:D26" si="6">ROUND($D$3*E20/$E$3,2)</f>
        <v>4681.33</v>
      </c>
      <c r="E20" s="56">
        <f t="shared" si="1"/>
        <v>9034.9699999999993</v>
      </c>
      <c r="F20" s="2995"/>
      <c r="G20" s="2996">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10785.07</v>
      </c>
      <c r="E31" s="684">
        <f>E27+E30</f>
        <v>20815.18</v>
      </c>
      <c r="F31" s="685">
        <f>F27+F30</f>
        <v>0</v>
      </c>
      <c r="G31" s="686">
        <f>G27+G30</f>
        <v>20815.18</v>
      </c>
      <c r="H31" s="2855"/>
      <c r="I31" s="2855"/>
      <c r="J31" s="2855"/>
      <c r="K31" s="2855"/>
      <c r="L31" s="2855"/>
      <c r="M31" s="2855"/>
      <c r="N31" s="2855"/>
      <c r="O31" s="2855"/>
      <c r="P31" s="2855"/>
    </row>
    <row r="32" spans="1:19">
      <c r="A32" s="1797"/>
      <c r="B32" s="1797" t="s">
        <v>1785</v>
      </c>
      <c r="C32" s="1797"/>
      <c r="D32" s="1797"/>
      <c r="E32" s="1183">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0.04</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800</v>
      </c>
      <c r="V6" s="75">
        <v>1.4999999999999999E-2</v>
      </c>
      <c r="W6" s="75">
        <v>0.05</v>
      </c>
      <c r="X6" s="1170"/>
      <c r="Y6" s="76">
        <v>1</v>
      </c>
      <c r="Z6" s="77"/>
      <c r="AA6" s="70"/>
      <c r="AB6" s="70"/>
      <c r="AC6" s="1170"/>
      <c r="AD6" s="78"/>
      <c r="AE6" s="3251">
        <f>F6</f>
        <v>49.25</v>
      </c>
      <c r="AF6" s="1501"/>
      <c r="AG6" s="143">
        <f>IF(AF6="",0,AE6-AF6)</f>
        <v>0</v>
      </c>
      <c r="AH6" s="79">
        <v>272</v>
      </c>
      <c r="AI6" s="81">
        <v>12</v>
      </c>
      <c r="AJ6" s="82"/>
      <c r="AK6" s="83">
        <v>0.01</v>
      </c>
      <c r="AL6" s="84">
        <v>1E-3</v>
      </c>
      <c r="AM6" s="85">
        <v>0.01</v>
      </c>
      <c r="AN6" s="1870" t="s">
        <v>3144</v>
      </c>
      <c r="AO6" s="55">
        <f ca="1">SUMIF(INDIRECT("'"&amp;AN6&amp;"'"&amp;"!A:A"),"总价",INDIRECT("'"&amp;AN6&amp;"'"&amp;"!B:B"))</f>
        <v>3492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0.04</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1">
        <f>AE6</f>
        <v>49.25</v>
      </c>
      <c r="AF7" s="1501"/>
      <c r="AG7" s="143">
        <f t="shared" ref="AG7:AG13" si="6">IF(AF7="",0,AE7-AF7)</f>
        <v>0</v>
      </c>
      <c r="AH7" s="79">
        <f>面积表!J19</f>
        <v>9034.9699999999993</v>
      </c>
      <c r="AI7" s="81">
        <v>365</v>
      </c>
      <c r="AJ7" s="82"/>
      <c r="AK7" s="83">
        <v>0.01</v>
      </c>
      <c r="AL7" s="84">
        <v>1E-3</v>
      </c>
      <c r="AM7" s="85">
        <v>0.01</v>
      </c>
      <c r="AN7" s="1870" t="s">
        <v>3142</v>
      </c>
      <c r="AO7" s="55">
        <f t="shared" ref="AO7:AO13" ca="1" si="7">SUMIF(INDIRECT("'"&amp;AN7&amp;"'"&amp;"!A:A"),"总价",INDIRECT("'"&amp;AN7&amp;"'"&amp;"!B:B"))</f>
        <v>4274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2999</v>
      </c>
      <c r="B40" s="1209">
        <v>4.7500000000000001E-2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49" t="s">
        <v>2970</v>
      </c>
      <c r="B1" s="3350"/>
      <c r="C1" s="3350"/>
      <c r="D1" s="3350"/>
      <c r="E1" s="3350"/>
      <c r="F1" s="3350"/>
      <c r="G1" s="335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6"/>
      <c r="I2" s="906"/>
      <c r="J2" s="906"/>
      <c r="K2" s="906"/>
      <c r="L2" s="906"/>
      <c r="M2" s="906"/>
      <c r="N2" s="906"/>
      <c r="O2" s="906"/>
      <c r="P2" s="906"/>
      <c r="Q2" s="906"/>
      <c r="R2" s="906"/>
    </row>
    <row r="3" spans="1:29" ht="48">
      <c r="A3" s="2636" t="s">
        <v>2967</v>
      </c>
      <c r="B3" s="2658" t="s">
        <v>2936</v>
      </c>
      <c r="C3" s="2659" t="s">
        <v>2968</v>
      </c>
      <c r="D3" s="2660"/>
      <c r="E3" s="2637" t="s">
        <v>2967</v>
      </c>
      <c r="F3" s="2661" t="s">
        <v>2937</v>
      </c>
      <c r="G3" s="2662" t="s">
        <v>2969</v>
      </c>
      <c r="H3" s="906"/>
      <c r="I3" s="906"/>
      <c r="J3" s="906"/>
      <c r="K3" s="906"/>
      <c r="L3" s="906"/>
      <c r="M3" s="906"/>
      <c r="N3" s="906"/>
      <c r="O3" s="906"/>
      <c r="P3" s="906"/>
      <c r="Q3" s="906"/>
      <c r="R3" s="906"/>
    </row>
    <row r="4" spans="1:29" ht="36.75">
      <c r="A4" s="2637"/>
      <c r="B4" s="328" t="s">
        <v>2938</v>
      </c>
      <c r="C4" s="2663" t="s">
        <v>2939</v>
      </c>
      <c r="D4" s="2660"/>
      <c r="E4" s="2664"/>
      <c r="F4" s="1526" t="s">
        <v>2940</v>
      </c>
      <c r="G4" s="2665" t="s">
        <v>2941</v>
      </c>
      <c r="H4" s="906"/>
      <c r="I4" s="906"/>
      <c r="J4" s="906"/>
      <c r="K4" s="906"/>
      <c r="L4" s="906"/>
      <c r="M4" s="906"/>
      <c r="N4" s="906"/>
      <c r="O4" s="906"/>
      <c r="P4" s="906"/>
      <c r="Q4" s="906"/>
      <c r="R4" s="906"/>
    </row>
    <row r="5" spans="1:29" ht="36.75">
      <c r="A5" s="2637"/>
      <c r="B5" s="328" t="s">
        <v>2942</v>
      </c>
      <c r="C5" s="2663" t="s">
        <v>2943</v>
      </c>
      <c r="D5" s="2660"/>
      <c r="E5" s="2664"/>
      <c r="F5" s="328" t="s">
        <v>2944</v>
      </c>
      <c r="G5" s="2665" t="s">
        <v>2945</v>
      </c>
      <c r="H5" s="906"/>
      <c r="I5" s="906"/>
      <c r="J5" s="906"/>
      <c r="K5" s="906"/>
      <c r="L5" s="906"/>
      <c r="M5" s="906"/>
      <c r="N5" s="906"/>
      <c r="O5" s="906"/>
      <c r="P5" s="906"/>
      <c r="Q5" s="906"/>
      <c r="R5" s="906"/>
    </row>
    <row r="6" spans="1:29" ht="36">
      <c r="A6" s="2637"/>
      <c r="B6" s="328" t="s">
        <v>2946</v>
      </c>
      <c r="C6" s="2665" t="s">
        <v>2941</v>
      </c>
      <c r="D6" s="2660"/>
      <c r="E6" s="2664"/>
      <c r="F6" s="328" t="s">
        <v>2947</v>
      </c>
      <c r="G6" s="2665" t="s">
        <v>2948</v>
      </c>
      <c r="H6" s="906"/>
      <c r="I6" s="906"/>
      <c r="J6" s="906"/>
      <c r="K6" s="906"/>
      <c r="L6" s="906"/>
      <c r="M6" s="906"/>
      <c r="N6" s="906"/>
      <c r="O6" s="906"/>
      <c r="P6" s="906"/>
      <c r="Q6" s="906"/>
      <c r="R6" s="906"/>
    </row>
    <row r="7" spans="1:29" ht="24.75" thickBot="1">
      <c r="A7" s="2637"/>
      <c r="B7" s="328" t="s">
        <v>2944</v>
      </c>
      <c r="C7" s="2665" t="s">
        <v>2945</v>
      </c>
      <c r="D7" s="2666"/>
      <c r="E7" s="2667"/>
      <c r="F7" s="2668" t="s">
        <v>2949</v>
      </c>
      <c r="G7" s="2669" t="s">
        <v>2950</v>
      </c>
      <c r="H7" s="906"/>
      <c r="I7" s="906"/>
      <c r="J7" s="906"/>
      <c r="K7" s="906"/>
      <c r="L7" s="906"/>
      <c r="M7" s="906"/>
      <c r="N7" s="906"/>
      <c r="O7" s="906"/>
      <c r="P7" s="906"/>
      <c r="Q7" s="906"/>
      <c r="R7" s="906"/>
    </row>
    <row r="8" spans="1:29">
      <c r="A8" s="2637"/>
      <c r="B8" s="328" t="s">
        <v>2947</v>
      </c>
      <c r="C8" s="2665" t="s">
        <v>2948</v>
      </c>
      <c r="D8" s="2666"/>
      <c r="E8" s="2666"/>
      <c r="F8" s="2670"/>
      <c r="G8" s="2670"/>
      <c r="H8" s="906"/>
      <c r="I8" s="906"/>
      <c r="J8" s="906"/>
      <c r="K8" s="906"/>
      <c r="L8" s="906"/>
      <c r="M8" s="906"/>
      <c r="N8" s="906"/>
      <c r="O8" s="906"/>
      <c r="P8" s="906"/>
      <c r="Q8" s="906"/>
      <c r="R8" s="906"/>
    </row>
    <row r="9" spans="1:29" ht="24">
      <c r="A9" s="2637"/>
      <c r="B9" s="328" t="s">
        <v>2951</v>
      </c>
      <c r="C9" s="2663" t="s">
        <v>2952</v>
      </c>
      <c r="D9" s="2660"/>
      <c r="E9" s="2666"/>
      <c r="F9" s="2670"/>
      <c r="G9" s="2670"/>
      <c r="H9" s="906"/>
      <c r="I9" s="906"/>
      <c r="J9" s="906"/>
      <c r="K9" s="906"/>
      <c r="L9" s="906"/>
      <c r="M9" s="906"/>
      <c r="N9" s="906"/>
      <c r="O9" s="906"/>
      <c r="P9" s="906"/>
      <c r="Q9" s="906"/>
      <c r="R9" s="906"/>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8"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8" t="s">
        <v>2947</v>
      </c>
      <c r="G20" s="2698" t="str">
        <f>G6</f>
        <v>估价对象所在区域基础设施水平</v>
      </c>
    </row>
    <row r="21" spans="1:18" ht="25.5">
      <c r="A21" s="2641"/>
      <c r="B21" s="328" t="s">
        <v>2944</v>
      </c>
      <c r="C21" s="2698" t="str">
        <f>C7</f>
        <v>估价对象所在区域公共配套设施齐备情况</v>
      </c>
      <c r="D21" s="2660"/>
      <c r="E21" s="2642"/>
      <c r="F21" s="2697" t="s">
        <v>2962</v>
      </c>
      <c r="G21" s="2700"/>
    </row>
    <row r="22" spans="1:18" ht="13.5" customHeight="1">
      <c r="A22" s="2641"/>
      <c r="B22" s="328" t="s">
        <v>2947</v>
      </c>
      <c r="C22" s="2698" t="str">
        <f>C8</f>
        <v>估价对象所在区域基础设施水平</v>
      </c>
      <c r="D22" s="2660"/>
      <c r="E22" s="2642"/>
      <c r="F22" s="2697" t="s">
        <v>2953</v>
      </c>
      <c r="G22" s="2699"/>
    </row>
    <row r="23" spans="1:18" s="906"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6"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0"/>
  <sheetViews>
    <sheetView workbookViewId="0">
      <selection activeCell="I23" sqref="I23"/>
    </sheetView>
  </sheetViews>
  <sheetFormatPr defaultColWidth="11.875" defaultRowHeight="16.5"/>
  <cols>
    <col min="1" max="1" width="15.625" style="3241" customWidth="1"/>
    <col min="2" max="2" width="10.5" style="3241" customWidth="1"/>
    <col min="3" max="3" width="9.875" style="3241" customWidth="1"/>
    <col min="4" max="4" width="11.5" style="3241" customWidth="1"/>
    <col min="5" max="5" width="9.375" style="3241" customWidth="1"/>
    <col min="6" max="6" width="10.75" style="3241" customWidth="1"/>
    <col min="7" max="7" width="10.25" style="3241" customWidth="1"/>
    <col min="8" max="8" width="10.125" style="3241" customWidth="1"/>
    <col min="9" max="9" width="11.75" style="3241" customWidth="1"/>
    <col min="10" max="10" width="10.5" style="3241" customWidth="1"/>
    <col min="11" max="11" width="9" style="3241" customWidth="1"/>
    <col min="12" max="12" width="8.75" style="3241" customWidth="1"/>
    <col min="13" max="13" width="9.375" style="3241" customWidth="1"/>
    <col min="14" max="14" width="10" style="3241" customWidth="1"/>
    <col min="15" max="15" width="9.25" style="3241" customWidth="1"/>
    <col min="16" max="16" width="4.375" style="3241" customWidth="1"/>
    <col min="17" max="17" width="9.625" style="3241" customWidth="1"/>
    <col min="18" max="18" width="21.875" style="3241" customWidth="1"/>
    <col min="19" max="19" width="9.75" style="3241" customWidth="1"/>
    <col min="20" max="16384" width="11.875" style="3241"/>
  </cols>
  <sheetData>
    <row r="1" spans="1:19">
      <c r="A1" s="3240" t="s">
        <v>3190</v>
      </c>
      <c r="B1" s="3240">
        <v>25000</v>
      </c>
      <c r="C1" s="3240" t="s">
        <v>3191</v>
      </c>
      <c r="D1" s="3240">
        <v>6265.27</v>
      </c>
      <c r="E1" s="3240" t="s">
        <v>3192</v>
      </c>
      <c r="F1" s="3240">
        <v>18734.726999999999</v>
      </c>
      <c r="N1" s="3240" t="s">
        <v>3193</v>
      </c>
      <c r="O1" s="3240">
        <f>C19/B1</f>
        <v>1.9288400000000001</v>
      </c>
    </row>
    <row r="2" spans="1:19">
      <c r="A2" s="3353" t="s">
        <v>3194</v>
      </c>
      <c r="B2" s="3353" t="s">
        <v>3195</v>
      </c>
      <c r="C2" s="3353" t="s">
        <v>3196</v>
      </c>
      <c r="D2" s="3353" t="s">
        <v>3197</v>
      </c>
      <c r="E2" s="3353"/>
      <c r="F2" s="3353"/>
      <c r="G2" s="3353" t="s">
        <v>3198</v>
      </c>
      <c r="H2" s="3353" t="s">
        <v>3197</v>
      </c>
      <c r="I2" s="3353"/>
      <c r="J2" s="3353"/>
      <c r="K2" s="3353"/>
      <c r="L2" s="3353"/>
      <c r="M2" s="3353"/>
      <c r="N2" s="3351" t="s">
        <v>3199</v>
      </c>
      <c r="O2" s="3352"/>
      <c r="Q2" s="3241" t="s">
        <v>3191</v>
      </c>
      <c r="R2" s="3241">
        <v>21322.98</v>
      </c>
    </row>
    <row r="3" spans="1:19" ht="45">
      <c r="A3" s="3353"/>
      <c r="B3" s="3353"/>
      <c r="C3" s="3353"/>
      <c r="D3" s="3242" t="s">
        <v>3200</v>
      </c>
      <c r="E3" s="3242" t="s">
        <v>3201</v>
      </c>
      <c r="F3" s="3242" t="s">
        <v>3202</v>
      </c>
      <c r="G3" s="3353"/>
      <c r="H3" s="3242" t="s">
        <v>3203</v>
      </c>
      <c r="I3" s="3242" t="s">
        <v>3204</v>
      </c>
      <c r="J3" s="3242" t="s">
        <v>3205</v>
      </c>
      <c r="K3" s="3242" t="s">
        <v>3201</v>
      </c>
      <c r="L3" s="3242" t="s">
        <v>3206</v>
      </c>
      <c r="M3" s="3242" t="s">
        <v>3207</v>
      </c>
      <c r="N3" s="3243" t="s">
        <v>3208</v>
      </c>
      <c r="O3" s="3243" t="s">
        <v>3209</v>
      </c>
      <c r="Q3" s="3241" t="s">
        <v>3210</v>
      </c>
      <c r="R3" s="3241" t="s">
        <v>3211</v>
      </c>
      <c r="S3" s="3241">
        <v>20</v>
      </c>
    </row>
    <row r="4" spans="1:19" hidden="1">
      <c r="A4" s="3242" t="s">
        <v>3212</v>
      </c>
      <c r="B4" s="3244">
        <v>4637.1099999999997</v>
      </c>
      <c r="C4" s="3245">
        <v>3238.3</v>
      </c>
      <c r="D4" s="3246">
        <v>3238.3</v>
      </c>
      <c r="E4" s="3246" t="s">
        <v>3213</v>
      </c>
      <c r="F4" s="3246" t="s">
        <v>3213</v>
      </c>
      <c r="G4" s="3245">
        <v>1398.81</v>
      </c>
      <c r="H4" s="3246" t="s">
        <v>3213</v>
      </c>
      <c r="I4" s="3246" t="s">
        <v>3213</v>
      </c>
      <c r="J4" s="3247">
        <v>606.71</v>
      </c>
      <c r="K4" s="3246" t="s">
        <v>3213</v>
      </c>
      <c r="L4" s="3246">
        <v>491</v>
      </c>
      <c r="M4" s="3246">
        <v>301.10000000000002</v>
      </c>
      <c r="N4" s="3246" t="s">
        <v>3213</v>
      </c>
      <c r="O4" s="3246" t="s">
        <v>3213</v>
      </c>
      <c r="R4" s="3241" t="s">
        <v>3214</v>
      </c>
      <c r="S4" s="3241">
        <v>437.8</v>
      </c>
    </row>
    <row r="5" spans="1:19" hidden="1">
      <c r="A5" s="3242" t="s">
        <v>3215</v>
      </c>
      <c r="B5" s="3244">
        <v>4527.5600000000004</v>
      </c>
      <c r="C5" s="3245">
        <v>3190.8</v>
      </c>
      <c r="D5" s="3246">
        <v>3190.8</v>
      </c>
      <c r="E5" s="3246" t="s">
        <v>3213</v>
      </c>
      <c r="F5" s="3246" t="s">
        <v>3213</v>
      </c>
      <c r="G5" s="3245">
        <v>1336.76</v>
      </c>
      <c r="H5" s="3246" t="s">
        <v>3213</v>
      </c>
      <c r="I5" s="3246" t="s">
        <v>3213</v>
      </c>
      <c r="J5" s="3247">
        <v>1146.69</v>
      </c>
      <c r="K5" s="3246" t="s">
        <v>3213</v>
      </c>
      <c r="L5" s="3246" t="s">
        <v>3213</v>
      </c>
      <c r="M5" s="3246">
        <v>190.07</v>
      </c>
      <c r="N5" s="3246" t="s">
        <v>3213</v>
      </c>
      <c r="O5" s="3246" t="s">
        <v>3213</v>
      </c>
      <c r="Q5" s="3241" t="s">
        <v>3216</v>
      </c>
      <c r="S5" s="3241">
        <f>S3+S4</f>
        <v>457.8</v>
      </c>
    </row>
    <row r="6" spans="1:19" ht="33" hidden="1">
      <c r="A6" s="3242" t="s">
        <v>3217</v>
      </c>
      <c r="B6" s="3244">
        <v>6905.88</v>
      </c>
      <c r="C6" s="3245">
        <v>4841.55</v>
      </c>
      <c r="D6" s="3246">
        <v>4841.55</v>
      </c>
      <c r="E6" s="3246" t="s">
        <v>3213</v>
      </c>
      <c r="F6" s="3246" t="s">
        <v>3213</v>
      </c>
      <c r="G6" s="3245">
        <v>2064.33</v>
      </c>
      <c r="H6" s="3246" t="s">
        <v>3213</v>
      </c>
      <c r="I6" s="3246" t="s">
        <v>3213</v>
      </c>
      <c r="J6" s="3247">
        <v>915.12</v>
      </c>
      <c r="K6" s="3246" t="s">
        <v>3213</v>
      </c>
      <c r="L6" s="3246">
        <v>769</v>
      </c>
      <c r="M6" s="3246">
        <v>380.21</v>
      </c>
      <c r="N6" s="3246" t="s">
        <v>3213</v>
      </c>
      <c r="O6" s="3246" t="s">
        <v>3213</v>
      </c>
      <c r="Q6" s="3241" t="s">
        <v>3218</v>
      </c>
      <c r="R6" s="3241" t="s">
        <v>3219</v>
      </c>
      <c r="S6" s="3241">
        <v>50</v>
      </c>
    </row>
    <row r="7" spans="1:19" hidden="1">
      <c r="A7" s="3242" t="s">
        <v>3220</v>
      </c>
      <c r="B7" s="3244">
        <v>6614.99</v>
      </c>
      <c r="C7" s="3245">
        <v>5030.88</v>
      </c>
      <c r="D7" s="3246">
        <v>5030.88</v>
      </c>
      <c r="E7" s="3246" t="s">
        <v>3213</v>
      </c>
      <c r="F7" s="3246" t="s">
        <v>3213</v>
      </c>
      <c r="G7" s="3245">
        <v>1584.11</v>
      </c>
      <c r="H7" s="3246" t="s">
        <v>3213</v>
      </c>
      <c r="I7" s="3246" t="s">
        <v>3213</v>
      </c>
      <c r="J7" s="3247">
        <v>1285.22</v>
      </c>
      <c r="K7" s="3247">
        <v>86</v>
      </c>
      <c r="L7" s="3246" t="s">
        <v>3213</v>
      </c>
      <c r="M7" s="3246">
        <v>212.89</v>
      </c>
      <c r="N7" s="3246" t="s">
        <v>3213</v>
      </c>
      <c r="O7" s="3246" t="s">
        <v>3213</v>
      </c>
      <c r="R7" s="3241" t="s">
        <v>3221</v>
      </c>
      <c r="S7" s="3241">
        <v>9034.9699999999993</v>
      </c>
    </row>
    <row r="8" spans="1:19" hidden="1">
      <c r="A8" s="3242" t="s">
        <v>3222</v>
      </c>
      <c r="B8" s="3244">
        <v>13855.56</v>
      </c>
      <c r="C8" s="3245">
        <v>11302.98</v>
      </c>
      <c r="D8" s="3246">
        <v>11302.98</v>
      </c>
      <c r="E8" s="3246" t="s">
        <v>3213</v>
      </c>
      <c r="F8" s="3246" t="s">
        <v>3213</v>
      </c>
      <c r="G8" s="3245">
        <v>2552.58</v>
      </c>
      <c r="H8" s="3246" t="s">
        <v>3213</v>
      </c>
      <c r="I8" s="3246" t="s">
        <v>3213</v>
      </c>
      <c r="J8" s="3247">
        <v>2092.15</v>
      </c>
      <c r="K8" s="3246" t="s">
        <v>3213</v>
      </c>
      <c r="L8" s="3246" t="s">
        <v>3213</v>
      </c>
      <c r="M8" s="3246">
        <v>460.43</v>
      </c>
      <c r="N8" s="3246" t="s">
        <v>3213</v>
      </c>
      <c r="O8" s="3246" t="s">
        <v>3213</v>
      </c>
      <c r="R8" s="3241" t="s">
        <v>3223</v>
      </c>
      <c r="S8" s="3241">
        <v>11780.21</v>
      </c>
    </row>
    <row r="9" spans="1:19" hidden="1">
      <c r="A9" s="3242" t="s">
        <v>3224</v>
      </c>
      <c r="B9" s="3244">
        <v>11756.09</v>
      </c>
      <c r="C9" s="3245">
        <v>9939.19</v>
      </c>
      <c r="D9" s="3246">
        <v>9939.19</v>
      </c>
      <c r="E9" s="3246" t="s">
        <v>3213</v>
      </c>
      <c r="F9" s="3246" t="s">
        <v>3213</v>
      </c>
      <c r="G9" s="3245">
        <v>1816.9</v>
      </c>
      <c r="H9" s="3246" t="s">
        <v>3213</v>
      </c>
      <c r="I9" s="3246" t="s">
        <v>3213</v>
      </c>
      <c r="J9" s="3247">
        <v>1494.54</v>
      </c>
      <c r="K9" s="3246" t="s">
        <v>3213</v>
      </c>
      <c r="L9" s="3246" t="s">
        <v>3213</v>
      </c>
      <c r="M9" s="3246">
        <v>322.36</v>
      </c>
      <c r="N9" s="3246" t="s">
        <v>3213</v>
      </c>
      <c r="O9" s="3246" t="s">
        <v>3213</v>
      </c>
      <c r="Q9" s="3241" t="s">
        <v>3216</v>
      </c>
      <c r="S9" s="3241">
        <f>S6+S7+S8</f>
        <v>20865.18</v>
      </c>
    </row>
    <row r="10" spans="1:19" hidden="1">
      <c r="A10" s="3242" t="s">
        <v>3225</v>
      </c>
      <c r="B10" s="3244">
        <v>11750.98</v>
      </c>
      <c r="C10" s="3245">
        <v>9933.65</v>
      </c>
      <c r="D10" s="3246">
        <v>9918.15</v>
      </c>
      <c r="E10" s="3246" t="s">
        <v>3213</v>
      </c>
      <c r="F10" s="3246">
        <v>15.5</v>
      </c>
      <c r="G10" s="3245">
        <v>1817.33</v>
      </c>
      <c r="H10" s="3246" t="s">
        <v>3213</v>
      </c>
      <c r="I10" s="3246" t="s">
        <v>3213</v>
      </c>
      <c r="J10" s="3247">
        <v>1494.54</v>
      </c>
      <c r="K10" s="3246" t="s">
        <v>3213</v>
      </c>
      <c r="L10" s="3246" t="s">
        <v>3213</v>
      </c>
      <c r="M10" s="3246">
        <v>322.79000000000002</v>
      </c>
      <c r="N10" s="3246" t="s">
        <v>3213</v>
      </c>
      <c r="O10" s="3246" t="s">
        <v>3213</v>
      </c>
      <c r="Q10" s="3241" t="s">
        <v>3226</v>
      </c>
      <c r="S10" s="3241">
        <f>S5+S9</f>
        <v>21322.98</v>
      </c>
    </row>
    <row r="11" spans="1:19" hidden="1">
      <c r="A11" s="3242" t="s">
        <v>3227</v>
      </c>
      <c r="B11" s="3244">
        <v>120</v>
      </c>
      <c r="C11" s="3245">
        <v>120</v>
      </c>
      <c r="D11" s="3246" t="s">
        <v>3213</v>
      </c>
      <c r="E11" s="3247">
        <v>120</v>
      </c>
      <c r="F11" s="3246" t="s">
        <v>3213</v>
      </c>
      <c r="G11" s="3245">
        <v>0</v>
      </c>
      <c r="H11" s="3246" t="s">
        <v>3213</v>
      </c>
      <c r="I11" s="3246" t="s">
        <v>3213</v>
      </c>
      <c r="J11" s="3246" t="s">
        <v>3213</v>
      </c>
      <c r="K11" s="3246" t="s">
        <v>3213</v>
      </c>
      <c r="L11" s="3246" t="s">
        <v>3213</v>
      </c>
      <c r="M11" s="3246" t="s">
        <v>3213</v>
      </c>
      <c r="N11" s="3246" t="s">
        <v>3213</v>
      </c>
      <c r="O11" s="3246" t="s">
        <v>3213</v>
      </c>
    </row>
    <row r="12" spans="1:19" hidden="1">
      <c r="A12" s="3242" t="s">
        <v>3228</v>
      </c>
      <c r="B12" s="3244">
        <v>40</v>
      </c>
      <c r="C12" s="3245">
        <v>40</v>
      </c>
      <c r="D12" s="3246" t="s">
        <v>3213</v>
      </c>
      <c r="E12" s="3246" t="s">
        <v>3213</v>
      </c>
      <c r="F12" s="3246">
        <v>40</v>
      </c>
      <c r="G12" s="3245">
        <v>0</v>
      </c>
      <c r="H12" s="3246" t="s">
        <v>3213</v>
      </c>
      <c r="I12" s="3246" t="s">
        <v>3213</v>
      </c>
      <c r="J12" s="3246" t="s">
        <v>3213</v>
      </c>
      <c r="K12" s="3246" t="s">
        <v>3213</v>
      </c>
      <c r="L12" s="3246" t="s">
        <v>3213</v>
      </c>
      <c r="M12" s="3246" t="s">
        <v>3213</v>
      </c>
      <c r="N12" s="3246" t="s">
        <v>3213</v>
      </c>
      <c r="O12" s="3246" t="s">
        <v>3213</v>
      </c>
    </row>
    <row r="13" spans="1:19" hidden="1">
      <c r="A13" s="3242" t="s">
        <v>3229</v>
      </c>
      <c r="B13" s="3244">
        <v>40</v>
      </c>
      <c r="C13" s="3245">
        <v>40</v>
      </c>
      <c r="D13" s="3246" t="s">
        <v>3213</v>
      </c>
      <c r="E13" s="3246" t="s">
        <v>3213</v>
      </c>
      <c r="F13" s="3246">
        <v>40</v>
      </c>
      <c r="G13" s="3245">
        <v>0</v>
      </c>
      <c r="H13" s="3246" t="s">
        <v>3213</v>
      </c>
      <c r="I13" s="3246" t="s">
        <v>3213</v>
      </c>
      <c r="J13" s="3246" t="s">
        <v>3213</v>
      </c>
      <c r="K13" s="3246" t="s">
        <v>3213</v>
      </c>
      <c r="L13" s="3246" t="s">
        <v>3213</v>
      </c>
      <c r="M13" s="3246" t="s">
        <v>3213</v>
      </c>
      <c r="N13" s="3246" t="s">
        <v>3213</v>
      </c>
      <c r="O13" s="3246" t="s">
        <v>3213</v>
      </c>
    </row>
    <row r="14" spans="1:19" hidden="1">
      <c r="A14" s="3242" t="s">
        <v>3230</v>
      </c>
      <c r="B14" s="3244">
        <v>40</v>
      </c>
      <c r="C14" s="3245">
        <v>40</v>
      </c>
      <c r="D14" s="3246" t="s">
        <v>3213</v>
      </c>
      <c r="E14" s="3246" t="s">
        <v>3213</v>
      </c>
      <c r="F14" s="3246">
        <v>40</v>
      </c>
      <c r="G14" s="3245">
        <v>0</v>
      </c>
      <c r="H14" s="3246" t="s">
        <v>3213</v>
      </c>
      <c r="I14" s="3246" t="s">
        <v>3213</v>
      </c>
      <c r="J14" s="3246" t="s">
        <v>3213</v>
      </c>
      <c r="K14" s="3246" t="s">
        <v>3213</v>
      </c>
      <c r="L14" s="3246" t="s">
        <v>3213</v>
      </c>
      <c r="M14" s="3246" t="s">
        <v>3213</v>
      </c>
      <c r="N14" s="3246" t="s">
        <v>3213</v>
      </c>
      <c r="O14" s="3246" t="s">
        <v>3213</v>
      </c>
    </row>
    <row r="15" spans="1:19" hidden="1">
      <c r="A15" s="3242" t="s">
        <v>3231</v>
      </c>
      <c r="B15" s="3244">
        <v>24629.98</v>
      </c>
      <c r="C15" s="3245">
        <v>337.8</v>
      </c>
      <c r="D15" s="3246" t="s">
        <v>3213</v>
      </c>
      <c r="E15" s="3246" t="s">
        <v>3213</v>
      </c>
      <c r="F15" s="3247">
        <v>337.8</v>
      </c>
      <c r="G15" s="3245">
        <v>24292.18</v>
      </c>
      <c r="H15" s="3247">
        <v>11780.21</v>
      </c>
      <c r="I15" s="3246">
        <v>11891.97</v>
      </c>
      <c r="J15" s="3246" t="s">
        <v>3213</v>
      </c>
      <c r="K15" s="3246">
        <v>620</v>
      </c>
      <c r="L15" s="3246" t="s">
        <v>3213</v>
      </c>
      <c r="M15" s="3246" t="s">
        <v>3213</v>
      </c>
      <c r="N15" s="3246">
        <v>12073.32</v>
      </c>
      <c r="O15" s="3246">
        <v>181.35</v>
      </c>
      <c r="Q15" s="3241">
        <f>L19+M19+K19-50+F19-F15</f>
        <v>4407.2</v>
      </c>
    </row>
    <row r="16" spans="1:19" ht="30" hidden="1">
      <c r="A16" s="3242" t="s">
        <v>3232</v>
      </c>
      <c r="B16" s="3244">
        <v>65.45</v>
      </c>
      <c r="C16" s="3245">
        <v>65.45</v>
      </c>
      <c r="D16" s="3246" t="s">
        <v>3213</v>
      </c>
      <c r="E16" s="3246" t="s">
        <v>3213</v>
      </c>
      <c r="F16" s="3246">
        <v>65.45</v>
      </c>
      <c r="G16" s="3245" t="s">
        <v>3213</v>
      </c>
      <c r="H16" s="3246" t="s">
        <v>3213</v>
      </c>
      <c r="I16" s="3246" t="s">
        <v>3213</v>
      </c>
      <c r="J16" s="3246" t="s">
        <v>3213</v>
      </c>
      <c r="K16" s="3246" t="s">
        <v>3213</v>
      </c>
      <c r="L16" s="3246" t="s">
        <v>3213</v>
      </c>
      <c r="M16" s="3246" t="s">
        <v>3213</v>
      </c>
      <c r="N16" s="3246" t="s">
        <v>3213</v>
      </c>
      <c r="O16" s="3246" t="s">
        <v>3213</v>
      </c>
    </row>
    <row r="17" spans="1:15" ht="30" hidden="1">
      <c r="A17" s="3242" t="s">
        <v>3233</v>
      </c>
      <c r="B17" s="3244">
        <v>65.45</v>
      </c>
      <c r="C17" s="3245">
        <v>65.45</v>
      </c>
      <c r="D17" s="3246" t="s">
        <v>3213</v>
      </c>
      <c r="E17" s="3246" t="s">
        <v>3213</v>
      </c>
      <c r="F17" s="3246">
        <v>65.45</v>
      </c>
      <c r="G17" s="3245" t="s">
        <v>3213</v>
      </c>
      <c r="H17" s="3246" t="s">
        <v>3213</v>
      </c>
      <c r="I17" s="3246" t="s">
        <v>3213</v>
      </c>
      <c r="J17" s="3246" t="s">
        <v>3213</v>
      </c>
      <c r="K17" s="3246" t="s">
        <v>3213</v>
      </c>
      <c r="L17" s="3246" t="s">
        <v>3213</v>
      </c>
      <c r="M17" s="3246" t="s">
        <v>3213</v>
      </c>
      <c r="N17" s="3246" t="s">
        <v>3213</v>
      </c>
      <c r="O17" s="3246" t="s">
        <v>3213</v>
      </c>
    </row>
    <row r="18" spans="1:15" ht="30">
      <c r="A18" s="3242" t="s">
        <v>3234</v>
      </c>
      <c r="B18" s="3244">
        <v>34.950000000000003</v>
      </c>
      <c r="C18" s="3245">
        <v>34.950000000000003</v>
      </c>
      <c r="D18" s="3246" t="s">
        <v>3213</v>
      </c>
      <c r="E18" s="3246" t="s">
        <v>3213</v>
      </c>
      <c r="F18" s="3246">
        <v>34.950000000000003</v>
      </c>
      <c r="G18" s="3245" t="s">
        <v>3213</v>
      </c>
      <c r="H18" s="3246" t="s">
        <v>3213</v>
      </c>
      <c r="I18" s="3246" t="s">
        <v>3213</v>
      </c>
      <c r="J18" s="3246" t="s">
        <v>3213</v>
      </c>
      <c r="K18" s="3246" t="s">
        <v>3213</v>
      </c>
      <c r="L18" s="3246" t="s">
        <v>3213</v>
      </c>
      <c r="M18" s="3246" t="s">
        <v>3213</v>
      </c>
      <c r="N18" s="3246" t="s">
        <v>3213</v>
      </c>
      <c r="O18" s="3246" t="s">
        <v>3213</v>
      </c>
    </row>
    <row r="19" spans="1:15">
      <c r="A19" s="3242" t="s">
        <v>3235</v>
      </c>
      <c r="B19" s="3243">
        <f>SUM(B4:B18)</f>
        <v>85083.999999999985</v>
      </c>
      <c r="C19" s="3242">
        <f>SUM(C4:C18)</f>
        <v>48221</v>
      </c>
      <c r="D19" s="3242">
        <f t="shared" ref="D19:O19" si="0">SUM(D4:D18)</f>
        <v>47461.850000000006</v>
      </c>
      <c r="E19" s="3242">
        <f t="shared" si="0"/>
        <v>120</v>
      </c>
      <c r="F19" s="3242">
        <f t="shared" si="0"/>
        <v>639.15000000000009</v>
      </c>
      <c r="G19" s="3242">
        <f t="shared" si="0"/>
        <v>36863</v>
      </c>
      <c r="H19" s="3242">
        <f t="shared" si="0"/>
        <v>11780.21</v>
      </c>
      <c r="I19" s="3242">
        <f t="shared" si="0"/>
        <v>11891.97</v>
      </c>
      <c r="J19" s="3242">
        <f t="shared" si="0"/>
        <v>9034.9699999999993</v>
      </c>
      <c r="K19" s="3242">
        <f t="shared" si="0"/>
        <v>706</v>
      </c>
      <c r="L19" s="3242">
        <f t="shared" si="0"/>
        <v>1260</v>
      </c>
      <c r="M19" s="3242">
        <f t="shared" si="0"/>
        <v>2189.85</v>
      </c>
      <c r="N19" s="3243">
        <f t="shared" si="0"/>
        <v>12073.32</v>
      </c>
      <c r="O19" s="3243">
        <f t="shared" si="0"/>
        <v>181.35</v>
      </c>
    </row>
    <row r="20" spans="1:15">
      <c r="B20" s="3241">
        <f>B19-S5-S9</f>
        <v>63761.019999999982</v>
      </c>
      <c r="H20" s="3241">
        <f>H15/272</f>
        <v>43.30959558823529</v>
      </c>
      <c r="I20" s="3241">
        <f>I15/274</f>
        <v>43.401350364963498</v>
      </c>
      <c r="J20" s="3241">
        <f>J19/470</f>
        <v>19.223340425531912</v>
      </c>
      <c r="N20" s="3241">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K9"/>
  <sheetViews>
    <sheetView tabSelected="1" topLeftCell="B1" workbookViewId="0">
      <selection activeCell="H8" sqref="H8"/>
    </sheetView>
  </sheetViews>
  <sheetFormatPr defaultRowHeight="13.5"/>
  <cols>
    <col min="1" max="2" width="9" style="3254"/>
    <col min="3" max="3" width="10.25" style="3254" customWidth="1"/>
    <col min="4" max="4" width="6.625" style="3254" customWidth="1"/>
    <col min="5" max="5" width="9.875" style="3254" customWidth="1"/>
    <col min="6" max="6" width="10.625" style="3254" customWidth="1"/>
    <col min="7" max="7" width="10" style="3254" customWidth="1"/>
    <col min="8" max="8" width="13.25" style="3254" customWidth="1"/>
    <col min="9" max="9" width="14.5" style="3254" customWidth="1"/>
    <col min="10" max="16384" width="9" style="3254"/>
  </cols>
  <sheetData>
    <row r="1" spans="2:11" ht="40.5">
      <c r="B1" s="3255"/>
      <c r="C1" s="3256" t="s">
        <v>3268</v>
      </c>
      <c r="D1" s="3256" t="s">
        <v>3269</v>
      </c>
      <c r="E1" s="3256" t="s">
        <v>3270</v>
      </c>
      <c r="F1" s="3256" t="s">
        <v>3271</v>
      </c>
      <c r="G1" s="3256" t="s">
        <v>3272</v>
      </c>
      <c r="H1" s="3256" t="s">
        <v>3267</v>
      </c>
    </row>
    <row r="2" spans="2:11">
      <c r="B2" s="3256" t="s">
        <v>3265</v>
      </c>
      <c r="C2" s="3255">
        <f>面积表!H19</f>
        <v>11780.21</v>
      </c>
      <c r="D2" s="3255">
        <v>272</v>
      </c>
      <c r="E2" s="3255">
        <f>ROUND(C2/D2,2)</f>
        <v>43.31</v>
      </c>
      <c r="F2" s="3255">
        <f ca="1">'结果表-车位'!G20</f>
        <v>6040</v>
      </c>
      <c r="G2" s="3257">
        <f ca="1">ROUND(E2*F2/10000,4)</f>
        <v>26.159199999999998</v>
      </c>
      <c r="H2" s="3255">
        <f ca="1">ROUND(C2*F2/10000,0)</f>
        <v>7115</v>
      </c>
    </row>
    <row r="3" spans="2:11">
      <c r="B3" s="3256" t="s">
        <v>3266</v>
      </c>
      <c r="C3" s="3255">
        <f>面积表!J19</f>
        <v>9034.9699999999993</v>
      </c>
      <c r="D3" s="3255">
        <v>470</v>
      </c>
      <c r="E3" s="3255">
        <f>ROUND(C3/D3,2)</f>
        <v>19.22</v>
      </c>
      <c r="F3" s="3255">
        <f ca="1">ROUND('结果表-仓储'!G20,0)</f>
        <v>7786</v>
      </c>
      <c r="G3" s="3257">
        <f ca="1">ROUND(E3*F3/10000,4)</f>
        <v>14.964700000000001</v>
      </c>
      <c r="H3" s="3255">
        <f ca="1">ROUND(F3*C3/10000,0)</f>
        <v>7035</v>
      </c>
    </row>
    <row r="4" spans="2:11">
      <c r="B4" s="3256" t="s">
        <v>3235</v>
      </c>
      <c r="C4" s="3255"/>
      <c r="D4" s="3255"/>
      <c r="E4" s="3255"/>
      <c r="F4" s="3255"/>
      <c r="G4" s="3255"/>
      <c r="H4" s="3255">
        <f ca="1">H2+H3</f>
        <v>14150</v>
      </c>
    </row>
    <row r="5" spans="2:11">
      <c r="G5" s="3254">
        <f ca="1">G2+G3</f>
        <v>41.123899999999999</v>
      </c>
    </row>
    <row r="9" spans="2:11">
      <c r="K9" s="3258" t="s">
        <v>3274</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92D050"/>
    <pageSetUpPr fitToPage="1"/>
  </sheetPr>
  <dimension ref="A1:AC103"/>
  <sheetViews>
    <sheetView view="pageBreakPreview" topLeftCell="A14" zoomScale="90" zoomScaleNormal="60" zoomScaleSheetLayoutView="90" workbookViewId="0">
      <selection activeCell="I30" sqref="I3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9531</v>
      </c>
      <c r="C2" s="2036" t="s">
        <v>70</v>
      </c>
      <c r="D2" s="1037" t="e">
        <f ca="1">SUMIF(INDIRECT("'"&amp;F2&amp;"'"&amp;"!A:A"),"承租人权益价值",INDIRECT("'"&amp;F2&amp;"'"&amp;"!c:c"))</f>
        <v>#REF!</v>
      </c>
      <c r="E2" s="2037" t="s">
        <v>2089</v>
      </c>
      <c r="F2" s="2038" t="s">
        <v>3141</v>
      </c>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8091</v>
      </c>
      <c r="C3" s="359" t="s">
        <v>2405</v>
      </c>
      <c r="D3" s="358">
        <f>SUMIF('数据-汇总表'!$C19:$C33,D1,'数据-汇总表'!$E19:$E33)</f>
        <v>11780.21</v>
      </c>
      <c r="E3" s="359" t="s">
        <v>2469</v>
      </c>
      <c r="F3" s="358">
        <f>SUMIF('数据-取费表'!A5:A15,D1,'数据-取费表'!AH5:AH15)</f>
        <v>272</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4.25" customHeight="1" thickBot="1">
      <c r="A5" s="363"/>
      <c r="B5" s="364"/>
      <c r="C5" s="3386" t="s">
        <v>3149</v>
      </c>
      <c r="D5" s="3387"/>
      <c r="E5" s="3394" t="s">
        <v>3152</v>
      </c>
      <c r="F5" s="3395"/>
      <c r="G5" s="3386" t="s">
        <v>3154</v>
      </c>
      <c r="H5" s="3387"/>
      <c r="I5" s="3386" t="s">
        <v>3156</v>
      </c>
      <c r="J5" s="3387"/>
      <c r="K5" s="566"/>
      <c r="L5" s="2913"/>
      <c r="M5" s="2914"/>
      <c r="N5" s="2914"/>
      <c r="O5" s="2914"/>
      <c r="P5" s="3373"/>
      <c r="Q5" s="3374"/>
      <c r="R5" s="3379"/>
      <c r="S5" s="3380"/>
      <c r="T5" s="3379"/>
      <c r="U5" s="3380"/>
      <c r="V5" s="3383"/>
      <c r="W5" s="3383"/>
      <c r="X5" s="1508"/>
      <c r="Y5" s="3379"/>
      <c r="Z5" s="3380"/>
      <c r="AA5" s="3365"/>
      <c r="AB5" s="3365"/>
      <c r="AC5" s="3365"/>
    </row>
    <row r="6" spans="1:29" ht="15.75" hidden="1" thickBot="1">
      <c r="A6" s="365"/>
      <c r="B6" s="366"/>
      <c r="C6" s="3391" t="s">
        <v>3150</v>
      </c>
      <c r="D6" s="3385"/>
      <c r="E6" s="3392" t="str">
        <f>C6</f>
        <v>西红门</v>
      </c>
      <c r="F6" s="3393"/>
      <c r="G6" s="3384" t="str">
        <f>C6</f>
        <v>西红门</v>
      </c>
      <c r="H6" s="3385"/>
      <c r="I6" s="3384" t="str">
        <f>C6</f>
        <v>西红门</v>
      </c>
      <c r="J6" s="3385"/>
      <c r="K6" s="566"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5"/>
      <c r="M7" s="2916"/>
      <c r="N7" s="2916"/>
      <c r="O7" s="2916"/>
      <c r="P7" s="3388" t="s">
        <v>2310</v>
      </c>
      <c r="Q7" s="3390"/>
      <c r="R7" s="709" t="s">
        <v>17</v>
      </c>
      <c r="S7" s="710">
        <f t="shared" ref="S7:S14" si="0">F7</f>
        <v>100</v>
      </c>
      <c r="T7" s="709" t="s">
        <v>17</v>
      </c>
      <c r="U7" s="710">
        <f t="shared" ref="U7:U14" si="1">H7</f>
        <v>100</v>
      </c>
      <c r="V7" s="709" t="s">
        <v>17</v>
      </c>
      <c r="W7" s="710">
        <f t="shared" ref="W7:W14" si="2">J7</f>
        <v>100</v>
      </c>
      <c r="X7" s="711"/>
      <c r="Y7" s="3388" t="s">
        <v>2310</v>
      </c>
      <c r="Z7" s="3389"/>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5"/>
      <c r="M8" s="2916"/>
      <c r="N8" s="2916"/>
      <c r="O8" s="2916"/>
      <c r="P8" s="3388" t="s">
        <v>2313</v>
      </c>
      <c r="Q8" s="3389"/>
      <c r="R8" s="709" t="s">
        <v>17</v>
      </c>
      <c r="S8" s="710">
        <f t="shared" si="0"/>
        <v>100</v>
      </c>
      <c r="T8" s="709" t="s">
        <v>17</v>
      </c>
      <c r="U8" s="710">
        <f t="shared" si="1"/>
        <v>100</v>
      </c>
      <c r="V8" s="709" t="s">
        <v>17</v>
      </c>
      <c r="W8" s="710">
        <f t="shared" si="2"/>
        <v>100</v>
      </c>
      <c r="X8" s="711"/>
      <c r="Y8" s="3388" t="s">
        <v>2313</v>
      </c>
      <c r="Z8" s="3389"/>
      <c r="AA8" s="712">
        <f t="shared" ref="AA8:AA36" si="3">D8/F8</f>
        <v>1</v>
      </c>
      <c r="AB8" s="712">
        <f t="shared" ref="AB8:AB36" si="4">D8/H8</f>
        <v>1</v>
      </c>
      <c r="AC8" s="712">
        <f t="shared" ref="AC8:AC36" si="5">D8/J8</f>
        <v>1</v>
      </c>
    </row>
    <row r="9" spans="1:29" s="113" customFormat="1">
      <c r="A9" s="64" t="s">
        <v>2314</v>
      </c>
      <c r="B9" s="595" t="s">
        <v>2315</v>
      </c>
      <c r="C9" s="3231"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5"/>
      <c r="M9" s="2916"/>
      <c r="N9" s="2916"/>
      <c r="O9" s="2916"/>
      <c r="P9" s="3354" t="s">
        <v>2316</v>
      </c>
      <c r="Q9" s="1496" t="str">
        <f t="shared" ref="Q9:Q14" si="6">B9</f>
        <v>用途</v>
      </c>
      <c r="R9" s="709" t="s">
        <v>17</v>
      </c>
      <c r="S9" s="710">
        <f t="shared" si="0"/>
        <v>100</v>
      </c>
      <c r="T9" s="709" t="s">
        <v>17</v>
      </c>
      <c r="U9" s="710">
        <f t="shared" si="1"/>
        <v>100</v>
      </c>
      <c r="V9" s="709" t="s">
        <v>17</v>
      </c>
      <c r="W9" s="710">
        <f t="shared" si="2"/>
        <v>100</v>
      </c>
      <c r="X9" s="711"/>
      <c r="Y9" s="3363"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7"/>
      <c r="M10" s="2918"/>
      <c r="N10" s="2918"/>
      <c r="O10" s="2918"/>
      <c r="P10" s="3354"/>
      <c r="Q10" s="1496" t="str">
        <f t="shared" si="6"/>
        <v>土地使用年限（年）</v>
      </c>
      <c r="R10" s="709" t="s">
        <v>17</v>
      </c>
      <c r="S10" s="710">
        <f t="shared" si="0"/>
        <v>100</v>
      </c>
      <c r="T10" s="709" t="s">
        <v>17</v>
      </c>
      <c r="U10" s="710">
        <f t="shared" si="1"/>
        <v>100</v>
      </c>
      <c r="V10" s="709" t="s">
        <v>17</v>
      </c>
      <c r="W10" s="710">
        <f t="shared" si="2"/>
        <v>98</v>
      </c>
      <c r="X10" s="711"/>
      <c r="Y10" s="3363"/>
      <c r="Z10" s="55" t="str">
        <f t="shared" si="7"/>
        <v>土地使用年限（年）</v>
      </c>
      <c r="AA10" s="712">
        <f t="shared" si="3"/>
        <v>1</v>
      </c>
      <c r="AB10" s="712">
        <f t="shared" si="4"/>
        <v>1</v>
      </c>
      <c r="AC10" s="712">
        <f t="shared" si="5"/>
        <v>1.0204081632653061</v>
      </c>
    </row>
    <row r="11" spans="1:29" ht="15" hidden="1">
      <c r="A11" s="598"/>
      <c r="B11" s="3232" t="s">
        <v>3162</v>
      </c>
      <c r="C11" s="390"/>
      <c r="D11" s="132">
        <v>100</v>
      </c>
      <c r="E11" s="390"/>
      <c r="F11" s="132">
        <f>SUMIF(57:57,E11,58:58)-SUMIF(57:57,C11,58:58)+100</f>
        <v>100</v>
      </c>
      <c r="G11" s="390"/>
      <c r="H11" s="132">
        <f>SUMIF(57:57,G11,58:58)-SUMIF(57:57,C11,58:58)+100</f>
        <v>100</v>
      </c>
      <c r="I11" s="390"/>
      <c r="J11" s="132">
        <f>SUMIF(57:57,I11,58:58)-SUMIF(57:57,C11,58:58)+100</f>
        <v>100</v>
      </c>
      <c r="K11" s="569"/>
      <c r="L11" s="2919"/>
      <c r="M11" s="2914"/>
      <c r="N11" s="2914"/>
      <c r="O11" s="2914"/>
      <c r="P11" s="3354"/>
      <c r="Q11" s="1496" t="str">
        <f t="shared" si="6"/>
        <v>容积率</v>
      </c>
      <c r="R11" s="709" t="s">
        <v>17</v>
      </c>
      <c r="S11" s="710">
        <f t="shared" si="0"/>
        <v>100</v>
      </c>
      <c r="T11" s="709" t="s">
        <v>17</v>
      </c>
      <c r="U11" s="710">
        <f t="shared" si="1"/>
        <v>100</v>
      </c>
      <c r="V11" s="709" t="s">
        <v>17</v>
      </c>
      <c r="W11" s="710">
        <f t="shared" si="2"/>
        <v>100</v>
      </c>
      <c r="X11" s="711"/>
      <c r="Y11" s="3363"/>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5"/>
      <c r="M12" s="2916"/>
      <c r="N12" s="2916"/>
      <c r="O12" s="2916"/>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20"/>
      <c r="M13" s="2914"/>
      <c r="N13" s="2914"/>
      <c r="O13" s="2914"/>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20"/>
      <c r="M14" s="2914"/>
      <c r="N14" s="2914"/>
      <c r="O14" s="2914"/>
      <c r="P14" s="3359" t="s">
        <v>2321</v>
      </c>
      <c r="Q14" s="1505" t="str">
        <f t="shared" si="6"/>
        <v>交通便捷度</v>
      </c>
      <c r="R14" s="713" t="s">
        <v>17</v>
      </c>
      <c r="S14" s="714">
        <f t="shared" si="0"/>
        <v>100</v>
      </c>
      <c r="T14" s="713" t="s">
        <v>17</v>
      </c>
      <c r="U14" s="714">
        <f t="shared" si="1"/>
        <v>100</v>
      </c>
      <c r="V14" s="713" t="s">
        <v>17</v>
      </c>
      <c r="W14" s="714">
        <f t="shared" si="2"/>
        <v>100</v>
      </c>
      <c r="X14" s="1508"/>
      <c r="Y14" s="3359"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20"/>
      <c r="M15" s="2914"/>
      <c r="N15" s="2914"/>
      <c r="O15" s="2914"/>
      <c r="P15" s="3360"/>
      <c r="Q15" s="1505"/>
      <c r="R15" s="713"/>
      <c r="S15" s="714"/>
      <c r="T15" s="713"/>
      <c r="U15" s="714"/>
      <c r="V15" s="713"/>
      <c r="W15" s="714"/>
      <c r="X15" s="1508"/>
      <c r="Y15" s="3360"/>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20"/>
      <c r="M16" s="2914"/>
      <c r="N16" s="2914"/>
      <c r="O16" s="2914"/>
      <c r="P16" s="3360"/>
      <c r="Q16" s="1505" t="str">
        <f>B16</f>
        <v>公共配套设施</v>
      </c>
      <c r="R16" s="713" t="s">
        <v>17</v>
      </c>
      <c r="S16" s="714">
        <f>F16</f>
        <v>100</v>
      </c>
      <c r="T16" s="713" t="s">
        <v>17</v>
      </c>
      <c r="U16" s="714">
        <f>H16</f>
        <v>100</v>
      </c>
      <c r="V16" s="713" t="s">
        <v>17</v>
      </c>
      <c r="W16" s="714">
        <f>J16</f>
        <v>100</v>
      </c>
      <c r="X16" s="1508"/>
      <c r="Y16" s="3360"/>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20"/>
      <c r="M17" s="2914"/>
      <c r="N17" s="2914"/>
      <c r="O17" s="2914"/>
      <c r="P17" s="3360"/>
      <c r="Q17" s="1505"/>
      <c r="R17" s="713"/>
      <c r="S17" s="714"/>
      <c r="T17" s="713"/>
      <c r="U17" s="714"/>
      <c r="V17" s="713"/>
      <c r="W17" s="714"/>
      <c r="X17" s="1508"/>
      <c r="Y17" s="3360"/>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20"/>
      <c r="M18" s="2914"/>
      <c r="N18" s="2914"/>
      <c r="O18" s="2914"/>
      <c r="P18" s="3360"/>
      <c r="Q18" s="1505" t="str">
        <f>B18</f>
        <v>基础设施水平</v>
      </c>
      <c r="R18" s="713" t="s">
        <v>17</v>
      </c>
      <c r="S18" s="714">
        <f>F18</f>
        <v>100</v>
      </c>
      <c r="T18" s="713" t="s">
        <v>17</v>
      </c>
      <c r="U18" s="714">
        <f>H18</f>
        <v>100</v>
      </c>
      <c r="V18" s="713" t="s">
        <v>17</v>
      </c>
      <c r="W18" s="714">
        <f>J18</f>
        <v>100</v>
      </c>
      <c r="X18" s="1508"/>
      <c r="Y18" s="3360"/>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20"/>
      <c r="M19" s="2914"/>
      <c r="N19" s="2914"/>
      <c r="O19" s="2914"/>
      <c r="P19" s="3360"/>
      <c r="Q19" s="1505"/>
      <c r="R19" s="713"/>
      <c r="S19" s="714"/>
      <c r="T19" s="713"/>
      <c r="U19" s="714"/>
      <c r="V19" s="713"/>
      <c r="W19" s="714"/>
      <c r="X19" s="1508"/>
      <c r="Y19" s="3360"/>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20"/>
      <c r="M20" s="2914"/>
      <c r="N20" s="2914"/>
      <c r="O20" s="2914"/>
      <c r="P20" s="3360"/>
      <c r="Q20" s="1505" t="str">
        <f>B20</f>
        <v>自然及人文环境</v>
      </c>
      <c r="R20" s="713" t="s">
        <v>17</v>
      </c>
      <c r="S20" s="714">
        <f>F20</f>
        <v>100</v>
      </c>
      <c r="T20" s="713" t="s">
        <v>17</v>
      </c>
      <c r="U20" s="714">
        <f>H20</f>
        <v>100</v>
      </c>
      <c r="V20" s="713" t="s">
        <v>17</v>
      </c>
      <c r="W20" s="714">
        <f>J20</f>
        <v>100</v>
      </c>
      <c r="X20" s="1508"/>
      <c r="Y20" s="3360"/>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20"/>
      <c r="M21" s="2914"/>
      <c r="N21" s="2914"/>
      <c r="O21" s="2914"/>
      <c r="P21" s="3360"/>
      <c r="Q21" s="1505"/>
      <c r="R21" s="713"/>
      <c r="S21" s="714"/>
      <c r="T21" s="713"/>
      <c r="U21" s="714"/>
      <c r="V21" s="713"/>
      <c r="W21" s="714"/>
      <c r="X21" s="1508"/>
      <c r="Y21" s="3360"/>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20"/>
      <c r="M22" s="2914"/>
      <c r="N22" s="2914"/>
      <c r="O22" s="2914"/>
      <c r="P22" s="3360"/>
      <c r="Q22" s="1505" t="str">
        <f>B22</f>
        <v>楼层</v>
      </c>
      <c r="R22" s="713" t="s">
        <v>17</v>
      </c>
      <c r="S22" s="714">
        <f>F22</f>
        <v>100</v>
      </c>
      <c r="T22" s="713" t="s">
        <v>17</v>
      </c>
      <c r="U22" s="714">
        <f>H22</f>
        <v>100</v>
      </c>
      <c r="V22" s="713" t="s">
        <v>17</v>
      </c>
      <c r="W22" s="714">
        <f>J22</f>
        <v>100</v>
      </c>
      <c r="X22" s="1508"/>
      <c r="Y22" s="3360"/>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360"/>
      <c r="Q23" s="1505">
        <f>B23</f>
        <v>111</v>
      </c>
      <c r="R23" s="713" t="s">
        <v>17</v>
      </c>
      <c r="S23" s="714">
        <f>F23</f>
        <v>100</v>
      </c>
      <c r="T23" s="713" t="s">
        <v>17</v>
      </c>
      <c r="U23" s="714">
        <f>H23</f>
        <v>100</v>
      </c>
      <c r="V23" s="713" t="s">
        <v>17</v>
      </c>
      <c r="W23" s="714">
        <f>J23</f>
        <v>100</v>
      </c>
      <c r="X23" s="1508"/>
      <c r="Y23" s="3360"/>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360"/>
      <c r="Q24" s="1505">
        <f t="shared" ref="Q24:Q36" si="11">B24</f>
        <v>111</v>
      </c>
      <c r="R24" s="713" t="s">
        <v>17</v>
      </c>
      <c r="S24" s="714">
        <f>F24</f>
        <v>100</v>
      </c>
      <c r="T24" s="713" t="s">
        <v>17</v>
      </c>
      <c r="U24" s="714">
        <f>H24</f>
        <v>100</v>
      </c>
      <c r="V24" s="713" t="s">
        <v>17</v>
      </c>
      <c r="W24" s="714">
        <f>J24</f>
        <v>100</v>
      </c>
      <c r="X24" s="1508"/>
      <c r="Y24" s="3360"/>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360"/>
      <c r="Q25" s="1496">
        <f t="shared" si="11"/>
        <v>111</v>
      </c>
      <c r="R25" s="709" t="s">
        <v>17</v>
      </c>
      <c r="S25" s="710">
        <f>F25</f>
        <v>100</v>
      </c>
      <c r="T25" s="709" t="s">
        <v>17</v>
      </c>
      <c r="U25" s="710">
        <f>H25</f>
        <v>100</v>
      </c>
      <c r="V25" s="709" t="s">
        <v>17</v>
      </c>
      <c r="W25" s="710">
        <f>J25</f>
        <v>100</v>
      </c>
      <c r="X25" s="711"/>
      <c r="Y25" s="3360"/>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20"/>
      <c r="M26" s="2914"/>
      <c r="N26" s="2914"/>
      <c r="O26" s="2914"/>
      <c r="P26" s="3361"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362"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99</v>
      </c>
      <c r="G27" s="610" t="str">
        <f>车位成交案例!G3</f>
        <v>1:1</v>
      </c>
      <c r="H27" s="393">
        <f>SUMIF(81:81,G27,82:82)-SUMIF(81:81,C27,82:82)+100</f>
        <v>98</v>
      </c>
      <c r="I27" s="610" t="str">
        <f>车位成交案例!G4</f>
        <v>1:0.75</v>
      </c>
      <c r="J27" s="393">
        <f>SUMIF(81:81,I27,82:82)-SUMIF(81:81,C27,82:82)+100</f>
        <v>97</v>
      </c>
      <c r="K27" s="569"/>
      <c r="L27" s="2919"/>
      <c r="M27" s="2921"/>
      <c r="N27" s="2921"/>
      <c r="O27" s="2921"/>
      <c r="P27" s="3362"/>
      <c r="Q27" s="715" t="str">
        <f t="shared" si="11"/>
        <v>项目停车位配比</v>
      </c>
      <c r="R27" s="716" t="s">
        <v>17</v>
      </c>
      <c r="S27" s="717">
        <f t="shared" si="12"/>
        <v>99</v>
      </c>
      <c r="T27" s="716" t="s">
        <v>17</v>
      </c>
      <c r="U27" s="717">
        <f t="shared" si="13"/>
        <v>98</v>
      </c>
      <c r="V27" s="716" t="s">
        <v>17</v>
      </c>
      <c r="W27" s="717">
        <f t="shared" si="14"/>
        <v>97</v>
      </c>
      <c r="X27" s="718"/>
      <c r="Y27" s="3362"/>
      <c r="Z27" s="719" t="str">
        <f t="shared" si="15"/>
        <v>项目停车位配比</v>
      </c>
      <c r="AA27" s="1506">
        <f t="shared" si="3"/>
        <v>1.0101010101010102</v>
      </c>
      <c r="AB27" s="1506">
        <f t="shared" si="4"/>
        <v>1.0204081632653061</v>
      </c>
      <c r="AC27" s="1506">
        <f t="shared" si="5"/>
        <v>1.0309278350515463</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20"/>
      <c r="M28" s="2914"/>
      <c r="N28" s="2914"/>
      <c r="O28" s="2914"/>
      <c r="P28" s="3362"/>
      <c r="Q28" s="1505" t="str">
        <f t="shared" si="11"/>
        <v>公共部分装修</v>
      </c>
      <c r="R28" s="713" t="s">
        <v>17</v>
      </c>
      <c r="S28" s="714">
        <f t="shared" si="12"/>
        <v>100</v>
      </c>
      <c r="T28" s="713" t="s">
        <v>17</v>
      </c>
      <c r="U28" s="714">
        <f t="shared" si="13"/>
        <v>100</v>
      </c>
      <c r="V28" s="713" t="s">
        <v>17</v>
      </c>
      <c r="W28" s="714">
        <f t="shared" si="14"/>
        <v>100</v>
      </c>
      <c r="X28" s="1508"/>
      <c r="Y28" s="3362"/>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20"/>
      <c r="M29" s="2914"/>
      <c r="N29" s="2914"/>
      <c r="O29" s="2914"/>
      <c r="P29" s="3362"/>
      <c r="Q29" s="1505" t="str">
        <f t="shared" si="11"/>
        <v>成新率</v>
      </c>
      <c r="R29" s="713" t="s">
        <v>17</v>
      </c>
      <c r="S29" s="714">
        <f t="shared" si="12"/>
        <v>100</v>
      </c>
      <c r="T29" s="713" t="s">
        <v>17</v>
      </c>
      <c r="U29" s="714">
        <f t="shared" si="13"/>
        <v>100</v>
      </c>
      <c r="V29" s="713" t="s">
        <v>17</v>
      </c>
      <c r="W29" s="714">
        <f t="shared" si="14"/>
        <v>95</v>
      </c>
      <c r="X29" s="1508"/>
      <c r="Y29" s="3362"/>
      <c r="Z29" s="1509" t="str">
        <f t="shared" si="15"/>
        <v>成新率</v>
      </c>
      <c r="AA29" s="1506">
        <f t="shared" si="3"/>
        <v>1</v>
      </c>
      <c r="AB29" s="1506">
        <f t="shared" si="4"/>
        <v>1</v>
      </c>
      <c r="AC29" s="1506">
        <f t="shared" si="5"/>
        <v>1.0526315789473684</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20"/>
      <c r="M30" s="2914"/>
      <c r="N30" s="2914"/>
      <c r="O30" s="2914"/>
      <c r="P30" s="3362"/>
      <c r="Q30" s="1505" t="str">
        <f t="shared" si="11"/>
        <v>物业等级</v>
      </c>
      <c r="R30" s="713" t="s">
        <v>17</v>
      </c>
      <c r="S30" s="714">
        <f t="shared" si="12"/>
        <v>100</v>
      </c>
      <c r="T30" s="713" t="s">
        <v>17</v>
      </c>
      <c r="U30" s="714">
        <f t="shared" si="13"/>
        <v>100</v>
      </c>
      <c r="V30" s="713" t="s">
        <v>17</v>
      </c>
      <c r="W30" s="714">
        <f t="shared" si="14"/>
        <v>100</v>
      </c>
      <c r="X30" s="1508"/>
      <c r="Y30" s="3362"/>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5"/>
      <c r="M31" s="2916"/>
      <c r="N31" s="2916"/>
      <c r="O31" s="2916"/>
      <c r="P31" s="3362"/>
      <c r="Q31" s="1496" t="str">
        <f t="shared" si="11"/>
        <v>停车位面积</v>
      </c>
      <c r="R31" s="709" t="s">
        <v>17</v>
      </c>
      <c r="S31" s="710">
        <f t="shared" si="12"/>
        <v>100</v>
      </c>
      <c r="T31" s="709" t="s">
        <v>17</v>
      </c>
      <c r="U31" s="710">
        <f t="shared" si="13"/>
        <v>100</v>
      </c>
      <c r="V31" s="709" t="s">
        <v>17</v>
      </c>
      <c r="W31" s="710">
        <f t="shared" si="14"/>
        <v>100</v>
      </c>
      <c r="X31" s="711"/>
      <c r="Y31" s="3362"/>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20"/>
      <c r="M32" s="2914"/>
      <c r="N32" s="2914"/>
      <c r="O32" s="2914"/>
      <c r="P32" s="3362" t="s">
        <v>2326</v>
      </c>
      <c r="Q32" s="1505" t="str">
        <f t="shared" si="11"/>
        <v>车位类型</v>
      </c>
      <c r="R32" s="713" t="s">
        <v>17</v>
      </c>
      <c r="S32" s="714">
        <f t="shared" si="12"/>
        <v>100</v>
      </c>
      <c r="T32" s="713" t="s">
        <v>17</v>
      </c>
      <c r="U32" s="714">
        <f t="shared" si="13"/>
        <v>100</v>
      </c>
      <c r="V32" s="713" t="s">
        <v>17</v>
      </c>
      <c r="W32" s="714">
        <f t="shared" si="14"/>
        <v>100</v>
      </c>
      <c r="X32" s="1508"/>
      <c r="Y32" s="3362"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362"/>
      <c r="Q33" s="1505" t="str">
        <f t="shared" si="11"/>
        <v>是否直接入户</v>
      </c>
      <c r="R33" s="713" t="s">
        <v>17</v>
      </c>
      <c r="S33" s="714">
        <f t="shared" si="12"/>
        <v>100</v>
      </c>
      <c r="T33" s="713" t="s">
        <v>17</v>
      </c>
      <c r="U33" s="714">
        <f t="shared" si="13"/>
        <v>100</v>
      </c>
      <c r="V33" s="713" t="s">
        <v>17</v>
      </c>
      <c r="W33" s="714">
        <f t="shared" si="14"/>
        <v>100</v>
      </c>
      <c r="X33" s="1508"/>
      <c r="Y33" s="3362"/>
      <c r="Z33" s="1509" t="str">
        <f t="shared" si="15"/>
        <v>是否直接入户</v>
      </c>
      <c r="AA33" s="1506">
        <f t="shared" si="3"/>
        <v>1</v>
      </c>
      <c r="AB33" s="1506">
        <f t="shared" si="4"/>
        <v>1</v>
      </c>
      <c r="AC33" s="1506">
        <f t="shared" si="5"/>
        <v>1</v>
      </c>
    </row>
    <row r="34" spans="1:29" ht="15" hidden="1">
      <c r="A34" s="611"/>
      <c r="B34" s="3249" t="s">
        <v>3237</v>
      </c>
      <c r="C34" s="3250"/>
      <c r="D34" s="393">
        <v>100</v>
      </c>
      <c r="E34" s="390"/>
      <c r="F34" s="419">
        <f>SUMIF(97:97,E34,98:98)-SUMIF(97:97,C34,98:98)+100</f>
        <v>100</v>
      </c>
      <c r="G34" s="3250"/>
      <c r="H34" s="393">
        <f>SUMIF(97:97,G34,98:98)-SUMIF(97:97,C34,98:98)+100</f>
        <v>100</v>
      </c>
      <c r="I34" s="3250"/>
      <c r="J34" s="393">
        <f>SUMIF(97:97,I34,98:98)-SUMIF(97:97,C34,98:98)+100</f>
        <v>100</v>
      </c>
      <c r="K34" s="569"/>
      <c r="L34" s="2920"/>
      <c r="M34" s="2914"/>
      <c r="N34" s="2914"/>
      <c r="O34" s="2914"/>
      <c r="P34" s="3362"/>
      <c r="Q34" s="1505" t="str">
        <f t="shared" si="11"/>
        <v>建筑类型</v>
      </c>
      <c r="R34" s="713" t="s">
        <v>17</v>
      </c>
      <c r="S34" s="714">
        <f t="shared" si="12"/>
        <v>100</v>
      </c>
      <c r="T34" s="713" t="s">
        <v>17</v>
      </c>
      <c r="U34" s="714">
        <f t="shared" si="13"/>
        <v>100</v>
      </c>
      <c r="V34" s="713" t="s">
        <v>17</v>
      </c>
      <c r="W34" s="714">
        <f t="shared" si="14"/>
        <v>100</v>
      </c>
      <c r="X34" s="1508"/>
      <c r="Y34" s="3362"/>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362"/>
      <c r="Q35" s="715">
        <f t="shared" si="11"/>
        <v>111</v>
      </c>
      <c r="R35" s="716" t="s">
        <v>17</v>
      </c>
      <c r="S35" s="717">
        <f t="shared" si="12"/>
        <v>100</v>
      </c>
      <c r="T35" s="716" t="s">
        <v>17</v>
      </c>
      <c r="U35" s="717">
        <f t="shared" si="13"/>
        <v>100</v>
      </c>
      <c r="V35" s="716" t="s">
        <v>17</v>
      </c>
      <c r="W35" s="717">
        <f t="shared" si="14"/>
        <v>100</v>
      </c>
      <c r="X35" s="718"/>
      <c r="Y35" s="3362"/>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362"/>
      <c r="Q36" s="1505">
        <f t="shared" si="11"/>
        <v>111</v>
      </c>
      <c r="R36" s="713" t="s">
        <v>17</v>
      </c>
      <c r="S36" s="714">
        <f t="shared" si="12"/>
        <v>100</v>
      </c>
      <c r="T36" s="713" t="s">
        <v>17</v>
      </c>
      <c r="U36" s="714">
        <f t="shared" si="13"/>
        <v>100</v>
      </c>
      <c r="V36" s="713" t="s">
        <v>17</v>
      </c>
      <c r="W36" s="714">
        <f t="shared" si="14"/>
        <v>100</v>
      </c>
      <c r="X36" s="1508"/>
      <c r="Y36" s="3362"/>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2"/>
      <c r="M37" s="2923"/>
      <c r="N37" s="2914"/>
      <c r="O37" s="2923"/>
      <c r="P37" s="3354" t="str">
        <f>A37</f>
        <v>成交单价</v>
      </c>
      <c r="Q37" s="3354"/>
      <c r="R37" s="3355">
        <f>E37</f>
        <v>7796</v>
      </c>
      <c r="S37" s="3355"/>
      <c r="T37" s="3355">
        <f>G37</f>
        <v>8722</v>
      </c>
      <c r="U37" s="3355"/>
      <c r="V37" s="3355">
        <f>I37</f>
        <v>6771</v>
      </c>
      <c r="W37" s="3355"/>
      <c r="X37" s="698"/>
      <c r="Y37" s="720"/>
      <c r="Z37" s="698"/>
      <c r="AA37" s="698"/>
      <c r="AB37" s="698"/>
      <c r="AC37" s="698"/>
    </row>
    <row r="38" spans="1:29" ht="15.75" thickBot="1">
      <c r="A38" s="444" t="s">
        <v>2482</v>
      </c>
      <c r="B38" s="445" t="str">
        <f>B37</f>
        <v>元/平方米</v>
      </c>
      <c r="C38" s="1293">
        <f>R39</f>
        <v>8091</v>
      </c>
      <c r="D38" s="2507" t="s">
        <v>2818</v>
      </c>
      <c r="E38" s="1294">
        <f>R38</f>
        <v>7875</v>
      </c>
      <c r="F38" s="2508"/>
      <c r="G38" s="1293">
        <f>T38</f>
        <v>8900</v>
      </c>
      <c r="H38" s="2508"/>
      <c r="I38" s="1294">
        <f>V38</f>
        <v>7498</v>
      </c>
      <c r="J38" s="2508"/>
      <c r="K38" s="2510">
        <f>F38+H38+J38</f>
        <v>0</v>
      </c>
      <c r="L38" s="2922"/>
      <c r="M38" s="2923"/>
      <c r="N38" s="2923"/>
      <c r="O38" s="2923"/>
      <c r="P38" s="3354" t="str">
        <f>A38</f>
        <v>比较价值（元/平方米）</v>
      </c>
      <c r="Q38" s="3354"/>
      <c r="R38" s="3355">
        <f>IF(F1="售价",ROUND(PRODUCT(R37,AA7:AA36),0),ROUND(PRODUCT(R37,AA7:AA36),1))</f>
        <v>7875</v>
      </c>
      <c r="S38" s="3355"/>
      <c r="T38" s="3355">
        <f>IF(F1="售价",ROUND(PRODUCT(T37,AB7:AB36),0),ROUND(PRODUCT(T37,AB7:AB36),1))</f>
        <v>8900</v>
      </c>
      <c r="U38" s="3355"/>
      <c r="V38" s="3355">
        <f>IF(F1="售价",ROUND(PRODUCT(V37,AC7:AC36),0),ROUND(PRODUCT(V37,AC7:AC36),1))</f>
        <v>7498</v>
      </c>
      <c r="W38" s="3355"/>
      <c r="X38" s="698"/>
      <c r="Y38" s="698"/>
      <c r="Z38" s="698"/>
      <c r="AA38" s="698"/>
      <c r="AB38" s="698"/>
      <c r="AC38" s="698"/>
    </row>
    <row r="39" spans="1:29" ht="15.75" thickBot="1">
      <c r="A39" s="448" t="s">
        <v>2483</v>
      </c>
      <c r="B39" s="449"/>
      <c r="C39" s="1296">
        <f>R39</f>
        <v>8091</v>
      </c>
      <c r="D39" s="1296"/>
      <c r="E39" s="1296"/>
      <c r="F39" s="1296"/>
      <c r="G39" s="1296"/>
      <c r="H39" s="1296"/>
      <c r="I39" s="1296"/>
      <c r="J39" s="1296"/>
      <c r="K39" s="576"/>
      <c r="L39" s="2922"/>
      <c r="M39" s="2923"/>
      <c r="N39" s="2923"/>
      <c r="O39" s="2923"/>
      <c r="P39" s="3356" t="str">
        <f>A39</f>
        <v>估价对象XX用房的比较价值（楼面单价，元/平方米）</v>
      </c>
      <c r="Q39" s="3357"/>
      <c r="R39" s="3358">
        <f>IF(F1="售价",ROUND(IF(D38="简单平均",AVERAGE(R38:W38),R38*F38+T38*H38+V38*J38),0),ROUND(IF(D38="简单平均",AVERAGE(R38:V38),R38*F38+T38*H38+V38*J38),1))</f>
        <v>8091</v>
      </c>
      <c r="S39" s="3358"/>
      <c r="T39" s="3358"/>
      <c r="U39" s="3358"/>
      <c r="V39" s="3358"/>
      <c r="W39" s="3358"/>
      <c r="X39" s="698"/>
      <c r="Y39" s="698"/>
      <c r="Z39" s="698"/>
      <c r="AA39" s="698"/>
      <c r="AB39" s="698"/>
      <c r="AC39" s="698"/>
    </row>
    <row r="40" spans="1:29">
      <c r="A40" s="2923"/>
      <c r="B40" s="2923"/>
      <c r="C40" s="2923">
        <f>C39*43</f>
        <v>347913</v>
      </c>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2484</v>
      </c>
      <c r="D42" s="454"/>
      <c r="E42" s="455">
        <f>IF(E37&lt;E38,E38/E37-1,E37/E38-1)</f>
        <v>1.0133401744484294E-2</v>
      </c>
      <c r="F42" s="456" t="str">
        <f>IF(OR(E42&gt;=0.3,E42&lt;=-0.3),"超过30%","")</f>
        <v/>
      </c>
      <c r="G42" s="455">
        <f>IF(G37&lt;G38,G38/G37-1,G37/G38-1)</f>
        <v>2.0408163265306145E-2</v>
      </c>
      <c r="H42" s="456" t="str">
        <f>IF(OR(G42&gt;=0.3,G42&lt;=-0.3),"超过30%","")</f>
        <v/>
      </c>
      <c r="I42" s="455">
        <f>IF(I37&lt;I38,I38/I37-1,I37/I38-1)</f>
        <v>0.10736966474671394</v>
      </c>
      <c r="J42" s="456"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2485</v>
      </c>
      <c r="D43" s="457"/>
      <c r="E43" s="455">
        <f>IF(E38&lt;G38,G38/E38-1,E38/G38-1)</f>
        <v>0.13015873015873014</v>
      </c>
      <c r="F43" s="456" t="str">
        <f>IF(OR(E43&gt;=0.2,E43&lt;=-0.2),"超过20%","")</f>
        <v/>
      </c>
      <c r="G43" s="455">
        <f>IF(G38&lt;I38,I38/G38-1,G38/I38-1)</f>
        <v>0.18698319551880505</v>
      </c>
      <c r="H43" s="456" t="str">
        <f>IF(OR(G43&gt;=0.2,G43&lt;=-0.2),"超过20%","")</f>
        <v/>
      </c>
      <c r="I43" s="455">
        <f>IF(I38&lt;E38,E38/I38-1,I38/E38-1)</f>
        <v>5.0280074686583021E-2</v>
      </c>
      <c r="J43" s="456"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2487</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2346</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2311</v>
      </c>
      <c r="B51" s="466"/>
      <c r="C51" s="478" t="s">
        <v>2413</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2349</v>
      </c>
      <c r="B53" s="484" t="s">
        <v>2315</v>
      </c>
      <c r="C53" s="485" t="str">
        <f>C9</f>
        <v>车位</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t="str">
        <f>B11</f>
        <v>容积率</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98</v>
      </c>
      <c r="E64" s="500">
        <f>D64-$K14</f>
        <v>96</v>
      </c>
      <c r="F64" s="500">
        <f>E64-$K14</f>
        <v>94</v>
      </c>
      <c r="G64" s="500">
        <f>F64-$K14</f>
        <v>92</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2364</v>
      </c>
      <c r="C65" s="534" t="s">
        <v>2358</v>
      </c>
      <c r="D65" s="534" t="s">
        <v>2359</v>
      </c>
      <c r="E65" s="534" t="s">
        <v>2360</v>
      </c>
      <c r="F65" s="534" t="s">
        <v>2361</v>
      </c>
      <c r="G65" s="534" t="s">
        <v>2362</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98</v>
      </c>
      <c r="E66" s="500">
        <f>D66-$K16</f>
        <v>96</v>
      </c>
      <c r="F66" s="500">
        <f>E66-$K16</f>
        <v>94</v>
      </c>
      <c r="G66" s="500">
        <f>F66-$K16</f>
        <v>92</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2450</v>
      </c>
      <c r="C67" s="615" t="s">
        <v>2436</v>
      </c>
      <c r="D67" s="615" t="s">
        <v>2437</v>
      </c>
      <c r="E67" s="615" t="s">
        <v>2438</v>
      </c>
      <c r="F67" s="615" t="s">
        <v>2439</v>
      </c>
      <c r="G67" s="615" t="s">
        <v>2440</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98</v>
      </c>
      <c r="E68" s="500">
        <f>D68-$K18</f>
        <v>96</v>
      </c>
      <c r="F68" s="500">
        <f>E68-$K18</f>
        <v>94</v>
      </c>
      <c r="G68" s="500">
        <f>F68-$K18</f>
        <v>92</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2370</v>
      </c>
      <c r="C69" s="534" t="s">
        <v>2358</v>
      </c>
      <c r="D69" s="534" t="s">
        <v>2359</v>
      </c>
      <c r="E69" s="534" t="s">
        <v>2360</v>
      </c>
      <c r="F69" s="534" t="s">
        <v>2361</v>
      </c>
      <c r="G69" s="534" t="s">
        <v>2362</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98</v>
      </c>
      <c r="E70" s="500">
        <f>D70-$K20</f>
        <v>96</v>
      </c>
      <c r="F70" s="500">
        <f>E70-$K20</f>
        <v>94</v>
      </c>
      <c r="G70" s="500">
        <f>F70-$K20</f>
        <v>92</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2489</v>
      </c>
      <c r="C71" s="510">
        <v>-1</v>
      </c>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98</v>
      </c>
      <c r="E72" s="500">
        <f>D72-$K22</f>
        <v>96</v>
      </c>
      <c r="F72" s="500">
        <f>E72-$K22</f>
        <v>94</v>
      </c>
      <c r="G72" s="500">
        <f>F72-$K22</f>
        <v>92</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2324</v>
      </c>
      <c r="B79" s="484" t="s">
        <v>2490</v>
      </c>
      <c r="C79" s="485" t="str">
        <f>C26</f>
        <v>车库</v>
      </c>
      <c r="D79" s="3235" t="s">
        <v>3171</v>
      </c>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v>100</v>
      </c>
      <c r="D82" s="492">
        <v>99</v>
      </c>
      <c r="E82" s="492">
        <v>98</v>
      </c>
      <c r="F82" s="492">
        <v>97</v>
      </c>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2377</v>
      </c>
      <c r="C83" s="3233" t="s">
        <v>3166</v>
      </c>
      <c r="D83" s="3233" t="s">
        <v>3165</v>
      </c>
      <c r="E83" s="3234" t="s">
        <v>3167</v>
      </c>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2493</v>
      </c>
      <c r="C88" s="3235" t="s">
        <v>3169</v>
      </c>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v>20000</v>
      </c>
      <c r="D91" s="551">
        <v>40000</v>
      </c>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v>100</v>
      </c>
      <c r="D92" s="492">
        <v>99</v>
      </c>
      <c r="E92" s="492">
        <v>98</v>
      </c>
      <c r="F92" s="492">
        <v>97</v>
      </c>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2495</v>
      </c>
      <c r="C93" s="3233" t="s">
        <v>3172</v>
      </c>
      <c r="D93" s="3233" t="s">
        <v>3174</v>
      </c>
      <c r="E93" s="3234" t="s">
        <v>3175</v>
      </c>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2496</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t="str">
        <f>B34</f>
        <v>建筑类型</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90" priority="18" stopIfTrue="1" operator="containsText" text="超过">
      <formula>NOT(ISERROR(SEARCH("超过",F42)))</formula>
    </cfRule>
  </conditionalFormatting>
  <conditionalFormatting sqref="J44">
    <cfRule type="containsText" dxfId="189" priority="17" stopIfTrue="1" operator="containsText" text="超过">
      <formula>NOT(ISERROR(SEARCH("超过",J44)))</formula>
    </cfRule>
  </conditionalFormatting>
  <conditionalFormatting sqref="H44">
    <cfRule type="containsText" dxfId="188" priority="16" stopIfTrue="1" operator="containsText" text="超过">
      <formula>NOT(ISERROR(SEARCH("超过",H44)))</formula>
    </cfRule>
  </conditionalFormatting>
  <conditionalFormatting sqref="F44">
    <cfRule type="containsText" dxfId="187" priority="15" stopIfTrue="1" operator="containsText" text="超过">
      <formula>NOT(ISERROR(SEARCH("超过",F44)))</formula>
    </cfRule>
  </conditionalFormatting>
  <conditionalFormatting sqref="F43 H43 J43">
    <cfRule type="containsText" dxfId="186" priority="14" stopIfTrue="1" operator="containsText" text="超过">
      <formula>NOT(ISERROR(SEARCH("超过",F43)))</formula>
    </cfRule>
  </conditionalFormatting>
  <conditionalFormatting sqref="E42">
    <cfRule type="expression" dxfId="185" priority="13" stopIfTrue="1">
      <formula>$F$42="超过30%"</formula>
    </cfRule>
  </conditionalFormatting>
  <conditionalFormatting sqref="G44">
    <cfRule type="expression" dxfId="184" priority="12" stopIfTrue="1">
      <formula>$H$54+$H$44="超过30%"</formula>
    </cfRule>
  </conditionalFormatting>
  <conditionalFormatting sqref="E43">
    <cfRule type="expression" dxfId="183" priority="11" stopIfTrue="1">
      <formula>$F$43="超过20%"</formula>
    </cfRule>
  </conditionalFormatting>
  <conditionalFormatting sqref="E44">
    <cfRule type="expression" dxfId="182" priority="10" stopIfTrue="1">
      <formula>$F$44="超过30%"</formula>
    </cfRule>
  </conditionalFormatting>
  <conditionalFormatting sqref="G42">
    <cfRule type="expression" dxfId="181" priority="9" stopIfTrue="1">
      <formula>$H$52+$H$42="超过30%"</formula>
    </cfRule>
  </conditionalFormatting>
  <conditionalFormatting sqref="G43">
    <cfRule type="expression" dxfId="180" priority="8" stopIfTrue="1">
      <formula>$H$43="超过20%"</formula>
    </cfRule>
  </conditionalFormatting>
  <conditionalFormatting sqref="I42">
    <cfRule type="expression" dxfId="179" priority="7" stopIfTrue="1">
      <formula>$J$52+$J$42="超过30%"</formula>
    </cfRule>
  </conditionalFormatting>
  <conditionalFormatting sqref="I43">
    <cfRule type="expression" dxfId="178" priority="6" stopIfTrue="1">
      <formula>$J$53+$J$43="超过20%"</formula>
    </cfRule>
  </conditionalFormatting>
  <conditionalFormatting sqref="I44">
    <cfRule type="expression" dxfId="177" priority="5" stopIfTrue="1">
      <formula>$J$44="超过30%"</formula>
    </cfRule>
  </conditionalFormatting>
  <conditionalFormatting sqref="F38">
    <cfRule type="expression" dxfId="176" priority="4">
      <formula>$D$38="简单平均"</formula>
    </cfRule>
  </conditionalFormatting>
  <conditionalFormatting sqref="H38">
    <cfRule type="expression" dxfId="175" priority="3">
      <formula>$D$38="简单平均"</formula>
    </cfRule>
  </conditionalFormatting>
  <conditionalFormatting sqref="J38">
    <cfRule type="expression" dxfId="174" priority="2">
      <formula>$D$38="简单平均"</formula>
    </cfRule>
  </conditionalFormatting>
  <conditionalFormatting sqref="F7:F36 H7:H36 J7:J36">
    <cfRule type="cellIs" dxfId="173" priority="1" operator="notEqual">
      <formula>100</formula>
    </cfRule>
  </conditionalFormatting>
  <dataValidations count="20">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G17 C17 E17 I17" xr:uid="{00000000-0002-0000-1200-000002000000}">
      <formula1>公共配套设施</formula1>
    </dataValidation>
    <dataValidation type="list" allowBlank="1" showInputMessage="1" showErrorMessage="1" sqref="G15 E15 C15 I15" xr:uid="{00000000-0002-0000-1200-000003000000}">
      <formula1>交通便捷度</formula1>
    </dataValidation>
    <dataValidation type="list" allowBlank="1" showInputMessage="1" showErrorMessage="1" sqref="C8 E8 G8 I8" xr:uid="{00000000-0002-0000-1200-000004000000}">
      <formula1>车位交易情况</formula1>
    </dataValidation>
    <dataValidation type="list" allowBlank="1" showInputMessage="1" showErrorMessage="1" sqref="E9 G9 I9" xr:uid="{00000000-0002-0000-1200-000005000000}">
      <formula1>车位用途</formula1>
    </dataValidation>
    <dataValidation type="list" allowBlank="1" showInputMessage="1" showErrorMessage="1" sqref="C22 E22 G22 I22" xr:uid="{00000000-0002-0000-1200-000006000000}">
      <formula1>车位楼层</formula1>
    </dataValidation>
    <dataValidation type="list" allowBlank="1" showInputMessage="1" showErrorMessage="1" sqref="C30 E30 G30 I30" xr:uid="{00000000-0002-0000-1200-000007000000}">
      <formula1>车位物业等级</formula1>
    </dataValidation>
    <dataValidation type="list" allowBlank="1" showInputMessage="1" showErrorMessage="1" sqref="C32 E32 G32 I32" xr:uid="{00000000-0002-0000-1200-000008000000}">
      <formula1>车位类型</formula1>
    </dataValidation>
    <dataValidation type="list" allowBlank="1" showInputMessage="1" showErrorMessage="1" sqref="C33 E33 G33 I33" xr:uid="{00000000-0002-0000-1200-000009000000}">
      <formula1>是否直接入户</formula1>
    </dataValidation>
    <dataValidation type="list" allowBlank="1" showInputMessage="1" showErrorMessage="1" sqref="B1" xr:uid="{00000000-0002-0000-1200-00000A000000}">
      <formula1>地类判定</formula1>
    </dataValidation>
    <dataValidation type="list" allowBlank="1" showInputMessage="1" showErrorMessage="1" sqref="I26 E26 G26" xr:uid="{00000000-0002-0000-1200-00000B000000}">
      <formula1>车位配套类型</formula1>
    </dataValidation>
    <dataValidation type="list" allowBlank="1" showInputMessage="1" showErrorMessage="1" sqref="C28 E28 G28 I28" xr:uid="{00000000-0002-0000-1200-00000C000000}">
      <formula1>车位公共部分装修</formula1>
    </dataValidation>
    <dataValidation type="list" allowBlank="1" showInputMessage="1" showErrorMessage="1" sqref="B37" xr:uid="{00000000-0002-0000-1200-00000D000000}">
      <formula1>"元/平方米,元/车位"</formula1>
    </dataValidation>
    <dataValidation type="list" allowBlank="1" showInputMessage="1" showErrorMessage="1" sqref="C21 E21 G21 I21" xr:uid="{00000000-0002-0000-1200-00000E000000}">
      <formula1>环境</formula1>
    </dataValidation>
    <dataValidation type="list" allowBlank="1" showInputMessage="1" showErrorMessage="1" sqref="C19 E19 G19 I19"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 type="list" allowBlank="1" showInputMessage="1" showErrorMessage="1" sqref="D38"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9" t="str">
        <f>项目基本情况!B1</f>
        <v>北京市房地产市场价值预评估</v>
      </c>
      <c r="C37" s="3259"/>
      <c r="D37" s="3259"/>
      <c r="E37" s="3259"/>
      <c r="F37" s="3259"/>
      <c r="G37" s="3259"/>
      <c r="H37" s="3259"/>
      <c r="I37" s="325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 zoomScale="90" zoomScaleNormal="100" zoomScaleSheetLayoutView="90" zoomScalePageLayoutView="80" workbookViewId="0">
      <selection activeCell="E19" sqref="E19"/>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429" t="str">
        <f>项目基本情况!S2</f>
        <v>北京市房地产</v>
      </c>
      <c r="B2" s="3430"/>
      <c r="C2" s="3430"/>
      <c r="D2" s="3430"/>
      <c r="E2" s="3430"/>
      <c r="F2" s="3430"/>
      <c r="G2" s="3430"/>
      <c r="H2" s="3430"/>
      <c r="I2" s="3431"/>
    </row>
    <row r="3" spans="1:12" ht="12.75">
      <c r="A3" s="3433" t="s">
        <v>1890</v>
      </c>
      <c r="B3" s="3434"/>
      <c r="C3" s="3434"/>
      <c r="D3" s="3434"/>
      <c r="E3" s="3434"/>
      <c r="F3" s="3434"/>
      <c r="G3" s="3434"/>
      <c r="H3" s="3434"/>
      <c r="I3" s="3434"/>
    </row>
    <row r="4" spans="1:12" ht="14.25">
      <c r="A4" s="1909" t="s">
        <v>1891</v>
      </c>
      <c r="B4" s="1910" t="s">
        <v>1892</v>
      </c>
      <c r="C4" s="1911" t="s">
        <v>3239</v>
      </c>
      <c r="D4" s="1911" t="s">
        <v>3144</v>
      </c>
      <c r="E4" s="3435" t="s">
        <v>1893</v>
      </c>
      <c r="F4" s="3436"/>
      <c r="G4" s="3436"/>
      <c r="H4" s="3436"/>
      <c r="I4" s="3437"/>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09" t="s">
        <v>1894</v>
      </c>
      <c r="B5" s="3363">
        <v>25</v>
      </c>
      <c r="C5" s="3412">
        <v>60</v>
      </c>
      <c r="D5" s="3432">
        <f>100-C5</f>
        <v>40</v>
      </c>
      <c r="E5" s="136" t="s">
        <v>1895</v>
      </c>
      <c r="F5" s="1912"/>
      <c r="G5" s="1912"/>
      <c r="H5" s="1912"/>
      <c r="I5" s="1526"/>
    </row>
    <row r="6" spans="1:12" ht="12.75">
      <c r="A6" s="3409"/>
      <c r="B6" s="3363"/>
      <c r="C6" s="3413"/>
      <c r="D6" s="3432"/>
      <c r="E6" s="136" t="s">
        <v>1896</v>
      </c>
      <c r="F6" s="1912"/>
      <c r="G6" s="1912"/>
      <c r="H6" s="1912"/>
      <c r="I6" s="1526"/>
    </row>
    <row r="7" spans="1:12" ht="12.75">
      <c r="A7" s="3409"/>
      <c r="B7" s="3363"/>
      <c r="C7" s="3414"/>
      <c r="D7" s="3432"/>
      <c r="E7" s="136" t="s">
        <v>1897</v>
      </c>
      <c r="F7" s="1912"/>
      <c r="G7" s="1912"/>
      <c r="H7" s="1912"/>
      <c r="I7" s="1526"/>
    </row>
    <row r="8" spans="1:12" ht="12.75">
      <c r="A8" s="3409" t="s">
        <v>1898</v>
      </c>
      <c r="B8" s="3363">
        <v>15</v>
      </c>
      <c r="C8" s="3412"/>
      <c r="D8" s="3432"/>
      <c r="E8" s="136" t="s">
        <v>1899</v>
      </c>
      <c r="F8" s="1912"/>
      <c r="G8" s="1912"/>
      <c r="H8" s="1912"/>
      <c r="I8" s="1526"/>
    </row>
    <row r="9" spans="1:12" ht="12.75">
      <c r="A9" s="3409"/>
      <c r="B9" s="3363"/>
      <c r="C9" s="3414"/>
      <c r="D9" s="3432"/>
      <c r="E9" s="136" t="s">
        <v>1900</v>
      </c>
      <c r="F9" s="1912"/>
      <c r="G9" s="1912"/>
      <c r="H9" s="1912"/>
      <c r="I9" s="1526"/>
    </row>
    <row r="10" spans="1:12" ht="12.75">
      <c r="A10" s="3409" t="s">
        <v>1901</v>
      </c>
      <c r="B10" s="3363">
        <v>15</v>
      </c>
      <c r="C10" s="3412"/>
      <c r="D10" s="3432"/>
      <c r="E10" s="136" t="s">
        <v>1902</v>
      </c>
      <c r="F10" s="1912"/>
      <c r="G10" s="1912"/>
      <c r="H10" s="1912"/>
      <c r="I10" s="1526"/>
    </row>
    <row r="11" spans="1:12" ht="12.75">
      <c r="A11" s="3409"/>
      <c r="B11" s="3363"/>
      <c r="C11" s="3414"/>
      <c r="D11" s="3432"/>
      <c r="E11" s="136" t="s">
        <v>1903</v>
      </c>
      <c r="F11" s="1912"/>
      <c r="G11" s="1912"/>
      <c r="H11" s="1912"/>
      <c r="I11" s="1526"/>
    </row>
    <row r="12" spans="1:12" ht="12.75">
      <c r="A12" s="3409" t="s">
        <v>1904</v>
      </c>
      <c r="B12" s="3363">
        <v>15</v>
      </c>
      <c r="C12" s="3412"/>
      <c r="D12" s="3432"/>
      <c r="E12" s="136" t="s">
        <v>1905</v>
      </c>
      <c r="F12" s="1912"/>
      <c r="G12" s="1912"/>
      <c r="H12" s="1912"/>
      <c r="I12" s="1526"/>
    </row>
    <row r="13" spans="1:12" ht="12.75">
      <c r="A13" s="3409"/>
      <c r="B13" s="3363"/>
      <c r="C13" s="3414"/>
      <c r="D13" s="3432"/>
      <c r="E13" s="136" t="s">
        <v>1906</v>
      </c>
      <c r="F13" s="1912"/>
      <c r="G13" s="1912"/>
      <c r="H13" s="1912"/>
      <c r="I13" s="1526"/>
    </row>
    <row r="14" spans="1:12" ht="12.75">
      <c r="A14" s="3409" t="s">
        <v>1907</v>
      </c>
      <c r="B14" s="3363">
        <v>30</v>
      </c>
      <c r="C14" s="3412"/>
      <c r="D14" s="3432"/>
      <c r="E14" s="136" t="s">
        <v>1908</v>
      </c>
      <c r="F14" s="1912"/>
      <c r="G14" s="1912"/>
      <c r="H14" s="1912"/>
      <c r="I14" s="1526"/>
    </row>
    <row r="15" spans="1:12" ht="12.75">
      <c r="A15" s="3409"/>
      <c r="B15" s="3363"/>
      <c r="C15" s="3413"/>
      <c r="D15" s="3432"/>
      <c r="E15" s="136" t="s">
        <v>1909</v>
      </c>
      <c r="F15" s="1912"/>
      <c r="G15" s="1912"/>
      <c r="H15" s="1912"/>
      <c r="I15" s="1526"/>
    </row>
    <row r="16" spans="1:12" ht="12.75">
      <c r="A16" s="3409"/>
      <c r="B16" s="3363"/>
      <c r="C16" s="3414"/>
      <c r="D16" s="3432"/>
      <c r="E16" s="136" t="s">
        <v>1910</v>
      </c>
      <c r="F16" s="1912"/>
      <c r="G16" s="1912"/>
      <c r="H16" s="1912"/>
      <c r="I16" s="1526"/>
    </row>
    <row r="17" spans="1:36" ht="15">
      <c r="A17" s="1913" t="s">
        <v>1911</v>
      </c>
      <c r="B17" s="60"/>
      <c r="C17" s="137">
        <f>SUM(C5:C16)</f>
        <v>60</v>
      </c>
      <c r="D17" s="137">
        <f>SUM(D5:D16)</f>
        <v>40</v>
      </c>
      <c r="E17" s="134"/>
      <c r="F17" s="134"/>
      <c r="G17" s="134"/>
      <c r="H17" s="134"/>
      <c r="I17" s="134"/>
      <c r="K17" s="307"/>
      <c r="L17" s="307" t="s">
        <v>1912</v>
      </c>
      <c r="M17" s="307" t="s">
        <v>1913</v>
      </c>
    </row>
    <row r="18" spans="1:36" ht="31.9" customHeight="1" thickBot="1">
      <c r="A18" s="1914" t="s">
        <v>1914</v>
      </c>
      <c r="B18" s="1915"/>
      <c r="C18" s="138">
        <f>ROUND(C17/SUM(C17:D17),2)</f>
        <v>0.6</v>
      </c>
      <c r="D18" s="138">
        <f>1-C18</f>
        <v>0.4</v>
      </c>
      <c r="E18" s="3419" t="s">
        <v>2811</v>
      </c>
      <c r="F18" s="3420"/>
      <c r="G18" s="3420"/>
      <c r="H18" s="3420"/>
      <c r="I18" s="3420"/>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9531</v>
      </c>
      <c r="D19" s="140">
        <f ca="1">SUMIF(INDIRECT("'"&amp;D4&amp;"'"&amp;"!A:A"),'结果表-车位'!B19,INDIRECT("'"&amp;D4&amp;"'"&amp;"!B:B"))</f>
        <v>3492</v>
      </c>
      <c r="E19" s="1916" t="s">
        <v>1918</v>
      </c>
      <c r="F19" s="1917" t="s">
        <v>1917</v>
      </c>
      <c r="G19" s="141">
        <f ca="1">ROUND(C19*$C$18+D19*$D$18,0)</f>
        <v>7115</v>
      </c>
      <c r="H19" s="1918" t="s">
        <v>1919</v>
      </c>
      <c r="I19" s="134"/>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8091</v>
      </c>
      <c r="D20" s="143">
        <f ca="1">SUMIF(INDIRECT("'"&amp;D4&amp;"'"&amp;"!A:A"),'结果表-车位'!B20,INDIRECT("'"&amp;D4&amp;"'"&amp;"!B:B"))</f>
        <v>2964</v>
      </c>
      <c r="E20" s="1919"/>
      <c r="F20" s="1156" t="s">
        <v>1921</v>
      </c>
      <c r="G20" s="3252">
        <f ca="1">ROUND(C20*$C$18+D20*$D$18,0)</f>
        <v>6040</v>
      </c>
      <c r="H20" s="916" t="s">
        <v>1922</v>
      </c>
      <c r="I20" s="1903">
        <f ca="1">G20*43/10000</f>
        <v>25.972000000000001</v>
      </c>
      <c r="J20" s="3253" t="s">
        <v>3245</v>
      </c>
    </row>
    <row r="21" spans="1:36" ht="15" customHeight="1" thickBot="1">
      <c r="A21" s="936"/>
      <c r="B21" s="1920" t="s">
        <v>1923</v>
      </c>
      <c r="C21" s="727">
        <f ca="1">ROUND(C19*10000/L19,0)</f>
        <v>15615</v>
      </c>
      <c r="D21" s="728">
        <f ca="1">ROUND(D19*10000/L19,0)</f>
        <v>5721</v>
      </c>
      <c r="E21" s="936"/>
      <c r="F21" s="1920" t="s">
        <v>1923</v>
      </c>
      <c r="G21" s="144">
        <f ca="1">ROUND(G19*10000/L19,0)</f>
        <v>11657</v>
      </c>
      <c r="H21" s="1921" t="s">
        <v>1922</v>
      </c>
      <c r="I21" s="134"/>
    </row>
    <row r="22" spans="1:36" ht="15" thickBot="1">
      <c r="A22" s="1843" t="s">
        <v>1924</v>
      </c>
      <c r="B22" s="1922"/>
      <c r="C22" s="1923"/>
      <c r="D22" s="729">
        <f ca="1">IF(C19&lt;D19,D19/C19-1,C19/D19-1)</f>
        <v>1.7293814432989691</v>
      </c>
      <c r="E22" s="134"/>
      <c r="F22" s="134">
        <f ca="1">ROUND(C20*0.6+D20*0.4,0)</f>
        <v>6040</v>
      </c>
      <c r="G22" s="134"/>
      <c r="H22" s="134"/>
      <c r="I22" s="134"/>
    </row>
    <row r="23" spans="1:36" ht="13.5" thickBot="1">
      <c r="A23" s="1902"/>
      <c r="B23" s="1902"/>
      <c r="C23" s="1902"/>
      <c r="D23" s="1902"/>
      <c r="E23" s="134"/>
      <c r="F23" s="134"/>
      <c r="G23" s="134"/>
      <c r="H23" s="134"/>
      <c r="I23" s="134"/>
    </row>
    <row r="24" spans="1:36" ht="14.25">
      <c r="A24" s="3403" t="s">
        <v>1925</v>
      </c>
      <c r="B24" s="1917" t="s">
        <v>1917</v>
      </c>
      <c r="C24" s="141">
        <f>IF(B30=0,0,D30)</f>
        <v>0</v>
      </c>
      <c r="D24" s="1924"/>
      <c r="E24" s="134"/>
      <c r="F24" s="134"/>
      <c r="G24" s="134"/>
      <c r="H24" s="134"/>
      <c r="I24" s="134"/>
    </row>
    <row r="25" spans="1:36" ht="14.25">
      <c r="A25" s="3404"/>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6040</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3" t="s">
        <v>1938</v>
      </c>
      <c r="B36" s="1942" t="s">
        <v>1939</v>
      </c>
      <c r="C36" s="149"/>
      <c r="D36" s="1943"/>
      <c r="E36" s="1944"/>
      <c r="F36" s="1945"/>
      <c r="G36" s="134"/>
      <c r="H36" s="134"/>
      <c r="I36" s="134"/>
    </row>
    <row r="37" spans="1:15" ht="15.75" thickBot="1">
      <c r="A37" s="3424"/>
      <c r="B37" s="1829" t="s">
        <v>1940</v>
      </c>
      <c r="C37" s="151"/>
      <c r="D37" s="1272"/>
      <c r="E37" s="1272"/>
      <c r="F37" s="1945"/>
      <c r="G37" s="134"/>
      <c r="H37" s="134"/>
      <c r="I37" s="134"/>
    </row>
    <row r="38" spans="1:15" ht="15.75" thickBot="1">
      <c r="A38" s="3425"/>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0" t="s">
        <v>1952</v>
      </c>
      <c r="B45" s="3401"/>
      <c r="C45" s="3402"/>
      <c r="D45" s="159" t="e">
        <f ca="1">ROUND(H101*F45,0)</f>
        <v>#REF!</v>
      </c>
      <c r="E45" s="160" t="s">
        <v>1953</v>
      </c>
      <c r="F45" s="161">
        <v>1</v>
      </c>
      <c r="G45" s="162" t="s">
        <v>1954</v>
      </c>
      <c r="H45" s="134"/>
      <c r="I45" s="134"/>
      <c r="J45" s="3481" t="s">
        <v>1955</v>
      </c>
      <c r="K45" s="3481"/>
      <c r="L45" s="3481"/>
      <c r="M45" s="3481"/>
      <c r="N45" s="3481"/>
      <c r="O45" s="3481"/>
    </row>
    <row r="46" spans="1:15" ht="14.25" customHeight="1">
      <c r="A46" s="3397" t="s">
        <v>1956</v>
      </c>
      <c r="B46" s="3398"/>
      <c r="C46" s="3398"/>
      <c r="D46" s="3398"/>
      <c r="E46" s="3398"/>
      <c r="F46" s="3398"/>
      <c r="G46" s="3399"/>
      <c r="H46" s="1961"/>
      <c r="I46" s="163"/>
      <c r="J46" s="2718">
        <v>1</v>
      </c>
      <c r="K46" s="3462" t="s">
        <v>1957</v>
      </c>
      <c r="L46" s="3462"/>
      <c r="M46" s="3482"/>
      <c r="N46" s="3482"/>
      <c r="O46" s="3482"/>
    </row>
    <row r="47" spans="1:15" ht="12" customHeight="1">
      <c r="A47" s="164" t="s">
        <v>1958</v>
      </c>
      <c r="B47" s="165"/>
      <c r="C47" s="166"/>
      <c r="D47" s="1218" t="s">
        <v>1959</v>
      </c>
      <c r="E47" s="307" t="s">
        <v>1960</v>
      </c>
      <c r="F47" s="167" t="s">
        <v>1961</v>
      </c>
      <c r="G47" s="2741" t="s">
        <v>1962</v>
      </c>
      <c r="H47" s="2742"/>
      <c r="I47" s="163"/>
      <c r="J47" s="2718">
        <v>2</v>
      </c>
      <c r="K47" s="3462" t="s">
        <v>1963</v>
      </c>
      <c r="L47" s="3462"/>
      <c r="M47" s="3483">
        <f>'数据-取费表'!B2</f>
        <v>44617</v>
      </c>
      <c r="N47" s="3483"/>
      <c r="O47" s="3483"/>
    </row>
    <row r="48" spans="1:15" ht="25.5">
      <c r="A48" s="3428" t="s">
        <v>1964</v>
      </c>
      <c r="B48" s="3411"/>
      <c r="C48" s="3411"/>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62" t="s">
        <v>1966</v>
      </c>
      <c r="L48" s="3462"/>
      <c r="M48" s="3484" t="e">
        <f ca="1">H101</f>
        <v>#REF!</v>
      </c>
      <c r="N48" s="3484"/>
      <c r="O48" s="3484"/>
    </row>
    <row r="49" spans="1:35" ht="25.5" customHeight="1">
      <c r="A49" s="2525" t="s">
        <v>1967</v>
      </c>
      <c r="B49" s="3396" t="s">
        <v>1968</v>
      </c>
      <c r="C49" s="3396"/>
      <c r="D49" s="1744">
        <v>0</v>
      </c>
      <c r="E49" s="329" t="s">
        <v>1969</v>
      </c>
      <c r="F49" s="2619" t="s">
        <v>34</v>
      </c>
      <c r="G49" s="3468"/>
      <c r="H49" s="2497" t="s">
        <v>2814</v>
      </c>
      <c r="I49" s="2498"/>
      <c r="J49" s="2718">
        <v>4</v>
      </c>
      <c r="K49" s="3462" t="str">
        <f>IF(项目基本情况!E8="房地产抵押价值","房地产抵押价值","抵押担保权已注销时的房地产抵押价值")</f>
        <v>抵押担保权已注销时的房地产抵押价值</v>
      </c>
      <c r="L49" s="3462"/>
      <c r="M49" s="3484" t="str">
        <f>IF(项目基本情况!E8="房地产抵押价值",H107,H109)</f>
        <v>——</v>
      </c>
      <c r="N49" s="3484"/>
      <c r="O49" s="3484"/>
    </row>
    <row r="50" spans="1:35" ht="25.5" customHeight="1">
      <c r="A50" s="2746"/>
      <c r="B50" s="3396" t="s">
        <v>1970</v>
      </c>
      <c r="C50" s="3396"/>
      <c r="D50" s="2747"/>
      <c r="E50" s="337"/>
      <c r="F50" s="2619"/>
      <c r="G50" s="3469"/>
      <c r="H50" s="2499" t="s">
        <v>2815</v>
      </c>
      <c r="I50" s="2498"/>
      <c r="J50" s="3481" t="s">
        <v>1971</v>
      </c>
      <c r="K50" s="3481"/>
      <c r="L50" s="3481"/>
      <c r="M50" s="3481"/>
      <c r="N50" s="3481"/>
      <c r="O50" s="3481"/>
    </row>
    <row r="51" spans="1:35" ht="20.45" customHeight="1">
      <c r="A51" s="2748"/>
      <c r="B51" s="3396" t="s">
        <v>1972</v>
      </c>
      <c r="C51" s="3396"/>
      <c r="D51" s="1218"/>
      <c r="E51" s="332"/>
      <c r="F51" s="2619"/>
      <c r="G51" s="3470"/>
      <c r="H51" s="2499" t="s">
        <v>2816</v>
      </c>
      <c r="I51" s="2498"/>
      <c r="J51" s="2719" t="s">
        <v>1973</v>
      </c>
      <c r="K51" s="3462" t="s">
        <v>1974</v>
      </c>
      <c r="L51" s="3462"/>
      <c r="M51" s="2719" t="s">
        <v>1975</v>
      </c>
      <c r="N51" s="2719" t="s">
        <v>1976</v>
      </c>
      <c r="O51" s="2719" t="s">
        <v>1977</v>
      </c>
    </row>
    <row r="52" spans="1:35" ht="24" customHeight="1">
      <c r="A52" s="2527" t="s">
        <v>1978</v>
      </c>
      <c r="B52" s="3396" t="s">
        <v>1979</v>
      </c>
      <c r="C52" s="3396"/>
      <c r="D52" s="1218" t="e">
        <f ca="1">ROUND(D45*'数据-取费表'!B41/(1+'数据-取费表'!C42),0)</f>
        <v>#REF!</v>
      </c>
      <c r="E52" s="2526" t="s">
        <v>1980</v>
      </c>
      <c r="F52" s="2749">
        <f>'数据-取费表'!B41</f>
        <v>5.5000000000000007E-2</v>
      </c>
      <c r="G52" s="2750"/>
      <c r="H52" s="2739"/>
      <c r="I52" s="1962"/>
      <c r="J52" s="2718">
        <v>1</v>
      </c>
      <c r="K52" s="3463" t="s">
        <v>1981</v>
      </c>
      <c r="L52" s="3463"/>
      <c r="M52" s="2720" t="b">
        <f>D48</f>
        <v>0</v>
      </c>
      <c r="N52" s="2718" t="str">
        <f>E48</f>
        <v>销售额×税（费）率</v>
      </c>
      <c r="O52" s="2721">
        <f>F48</f>
        <v>5.5000000000000007E-2</v>
      </c>
    </row>
    <row r="53" spans="1:35" ht="12" customHeight="1">
      <c r="A53" s="2527" t="s">
        <v>1982</v>
      </c>
      <c r="B53" s="3421" t="s">
        <v>2975</v>
      </c>
      <c r="C53" s="3422"/>
      <c r="D53" s="1218" t="e">
        <f ca="1">ROUND(D45*'数据-取费表'!B41/(1+'数据-取费表'!C42),0)</f>
        <v>#REF!</v>
      </c>
      <c r="E53" s="2526" t="s">
        <v>1980</v>
      </c>
      <c r="F53" s="2749">
        <f>'数据-取费表'!B41</f>
        <v>5.5000000000000007E-2</v>
      </c>
      <c r="G53" s="2750"/>
      <c r="H53" s="2739"/>
      <c r="I53" s="1962"/>
      <c r="J53" s="2718">
        <v>2</v>
      </c>
      <c r="K53" s="3463" t="s">
        <v>1983</v>
      </c>
      <c r="L53" s="3463"/>
      <c r="M53" s="2720" t="e">
        <f t="shared" ref="M53:O54" ca="1" si="0">D55</f>
        <v>#REF!</v>
      </c>
      <c r="N53" s="2718" t="str">
        <f t="shared" si="0"/>
        <v>销售额×税（费）率</v>
      </c>
      <c r="O53" s="2721" t="str">
        <f t="shared" si="0"/>
        <v>免征</v>
      </c>
    </row>
    <row r="54" spans="1:35" ht="12" customHeight="1">
      <c r="A54" s="2527" t="s">
        <v>1984</v>
      </c>
      <c r="B54" s="3421" t="s">
        <v>2976</v>
      </c>
      <c r="C54" s="3422"/>
      <c r="D54" s="1218" t="e">
        <f ca="1">C68</f>
        <v>#REF!</v>
      </c>
      <c r="E54" s="332" t="s">
        <v>1985</v>
      </c>
      <c r="F54" s="2749">
        <f>'数据-取费表'!B41</f>
        <v>5.5000000000000007E-2</v>
      </c>
      <c r="G54" s="2750"/>
      <c r="H54" s="2751"/>
      <c r="I54" s="1962"/>
      <c r="J54" s="2718">
        <v>3</v>
      </c>
      <c r="K54" s="3463" t="s">
        <v>1986</v>
      </c>
      <c r="L54" s="3463"/>
      <c r="M54" s="2720" t="e">
        <f t="shared" ca="1" si="0"/>
        <v>#REF!</v>
      </c>
      <c r="N54" s="2718" t="str">
        <f t="shared" si="0"/>
        <v>增值额×税（费）率</v>
      </c>
      <c r="O54" s="2722" t="str">
        <f t="shared" si="0"/>
        <v>免征</v>
      </c>
    </row>
    <row r="55" spans="1:35" ht="24" customHeight="1">
      <c r="A55" s="3410" t="s">
        <v>1987</v>
      </c>
      <c r="B55" s="3411"/>
      <c r="C55" s="3411"/>
      <c r="D55" s="2516" t="e">
        <f ca="1">IF(H55="个人住宅",0,ROUND(D45*I55,0))</f>
        <v>#REF!</v>
      </c>
      <c r="E55" s="2526" t="s">
        <v>1988</v>
      </c>
      <c r="F55" s="2749" t="str">
        <f>IF(H55="正常",I55,"免征")</f>
        <v>免征</v>
      </c>
      <c r="G55" s="2750"/>
      <c r="H55" s="2745"/>
      <c r="I55" s="169">
        <f>'数据-取费表'!B49</f>
        <v>5.0000000000000001E-4</v>
      </c>
      <c r="J55" s="2718">
        <f>IF(H59="非个人房产","",4)</f>
        <v>4</v>
      </c>
      <c r="K55" s="3463" t="str">
        <f>IF(H59="非个人房产","——","个人所得税")</f>
        <v>个人所得税</v>
      </c>
      <c r="L55" s="3463"/>
      <c r="M55" s="2723" t="e">
        <f ca="1">D59</f>
        <v>#REF!</v>
      </c>
      <c r="N55" s="2197" t="str">
        <f>E59</f>
        <v>差额计税</v>
      </c>
      <c r="O55" s="2724">
        <f>F59</f>
        <v>0.01</v>
      </c>
    </row>
    <row r="56" spans="1:35" ht="24.75">
      <c r="A56" s="3410" t="s">
        <v>1989</v>
      </c>
      <c r="B56" s="3411"/>
      <c r="C56" s="3411"/>
      <c r="D56" s="2516" t="e">
        <f ca="1">IF(H56="个人住宅",D57,D58)</f>
        <v>#REF!</v>
      </c>
      <c r="E56" s="2526" t="s">
        <v>1990</v>
      </c>
      <c r="F56" s="2749" t="str">
        <f>IF(H56="正常",F58,"免征")</f>
        <v>免征</v>
      </c>
      <c r="G56" s="2752" t="s">
        <v>1991</v>
      </c>
      <c r="H56" s="2753"/>
      <c r="I56" s="1963"/>
      <c r="J56" s="2718" t="str">
        <f>IF(项目基本情况!K6="上海银行",IF(J55="",4,J55+1),"")</f>
        <v/>
      </c>
      <c r="K56" s="3486" t="str">
        <f>IF(项目基本情况!K6="上海银行","其他处置费用","")</f>
        <v/>
      </c>
      <c r="L56" s="3487"/>
      <c r="M56" s="2720" t="str">
        <f>IF(项目基本情况!K6="上海银行",M69,"")</f>
        <v/>
      </c>
      <c r="N56" s="3486" t="str">
        <f>IF(项目基本情况!K6="上海银行","包含处置中涉及的律师、诉讼、拍卖、评估等费用","")</f>
        <v/>
      </c>
      <c r="O56" s="3489"/>
    </row>
    <row r="57" spans="1:35" ht="12.75">
      <c r="A57" s="2527" t="s">
        <v>1967</v>
      </c>
      <c r="B57" s="3421" t="s">
        <v>1992</v>
      </c>
      <c r="C57" s="3422"/>
      <c r="D57" s="1744">
        <v>0</v>
      </c>
      <c r="E57" s="329" t="s">
        <v>1969</v>
      </c>
      <c r="F57" s="307"/>
      <c r="G57" s="2750"/>
      <c r="H57" s="2754"/>
      <c r="I57" s="1963"/>
      <c r="J57" s="3463">
        <f>IF(AND(J55="",J56=""),4,IF(项目基本情况!K6="上海银行",'结果表-车位'!J56+1,'结果表-车位'!J55+1))</f>
        <v>5</v>
      </c>
      <c r="K57" s="3463" t="s">
        <v>1993</v>
      </c>
      <c r="L57" s="2725" t="s">
        <v>1994</v>
      </c>
      <c r="M57" s="2726"/>
      <c r="N57" s="2727">
        <f ca="1">SUMIF(M52:M56,"&lt;9e307")</f>
        <v>0</v>
      </c>
      <c r="O57" s="2728"/>
      <c r="P57" s="2888" t="e">
        <f ca="1">N57/M49</f>
        <v>#VALUE!</v>
      </c>
    </row>
    <row r="58" spans="1:35" ht="24.75">
      <c r="A58" s="2527" t="s">
        <v>1978</v>
      </c>
      <c r="B58" s="3421" t="s">
        <v>1995</v>
      </c>
      <c r="C58" s="3396"/>
      <c r="D58" s="2516" t="e">
        <f ca="1">IF(H58="转让取得",C81,C97)</f>
        <v>#REF!</v>
      </c>
      <c r="E58" s="2526" t="s">
        <v>1990</v>
      </c>
      <c r="F58" s="307" t="s">
        <v>34</v>
      </c>
      <c r="G58" s="2750"/>
      <c r="H58" s="2753"/>
      <c r="I58" s="1963"/>
      <c r="J58" s="3463"/>
      <c r="K58" s="3463"/>
      <c r="L58" s="2725" t="s">
        <v>1996</v>
      </c>
      <c r="M58" s="2729"/>
      <c r="N58" s="2730" t="str">
        <f ca="1">NUMBERSTRING(INT(N57*10000),2)&amp;"元整"</f>
        <v>零元整</v>
      </c>
      <c r="O58" s="2731"/>
    </row>
    <row r="59" spans="1:35" ht="24.75" thickBot="1">
      <c r="A59" s="3466" t="s">
        <v>1997</v>
      </c>
      <c r="B59" s="3467"/>
      <c r="C59" s="346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4">
        <f>J57+1</f>
        <v>6</v>
      </c>
      <c r="K59" s="3463" t="s">
        <v>1998</v>
      </c>
      <c r="L59" s="2718" t="s">
        <v>1994</v>
      </c>
      <c r="M59" s="2732"/>
      <c r="N59" s="2733" t="e">
        <f ca="1">M49-N57</f>
        <v>#VALUE!</v>
      </c>
      <c r="O59" s="2734"/>
    </row>
    <row r="60" spans="1:35" ht="12" customHeight="1">
      <c r="A60" s="1964"/>
      <c r="B60" s="1902"/>
      <c r="C60" s="1902"/>
      <c r="D60" s="1902"/>
      <c r="E60" s="1732"/>
      <c r="F60" s="1963"/>
      <c r="G60" s="1963"/>
      <c r="H60" s="1965"/>
      <c r="I60" s="134"/>
      <c r="J60" s="3465"/>
      <c r="K60" s="3463"/>
      <c r="L60" s="2725" t="s">
        <v>1996</v>
      </c>
      <c r="M60" s="2729"/>
      <c r="N60" s="2730" t="e">
        <f ca="1">NUMBERSTRING(INT(N59*10000),2)&amp;"元整"</f>
        <v>#VALUE!</v>
      </c>
      <c r="O60" s="2731"/>
    </row>
    <row r="61" spans="1:35" ht="13.5" thickBot="1">
      <c r="A61" s="3408" t="s">
        <v>1999</v>
      </c>
      <c r="B61" s="3408"/>
      <c r="C61" s="3408"/>
      <c r="D61" s="3408"/>
      <c r="E61" s="3408"/>
      <c r="F61" s="1963"/>
      <c r="G61" s="1963"/>
      <c r="H61" s="1965"/>
      <c r="I61" s="134"/>
      <c r="J61" s="2718">
        <f>J59+1</f>
        <v>7</v>
      </c>
      <c r="K61" s="3463" t="s">
        <v>2000</v>
      </c>
      <c r="L61" s="3463"/>
      <c r="M61" s="2735"/>
      <c r="N61" s="2736" t="e">
        <f ca="1">ROUND(N59*10000/'数据-汇总表'!E3,0)</f>
        <v>#VALUE!</v>
      </c>
      <c r="O61" s="2737"/>
    </row>
    <row r="62" spans="1:35" ht="12.75">
      <c r="A62" s="3426" t="s">
        <v>2001</v>
      </c>
      <c r="B62" s="3427"/>
      <c r="C62" s="2178"/>
      <c r="D62" s="2178"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8" t="s">
        <v>2005</v>
      </c>
      <c r="K63" s="1471" t="s">
        <v>2006</v>
      </c>
      <c r="L63" s="147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8"/>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8"/>
      <c r="K65" s="1471" t="s">
        <v>2011</v>
      </c>
      <c r="L65" s="147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8"/>
      <c r="K66" s="1471" t="s">
        <v>2013</v>
      </c>
      <c r="L66" s="147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8"/>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8"/>
      <c r="K68" s="1471" t="s">
        <v>2018</v>
      </c>
      <c r="L68" s="147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8"/>
      <c r="K69" s="1471" t="s">
        <v>2019</v>
      </c>
      <c r="L69" s="147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7" t="s">
        <v>2020</v>
      </c>
      <c r="B70" s="3448"/>
      <c r="C70" s="3448"/>
      <c r="D70" s="3448"/>
      <c r="E70" s="3448"/>
      <c r="F70" s="3448"/>
      <c r="G70" s="3448"/>
      <c r="H70" s="344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6" t="s">
        <v>2001</v>
      </c>
      <c r="B71" s="3427"/>
      <c r="C71" s="2178"/>
      <c r="D71" s="2178"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1" t="s">
        <v>2028</v>
      </c>
      <c r="F76" s="3396"/>
      <c r="G76" s="3396"/>
      <c r="H76" s="344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5" t="s">
        <v>2032</v>
      </c>
      <c r="F78" s="3406"/>
      <c r="G78" s="3406"/>
      <c r="H78" s="341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7" t="s">
        <v>2036</v>
      </c>
      <c r="B83" s="3448"/>
      <c r="C83" s="3448"/>
      <c r="D83" s="3448"/>
      <c r="E83" s="3448"/>
      <c r="F83" s="3448"/>
      <c r="G83" s="3448"/>
      <c r="H83" s="344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6" t="s">
        <v>2001</v>
      </c>
      <c r="B84" s="3427"/>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2519"/>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2519"/>
      <c r="G90" s="3490" t="s">
        <v>2809</v>
      </c>
      <c r="H90" s="349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5" t="s">
        <v>2045</v>
      </c>
      <c r="F91" s="3406"/>
      <c r="G91" s="340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5" t="s">
        <v>2048</v>
      </c>
      <c r="F92" s="3406"/>
      <c r="G92" s="3406"/>
      <c r="H92" s="3415"/>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5" t="s">
        <v>2032</v>
      </c>
      <c r="F93" s="3406"/>
      <c r="G93" s="3406"/>
      <c r="H93" s="341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6" t="s">
        <v>2052</v>
      </c>
      <c r="F94" s="3417"/>
      <c r="G94" s="3417"/>
      <c r="H94" s="341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5" t="s">
        <v>2054</v>
      </c>
      <c r="B100" s="3346"/>
      <c r="C100" s="3346"/>
      <c r="D100" s="3407"/>
      <c r="E100" s="3346" t="s">
        <v>2055</v>
      </c>
      <c r="F100" s="3346"/>
      <c r="G100" s="3346"/>
      <c r="H100" s="3407"/>
      <c r="I100" s="134"/>
    </row>
    <row r="101" spans="1:35" ht="18.75" customHeight="1">
      <c r="A101" s="3471" t="s">
        <v>2056</v>
      </c>
      <c r="B101" s="3472"/>
      <c r="C101" s="2780" t="str">
        <f>C4</f>
        <v>比较法-车位</v>
      </c>
      <c r="D101" s="2781" t="str">
        <f>D4</f>
        <v>收益法-车位</v>
      </c>
      <c r="E101" s="3485" t="s">
        <v>2057</v>
      </c>
      <c r="F101" s="3439"/>
      <c r="G101" s="1982" t="s">
        <v>2058</v>
      </c>
      <c r="H101" s="2790" t="e">
        <f ca="1">H118</f>
        <v>#REF!</v>
      </c>
      <c r="I101" s="134"/>
    </row>
    <row r="102" spans="1:35" ht="18.75" customHeight="1">
      <c r="A102" s="3441" t="s">
        <v>2059</v>
      </c>
      <c r="B102" s="2779" t="s">
        <v>2058</v>
      </c>
      <c r="C102" s="2780">
        <f ca="1">C19</f>
        <v>9531</v>
      </c>
      <c r="D102" s="2781">
        <f ca="1">D19</f>
        <v>3492</v>
      </c>
      <c r="E102" s="3485"/>
      <c r="F102" s="3439"/>
      <c r="G102" s="1982" t="s">
        <v>2060</v>
      </c>
      <c r="H102" s="2750" t="e">
        <f ca="1">I118</f>
        <v>#REF!</v>
      </c>
      <c r="I102" s="134"/>
    </row>
    <row r="103" spans="1:35" ht="42.75" customHeight="1">
      <c r="A103" s="3441"/>
      <c r="B103" s="2779" t="s">
        <v>2060</v>
      </c>
      <c r="C103" s="2782">
        <f ca="1">C20</f>
        <v>8091</v>
      </c>
      <c r="D103" s="2783">
        <f ca="1">D20</f>
        <v>2964</v>
      </c>
      <c r="E103" s="3479" t="s">
        <v>2061</v>
      </c>
      <c r="F103" s="3480"/>
      <c r="G103" s="1983" t="s">
        <v>2062</v>
      </c>
      <c r="H103" s="2790">
        <f>IF(D36="正常操作",H104+H105+H106,H105+H106)</f>
        <v>0</v>
      </c>
      <c r="I103" s="134"/>
    </row>
    <row r="104" spans="1:35" ht="18.75" customHeight="1">
      <c r="A104" s="3441"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2"/>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8" t="str">
        <f>IF(项目基本情况!E8="已注销","——","3.房地产抵押价值")</f>
        <v>3.房地产抵押价值</v>
      </c>
      <c r="F107" s="3439"/>
      <c r="G107" s="1982" t="s">
        <v>2058</v>
      </c>
      <c r="H107" s="2790" t="e">
        <f ca="1">IF(E107="——","——",H101-H103)</f>
        <v>#REF!</v>
      </c>
      <c r="I107" s="134"/>
    </row>
    <row r="108" spans="1:35" ht="18.75" customHeight="1">
      <c r="A108" s="134"/>
      <c r="B108" s="134"/>
      <c r="C108" s="134"/>
      <c r="D108" s="134"/>
      <c r="E108" s="3438"/>
      <c r="F108" s="3439"/>
      <c r="G108" s="1982" t="s">
        <v>2060</v>
      </c>
      <c r="H108" s="2750" t="e">
        <f ca="1">ROUND(H107*10000/'数据-汇总表'!E3,0)</f>
        <v>#REF!</v>
      </c>
      <c r="I108" s="134"/>
    </row>
    <row r="109" spans="1:35" ht="18.75" customHeight="1">
      <c r="A109" s="134"/>
      <c r="B109" s="134"/>
      <c r="C109" s="134"/>
      <c r="D109" s="134"/>
      <c r="E109" s="3438" t="str">
        <f>IF(项目基本情况!E8="已注销及未注销","4.抵押担保权已注销时的房地产抵押价值",IF(项目基本情况!E8="已注销","3.抵押担保权已注销时的房地产抵押价值","——"))</f>
        <v>——</v>
      </c>
      <c r="F109" s="3439"/>
      <c r="G109" s="1982" t="s">
        <v>2058</v>
      </c>
      <c r="H109" s="2793" t="str">
        <f>IF(E109="——","——",H101-H105-H106)</f>
        <v>——</v>
      </c>
      <c r="I109" s="134"/>
    </row>
    <row r="110" spans="1:35" ht="18.75" customHeight="1">
      <c r="A110" s="134"/>
      <c r="B110" s="134"/>
      <c r="C110" s="134"/>
      <c r="D110" s="134"/>
      <c r="E110" s="3438"/>
      <c r="F110" s="3439"/>
      <c r="G110" s="1982" t="s">
        <v>2060</v>
      </c>
      <c r="H110" s="2750" t="str">
        <f>IF(H109="——","——",ROUND(H109*10000/'数据-汇总表'!E3,0))</f>
        <v>——</v>
      </c>
      <c r="I110" s="134"/>
    </row>
    <row r="111" spans="1:35" ht="18.75" customHeight="1">
      <c r="A111" s="134"/>
      <c r="B111" s="134"/>
      <c r="C111" s="134"/>
      <c r="D111" s="134"/>
      <c r="E111" s="3473" t="str">
        <f>IF(项目基本情况!E9="抵押净值",IF(OR(项目基本情况!E8="已注销",项目基本情况!E8="房地产抵押价值"),"4.抵押净值","5.抵押净值"),"——")</f>
        <v>——</v>
      </c>
      <c r="F111" s="3440"/>
      <c r="G111" s="1982" t="s">
        <v>2058</v>
      </c>
      <c r="H111" s="2790" t="str">
        <f>IF(E111="——","——",N59)</f>
        <v>——</v>
      </c>
      <c r="I111" s="134"/>
    </row>
    <row r="112" spans="1:35" ht="18.75" customHeight="1" thickBot="1">
      <c r="A112" s="134"/>
      <c r="B112" s="134"/>
      <c r="C112" s="134"/>
      <c r="D112" s="134"/>
      <c r="E112" s="3474"/>
      <c r="F112" s="3475"/>
      <c r="G112" s="1985" t="s">
        <v>2060</v>
      </c>
      <c r="H112" s="2794" t="str">
        <f>IF(E111="——","——",N61)</f>
        <v>——</v>
      </c>
      <c r="I112" s="134"/>
    </row>
    <row r="113" spans="1:27" ht="18.75" customHeight="1">
      <c r="A113" s="134"/>
      <c r="B113" s="134"/>
      <c r="C113" s="134"/>
      <c r="D113" s="134"/>
      <c r="E113" s="3443" t="s">
        <v>2066</v>
      </c>
      <c r="F113" s="3443"/>
      <c r="G113" s="3443"/>
      <c r="H113" s="3443"/>
      <c r="I113" s="134"/>
    </row>
    <row r="114" spans="1:27" ht="3.75" customHeight="1">
      <c r="A114" s="1902"/>
      <c r="B114" s="1902"/>
      <c r="C114" s="1902"/>
      <c r="D114" s="1902"/>
      <c r="E114" s="1964"/>
      <c r="F114" s="1964"/>
      <c r="G114" s="1964"/>
      <c r="H114" s="1964"/>
      <c r="I114" s="1902"/>
    </row>
    <row r="115" spans="1:27" ht="18.75" customHeight="1">
      <c r="A115" s="3456" t="s">
        <v>2068</v>
      </c>
      <c r="B115" s="3457"/>
      <c r="C115" s="3457"/>
      <c r="D115" s="3457"/>
      <c r="E115" s="3457"/>
      <c r="F115" s="3457"/>
      <c r="G115" s="3457"/>
      <c r="H115" s="3457"/>
      <c r="I115" s="3458"/>
    </row>
    <row r="116" spans="1:27" ht="27" customHeight="1">
      <c r="A116" s="3409" t="s">
        <v>2069</v>
      </c>
      <c r="B116" s="3444" t="s">
        <v>2070</v>
      </c>
      <c r="C116" s="3444" t="s">
        <v>2071</v>
      </c>
      <c r="D116" s="3460" t="s">
        <v>2072</v>
      </c>
      <c r="E116" s="3461"/>
      <c r="F116" s="3452" t="s">
        <v>2073</v>
      </c>
      <c r="G116" s="3452"/>
      <c r="H116" s="3409" t="s">
        <v>2074</v>
      </c>
      <c r="I116" s="3409"/>
    </row>
    <row r="117" spans="1:27" ht="18.75" customHeight="1">
      <c r="A117" s="3409"/>
      <c r="B117" s="3445"/>
      <c r="C117" s="344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11780.21</v>
      </c>
      <c r="C118" s="2521">
        <f>M19</f>
        <v>6103.74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09" t="s">
        <v>2078</v>
      </c>
      <c r="B119" s="3409"/>
      <c r="C119" s="3409"/>
      <c r="D119" s="3449" t="e">
        <f ca="1">NUMBERSTRING(INT(D118*10000),2)&amp;"元整"</f>
        <v>#REF!</v>
      </c>
      <c r="E119" s="3451"/>
      <c r="F119" s="3449" t="e">
        <f ca="1">NUMBERSTRING(INT(F118*10000),2)&amp;"元整"</f>
        <v>#REF!</v>
      </c>
      <c r="G119" s="3451"/>
      <c r="H119" s="3449" t="e">
        <f ca="1">NUMBERSTRING(INT(H118*10000),2)&amp;"元整"</f>
        <v>#REF!</v>
      </c>
      <c r="I119" s="3451"/>
    </row>
    <row r="120" spans="1:27" ht="18.75" customHeight="1">
      <c r="A120" s="3476" t="str">
        <f>IF(项目基本情况!B9="房地产市场价值","",MID(E103,3,LEN(E103)-2))</f>
        <v/>
      </c>
      <c r="B120" s="3477"/>
      <c r="C120" s="3478"/>
      <c r="D120" s="3476">
        <f>H103</f>
        <v>0</v>
      </c>
      <c r="E120" s="3477"/>
      <c r="F120" s="3477"/>
      <c r="G120" s="3477"/>
      <c r="H120" s="3477"/>
      <c r="I120" s="3478"/>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3" t="s">
        <v>2078</v>
      </c>
      <c r="B121" s="3454"/>
      <c r="C121" s="3455"/>
      <c r="D121" s="3449" t="str">
        <f>IF(D120=0,"零元整",NUMBERSTRING(INT(D120*10000),2)&amp;"元整")</f>
        <v>零元整</v>
      </c>
      <c r="E121" s="3450"/>
      <c r="F121" s="3450"/>
      <c r="G121" s="3450"/>
      <c r="H121" s="3450"/>
      <c r="I121" s="3451"/>
      <c r="AA121" s="733"/>
    </row>
    <row r="122" spans="1:27" ht="18.75" customHeight="1">
      <c r="A122" s="3440" t="str">
        <f>IF(项目基本情况!B9="房地产市场价值","",MID(E107,3,LEN(E107)-2))</f>
        <v/>
      </c>
      <c r="B122" s="3440"/>
      <c r="C122" s="3440"/>
      <c r="D122" s="3476" t="e">
        <f ca="1">H107</f>
        <v>#REF!</v>
      </c>
      <c r="E122" s="3477"/>
      <c r="F122" s="3477"/>
      <c r="G122" s="3477"/>
      <c r="H122" s="3477"/>
      <c r="I122" s="3478"/>
      <c r="AA122" s="733"/>
    </row>
    <row r="123" spans="1:27" ht="18.75" customHeight="1">
      <c r="A123" s="3409" t="s">
        <v>2078</v>
      </c>
      <c r="B123" s="3409"/>
      <c r="C123" s="3409"/>
      <c r="D123" s="3449" t="e">
        <f ca="1">NUMBERSTRING(INT(D122*10000),2)&amp;"元整"</f>
        <v>#REF!</v>
      </c>
      <c r="E123" s="3450"/>
      <c r="F123" s="3450"/>
      <c r="G123" s="3450"/>
      <c r="H123" s="3450"/>
      <c r="I123" s="3451"/>
      <c r="AA123" s="733"/>
    </row>
    <row r="124" spans="1:27" ht="18.75" customHeight="1">
      <c r="A124" s="3440" t="str">
        <f>IF(项目基本情况!B9="房地产市场价值","",MID(E109,3,LEN(E109)-2))</f>
        <v/>
      </c>
      <c r="B124" s="3440"/>
      <c r="C124" s="3440"/>
      <c r="D124" s="3476" t="str">
        <f>H109</f>
        <v>——</v>
      </c>
      <c r="E124" s="3477"/>
      <c r="F124" s="3477"/>
      <c r="G124" s="3477"/>
      <c r="H124" s="3477"/>
      <c r="I124" s="3478"/>
      <c r="AA124" s="733"/>
    </row>
    <row r="125" spans="1:27" ht="18.75" customHeight="1">
      <c r="A125" s="3409" t="s">
        <v>2078</v>
      </c>
      <c r="B125" s="3409"/>
      <c r="C125" s="3409"/>
      <c r="D125" s="3449" t="e">
        <f>NUMBERSTRING(INT(D124*10000),2)&amp;"元整"</f>
        <v>#VALUE!</v>
      </c>
      <c r="E125" s="3450"/>
      <c r="F125" s="3450"/>
      <c r="G125" s="3450"/>
      <c r="H125" s="3450"/>
      <c r="I125" s="3451"/>
      <c r="AA125" s="733"/>
    </row>
    <row r="126" spans="1:27" ht="18.75" customHeight="1">
      <c r="A126" s="3440" t="str">
        <f>IF(项目基本情况!B9="房地产市场价值","",MID(E111,3,LEN(E111)-2))</f>
        <v/>
      </c>
      <c r="B126" s="3440"/>
      <c r="C126" s="3440"/>
      <c r="D126" s="3476" t="str">
        <f>H111</f>
        <v>——</v>
      </c>
      <c r="E126" s="3477"/>
      <c r="F126" s="3477"/>
      <c r="G126" s="3477"/>
      <c r="H126" s="3477"/>
      <c r="I126" s="3478"/>
      <c r="AA126" s="733"/>
    </row>
    <row r="127" spans="1:27" ht="18.75" customHeight="1">
      <c r="A127" s="3409" t="s">
        <v>2078</v>
      </c>
      <c r="B127" s="3409"/>
      <c r="C127" s="3409"/>
      <c r="D127" s="3449" t="e">
        <f>NUMBERSTRING(INT(D126*10000),2)&amp;"元整"</f>
        <v>#VALUE!</v>
      </c>
      <c r="E127" s="3450"/>
      <c r="F127" s="3450"/>
      <c r="G127" s="3450"/>
      <c r="H127" s="3450"/>
      <c r="I127" s="3451"/>
      <c r="AA127" s="733"/>
    </row>
    <row r="128" spans="1:27" ht="21.75" customHeight="1">
      <c r="A128" s="3459" t="s">
        <v>2079</v>
      </c>
      <c r="B128" s="3459"/>
      <c r="C128" s="3459"/>
      <c r="D128" s="3459"/>
      <c r="E128" s="3459"/>
      <c r="F128" s="3459"/>
      <c r="G128" s="3459"/>
      <c r="H128" s="3459"/>
      <c r="I128" s="3459"/>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
  <sheetViews>
    <sheetView zoomScaleNormal="100" workbookViewId="0">
      <selection activeCell="J9" sqref="J9"/>
    </sheetView>
  </sheetViews>
  <sheetFormatPr defaultRowHeight="13.5"/>
  <cols>
    <col min="1" max="1" width="9" style="3236"/>
    <col min="2" max="2" width="15.625" style="3236" customWidth="1"/>
    <col min="3" max="3" width="10.5" style="3236" bestFit="1" customWidth="1"/>
    <col min="4" max="9" width="9" style="3236"/>
    <col min="10" max="10" width="14.125" style="3236" customWidth="1"/>
    <col min="11" max="16384" width="9" style="3236"/>
  </cols>
  <sheetData>
    <row r="1" spans="1:10" ht="43.5" customHeight="1">
      <c r="B1" s="3237" t="s">
        <v>1275</v>
      </c>
      <c r="C1" s="3237" t="s">
        <v>3176</v>
      </c>
      <c r="D1" s="3237" t="s">
        <v>3178</v>
      </c>
      <c r="E1" s="3237" t="s">
        <v>3179</v>
      </c>
      <c r="F1" s="3237" t="s">
        <v>3180</v>
      </c>
      <c r="G1" s="3237" t="s">
        <v>3177</v>
      </c>
      <c r="H1" s="3237" t="s">
        <v>3182</v>
      </c>
      <c r="I1" s="3237" t="s">
        <v>3183</v>
      </c>
      <c r="J1" s="3237" t="s">
        <v>3185</v>
      </c>
    </row>
    <row r="2" spans="1:10" ht="43.5" customHeight="1">
      <c r="A2" s="3236">
        <v>1</v>
      </c>
      <c r="B2" s="3236" t="s">
        <v>3151</v>
      </c>
      <c r="C2" s="3237" t="s">
        <v>3188</v>
      </c>
      <c r="D2" s="3236">
        <v>7796</v>
      </c>
      <c r="E2" s="3236">
        <v>33</v>
      </c>
      <c r="F2" s="3236">
        <v>26</v>
      </c>
      <c r="G2" s="3238" t="s">
        <v>3181</v>
      </c>
      <c r="H2" s="3236">
        <v>782</v>
      </c>
      <c r="I2" s="3236">
        <f>ROUND(H2*1.2,)</f>
        <v>938</v>
      </c>
      <c r="J2" s="3236">
        <f>I2*E2</f>
        <v>30954</v>
      </c>
    </row>
    <row r="3" spans="1:10" ht="43.5" customHeight="1">
      <c r="A3" s="3236">
        <v>2</v>
      </c>
      <c r="B3" s="3236" t="s">
        <v>3153</v>
      </c>
      <c r="C3" s="3239">
        <v>44613</v>
      </c>
      <c r="D3" s="3236">
        <v>8722</v>
      </c>
      <c r="E3" s="3236">
        <v>32</v>
      </c>
      <c r="F3" s="3236">
        <v>28</v>
      </c>
      <c r="G3" s="3238" t="s">
        <v>3184</v>
      </c>
      <c r="H3" s="3236">
        <v>964</v>
      </c>
      <c r="I3" s="3236">
        <f>H3</f>
        <v>964</v>
      </c>
      <c r="J3" s="3236">
        <f t="shared" ref="J3:J4" si="0">I3*E3</f>
        <v>30848</v>
      </c>
    </row>
    <row r="4" spans="1:10" ht="43.5" customHeight="1">
      <c r="A4" s="3236">
        <v>3</v>
      </c>
      <c r="B4" s="3236" t="s">
        <v>3155</v>
      </c>
      <c r="C4" s="3239">
        <v>44617</v>
      </c>
      <c r="D4" s="3236">
        <v>6659</v>
      </c>
      <c r="E4" s="3236">
        <v>44</v>
      </c>
      <c r="F4" s="3236">
        <v>29.5</v>
      </c>
      <c r="G4" s="3238" t="s">
        <v>3186</v>
      </c>
      <c r="H4" s="3236">
        <v>813</v>
      </c>
      <c r="I4" s="3236">
        <f>ROUND(H4*0.75,0)</f>
        <v>610</v>
      </c>
      <c r="J4" s="3236">
        <f t="shared" si="0"/>
        <v>26840</v>
      </c>
    </row>
    <row r="5" spans="1:10" ht="43.5" customHeight="1">
      <c r="A5" s="3248" t="s">
        <v>3236</v>
      </c>
      <c r="B5" s="3237" t="s">
        <v>3187</v>
      </c>
      <c r="C5" s="3239">
        <v>44617</v>
      </c>
      <c r="E5" s="3236">
        <v>43</v>
      </c>
      <c r="G5" s="3238" t="s">
        <v>3189</v>
      </c>
      <c r="H5" s="3236">
        <v>420</v>
      </c>
      <c r="I5" s="3236">
        <f>272+274</f>
        <v>546</v>
      </c>
      <c r="J5" s="3236">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18" sqref="D1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3492</v>
      </c>
      <c r="C2" s="1540" t="s">
        <v>1421</v>
      </c>
      <c r="D2" s="1540"/>
      <c r="E2" s="1541"/>
      <c r="F2" s="1542"/>
      <c r="G2" s="2904"/>
      <c r="H2" s="2893"/>
      <c r="I2" s="2893"/>
      <c r="J2" s="2893"/>
      <c r="K2" s="2894"/>
      <c r="L2" s="2893"/>
      <c r="M2" s="2893"/>
    </row>
    <row r="3" spans="1:37" ht="18" customHeight="1" thickBot="1">
      <c r="A3" s="1543" t="s">
        <v>1422</v>
      </c>
      <c r="B3" s="1544">
        <f ca="1">IF(ISERROR(B2*10000/F43),0,ROUND(B2*10000/F43,0))</f>
        <v>2964</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248</v>
      </c>
      <c r="D5" s="1517" t="s">
        <v>1307</v>
      </c>
      <c r="E5" s="1202"/>
      <c r="F5" s="1203"/>
      <c r="G5" s="1537"/>
      <c r="H5" s="304">
        <v>1</v>
      </c>
      <c r="I5" s="305" t="s">
        <v>1306</v>
      </c>
      <c r="J5" s="1201">
        <f ca="1">J6+J10+J12</f>
        <v>0</v>
      </c>
      <c r="K5" s="1517" t="s">
        <v>1307</v>
      </c>
      <c r="L5" s="1202"/>
      <c r="M5" s="1203"/>
    </row>
    <row r="6" spans="1:37" ht="18" customHeight="1">
      <c r="A6" s="1200" t="s">
        <v>1003</v>
      </c>
      <c r="B6" s="3494" t="s">
        <v>1308</v>
      </c>
      <c r="C6" s="1205">
        <f ca="1">ROUND(F6*F8*F7*(1-F9)/10000,0)</f>
        <v>248</v>
      </c>
      <c r="D6" s="159" t="s">
        <v>2788</v>
      </c>
      <c r="E6" s="307" t="s">
        <v>1310</v>
      </c>
      <c r="F6" s="308">
        <f ca="1">INDIRECT("'数据-取费表'!u"&amp;$G$1)</f>
        <v>800</v>
      </c>
      <c r="G6" s="1537"/>
      <c r="H6" s="1200" t="s">
        <v>1003</v>
      </c>
      <c r="I6" s="3494" t="s">
        <v>1308</v>
      </c>
      <c r="J6" s="306">
        <f ca="1">ROUND(M6*M8*M7*(1-M9)/10000,0)</f>
        <v>0</v>
      </c>
      <c r="K6" s="159" t="s">
        <v>2787</v>
      </c>
      <c r="L6" s="307" t="s">
        <v>1310</v>
      </c>
      <c r="M6" s="308">
        <f ca="1">INDIRECT("'数据-取费表'!z"&amp;$G$1)</f>
        <v>0</v>
      </c>
    </row>
    <row r="7" spans="1:37" ht="18" customHeight="1">
      <c r="A7" s="1204"/>
      <c r="B7" s="3495"/>
      <c r="C7" s="1206"/>
      <c r="D7" s="312"/>
      <c r="E7" s="1207" t="s">
        <v>1311</v>
      </c>
      <c r="F7" s="308">
        <f ca="1">IF(INDIRECT("'数据-取费表'!ah"&amp;$G$1)="",INDIRECT("'数据-取费表'!k"&amp;$G$1),INDIRECT("'数据-取费表'!ah"&amp;$G$1))</f>
        <v>272</v>
      </c>
      <c r="G7" s="1537"/>
      <c r="H7" s="309"/>
      <c r="I7" s="3495"/>
      <c r="J7" s="311"/>
      <c r="K7" s="312"/>
      <c r="L7" s="307" t="s">
        <v>1311</v>
      </c>
      <c r="M7" s="308">
        <f ca="1">F7</f>
        <v>272</v>
      </c>
    </row>
    <row r="8" spans="1:37" ht="18" customHeight="1">
      <c r="A8" s="309"/>
      <c r="B8" s="3495"/>
      <c r="C8" s="311"/>
      <c r="D8" s="312"/>
      <c r="E8" s="307" t="s">
        <v>1312</v>
      </c>
      <c r="F8" s="308">
        <f ca="1">INDIRECT("'数据-取费表'!ai"&amp;$G$1)</f>
        <v>12</v>
      </c>
      <c r="G8" s="1537"/>
      <c r="H8" s="309"/>
      <c r="I8" s="3495"/>
      <c r="J8" s="311"/>
      <c r="K8" s="312"/>
      <c r="L8" s="307" t="s">
        <v>1312</v>
      </c>
      <c r="M8" s="308">
        <f ca="1">INDIRECT("'数据-取费表'!ai"&amp;$G$1)</f>
        <v>12</v>
      </c>
    </row>
    <row r="9" spans="1:37" ht="18" customHeight="1">
      <c r="A9" s="309"/>
      <c r="B9" s="3496"/>
      <c r="C9" s="311"/>
      <c r="D9" s="312"/>
      <c r="E9" s="307" t="s">
        <v>1313</v>
      </c>
      <c r="F9" s="317">
        <f ca="1">INDIRECT("'数据-取费表'!w"&amp;$G$1)</f>
        <v>0.05</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5497</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5497</v>
      </c>
      <c r="K14" s="15"/>
      <c r="L14" s="915"/>
      <c r="M14" s="916"/>
    </row>
    <row r="15" spans="1:37" s="1550" customFormat="1" ht="18" customHeight="1" thickBot="1">
      <c r="A15" s="1112" t="s">
        <v>1004</v>
      </c>
      <c r="B15" s="307" t="s">
        <v>1325</v>
      </c>
      <c r="C15" s="24">
        <f ca="1">ROUND(C14*F15,0)</f>
        <v>124</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102</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3">
        <f ca="1">ROUND(IF(AND(项目基本情况!B11="自然人",项目基本情况!B10="北京市"),J6*M17/(1+'数据-取费表'!C42),J18+J19+J20),0)</f>
        <v>47</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4545</v>
      </c>
      <c r="D19" s="136" t="s">
        <v>1341</v>
      </c>
      <c r="E19" s="1513"/>
      <c r="F19" s="26"/>
      <c r="G19" s="1537"/>
      <c r="H19" s="1112" t="s">
        <v>1004</v>
      </c>
      <c r="I19" s="307" t="s">
        <v>1342</v>
      </c>
      <c r="J19" s="24">
        <f ca="1">IF(K19="按租金收入计税",ROUND(J6*M19/(1+'数据-取费表'!C42),2),ROUND(C29*M19*0.7,2))</f>
        <v>46.17</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91</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55</v>
      </c>
      <c r="K22" s="1497" t="s">
        <v>1355</v>
      </c>
      <c r="L22" s="307" t="s">
        <v>1327</v>
      </c>
      <c r="M22" s="333">
        <f ca="1">INDIRECT("'数据-取费表'!Ak"&amp;$G$1)</f>
        <v>0.01</v>
      </c>
    </row>
    <row r="23" spans="1:37" s="1550" customFormat="1" ht="18" customHeight="1">
      <c r="A23" s="1112" t="s">
        <v>1002</v>
      </c>
      <c r="B23" s="307" t="s">
        <v>1356</v>
      </c>
      <c r="C23" s="24">
        <f ca="1">IF('数据-取费表'!B22&lt;=1,ROUND(C19*F24*F23/2,0)+ROUND(C20*F24*F23/2,0),ROUND(C19*(POWER((1+F24),F23/2)-1),0)+ROUND(C20*(POWER((1+F24),F23/2)-1),0))</f>
        <v>220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-102</v>
      </c>
      <c r="K25" s="1226" t="s">
        <v>1369</v>
      </c>
      <c r="L25" s="1227"/>
      <c r="M25" s="1228"/>
    </row>
    <row r="26" spans="1:37">
      <c r="A26" s="1112" t="s">
        <v>1002</v>
      </c>
      <c r="B26" s="307" t="s">
        <v>1370</v>
      </c>
      <c r="C26" s="24">
        <f ca="1">ROUND((C19+C20)*F26,0)</f>
        <v>232</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0.04</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5497</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123</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60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12.99</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46.17</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0.92</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6103.74</v>
      </c>
      <c r="G35" s="1537"/>
      <c r="H35" s="2895"/>
      <c r="I35" s="1551"/>
      <c r="J35" s="1552"/>
      <c r="K35" s="2899"/>
      <c r="L35" s="2898"/>
      <c r="M35" s="2898"/>
    </row>
    <row r="36" spans="1:18" ht="18" customHeight="1">
      <c r="A36" s="1233" t="s">
        <v>1007</v>
      </c>
      <c r="B36" s="307" t="s">
        <v>1354</v>
      </c>
      <c r="C36" s="24">
        <f ca="1">ROUND(C29*F36,1)</f>
        <v>55</v>
      </c>
      <c r="D36" s="1497" t="s">
        <v>1387</v>
      </c>
      <c r="E36" s="307" t="s">
        <v>1327</v>
      </c>
      <c r="F36" s="333">
        <f ca="1">INDIRECT("'数据-取费表'!Ak"&amp;$G$1)</f>
        <v>0.01</v>
      </c>
      <c r="G36" s="1537"/>
      <c r="H36" s="2898"/>
      <c r="I36" s="1551"/>
      <c r="J36" s="1552"/>
      <c r="K36" s="2739"/>
      <c r="L36" s="2898"/>
      <c r="M36" s="2898"/>
    </row>
    <row r="37" spans="1:18" ht="18" customHeight="1">
      <c r="A37" s="1112" t="s">
        <v>1043</v>
      </c>
      <c r="B37" s="307" t="s">
        <v>1358</v>
      </c>
      <c r="C37" s="24">
        <f ca="1">ROUND(C13*F37,1)</f>
        <v>5.5</v>
      </c>
      <c r="D37" s="1497" t="s">
        <v>1359</v>
      </c>
      <c r="E37" s="307" t="s">
        <v>1360</v>
      </c>
      <c r="F37" s="335">
        <f ca="1">INDIRECT("'数据-取费表'!Al"&amp;$G$1)</f>
        <v>1E-3</v>
      </c>
      <c r="G37" s="1537"/>
      <c r="H37" s="2898"/>
      <c r="I37" s="1551"/>
      <c r="J37" s="1552"/>
      <c r="K37" s="2739"/>
      <c r="L37" s="2898"/>
      <c r="M37" s="2898"/>
    </row>
    <row r="38" spans="1:18" ht="18" customHeight="1" thickBot="1">
      <c r="A38" s="1220" t="s">
        <v>1298</v>
      </c>
      <c r="B38" s="1221" t="s">
        <v>1344</v>
      </c>
      <c r="C38" s="1222">
        <f ca="1">ROUND(C5*F38,1)</f>
        <v>2.5</v>
      </c>
      <c r="D38" s="1223" t="s">
        <v>1364</v>
      </c>
      <c r="E38" s="1221" t="s">
        <v>1360</v>
      </c>
      <c r="F38" s="1217">
        <f ca="1">INDIRECT("'数据-取费表'!Am"&amp;$G$1)</f>
        <v>0.01</v>
      </c>
      <c r="G38" s="1537"/>
      <c r="H38" s="2898"/>
      <c r="I38" s="1551"/>
      <c r="J38" s="1552"/>
      <c r="K38" s="2902"/>
      <c r="L38" s="2898"/>
      <c r="M38" s="2898"/>
    </row>
    <row r="39" spans="1:18" ht="24.6" customHeight="1" thickTop="1">
      <c r="A39" s="1210" t="s">
        <v>999</v>
      </c>
      <c r="B39" s="1225" t="s">
        <v>1388</v>
      </c>
      <c r="C39" s="315">
        <f ca="1">C5-C30</f>
        <v>125</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3492</v>
      </c>
      <c r="D40" s="329" t="s">
        <v>1374</v>
      </c>
      <c r="E40" s="307" t="s">
        <v>1375</v>
      </c>
      <c r="F40" s="317">
        <f ca="1">INDIRECT("'数据-取费表'!I"&amp;$G$1)</f>
        <v>0.04</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2964</v>
      </c>
      <c r="D43" s="342" t="s">
        <v>1393</v>
      </c>
      <c r="E43" s="343" t="s">
        <v>1394</v>
      </c>
      <c r="F43" s="344">
        <f ca="1">INDIRECT("'数据-取费表'!k"&amp;$G$1)</f>
        <v>11780.21</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-5801</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3492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5497</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-5795</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2" t="s">
        <v>1453</v>
      </c>
      <c r="L53" s="3493"/>
      <c r="O53" s="1571" t="s">
        <v>1014</v>
      </c>
      <c r="P53" s="1572" t="s">
        <v>1454</v>
      </c>
      <c r="Q53" s="1573">
        <f ca="1">Q47+Q48</f>
        <v>3492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5497</v>
      </c>
      <c r="D56" s="1600"/>
      <c r="E56" s="1601"/>
      <c r="F56" s="1593"/>
      <c r="I56" s="1602" t="s">
        <v>1459</v>
      </c>
      <c r="J56" s="1603" t="s">
        <v>3134</v>
      </c>
      <c r="K56" s="1574" t="s">
        <v>1460</v>
      </c>
      <c r="L56" s="1577" t="str">
        <f ca="1">IF(L48&lt;J51,"——",L48-J53)</f>
        <v>——</v>
      </c>
      <c r="O56" s="1571" t="s">
        <v>1008</v>
      </c>
      <c r="P56" s="1572" t="s">
        <v>1433</v>
      </c>
      <c r="Q56" s="1573">
        <f ca="1">C40+J29</f>
        <v>3492</v>
      </c>
      <c r="R56" s="1573" t="s">
        <v>1434</v>
      </c>
    </row>
    <row r="57" spans="1:18" s="1537" customFormat="1" ht="24.75" thickBot="1">
      <c r="A57" s="1604"/>
      <c r="B57" s="1080" t="s">
        <v>1383</v>
      </c>
      <c r="C57" s="243">
        <f ca="1">C29</f>
        <v>5497</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108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46.17</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3492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55</v>
      </c>
      <c r="D64" s="1094" t="s">
        <v>1407</v>
      </c>
      <c r="E64" s="1080" t="s">
        <v>1399</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5.5</v>
      </c>
      <c r="D65" s="1094" t="s">
        <v>1359</v>
      </c>
      <c r="E65" s="1080" t="s">
        <v>1360</v>
      </c>
      <c r="F65" s="335">
        <f t="shared" ca="1" si="0"/>
        <v>1E-3</v>
      </c>
      <c r="I65" s="1615" t="s">
        <v>1484</v>
      </c>
      <c r="J65" s="1616">
        <v>40</v>
      </c>
      <c r="K65" s="1616">
        <v>30</v>
      </c>
      <c r="L65" s="1616">
        <v>50</v>
      </c>
      <c r="M65" s="1618">
        <v>0.02</v>
      </c>
      <c r="O65" s="1571" t="s">
        <v>1008</v>
      </c>
      <c r="P65" s="1572" t="s">
        <v>1485</v>
      </c>
      <c r="Q65" s="1573">
        <f ca="1">C40+J29</f>
        <v>3492</v>
      </c>
      <c r="R65" s="1573" t="s">
        <v>1434</v>
      </c>
    </row>
    <row r="66" spans="1:18" s="1537" customFormat="1" ht="16.5" thickBot="1">
      <c r="A66" s="1112" t="s">
        <v>1409</v>
      </c>
      <c r="B66" s="1080" t="s">
        <v>1344</v>
      </c>
      <c r="C66" s="24">
        <f ca="1">ROUND(C48*F66,1)</f>
        <v>0</v>
      </c>
      <c r="D66" s="1094" t="s">
        <v>1410</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-108</v>
      </c>
      <c r="D67" s="1093" t="s">
        <v>1369</v>
      </c>
      <c r="E67" s="1098"/>
      <c r="F67" s="1099"/>
      <c r="O67" s="1581" t="s">
        <v>1010</v>
      </c>
      <c r="P67" s="1572" t="s">
        <v>1467</v>
      </c>
      <c r="Q67" s="1619">
        <f ca="1">L51</f>
        <v>-5795</v>
      </c>
      <c r="R67" s="1573" t="s">
        <v>1487</v>
      </c>
    </row>
    <row r="68" spans="1:18" s="1537" customFormat="1" ht="16.5" thickBot="1">
      <c r="A68" s="1077" t="s">
        <v>1000</v>
      </c>
      <c r="B68" s="1078" t="s">
        <v>1390</v>
      </c>
      <c r="C68" s="306">
        <f ca="1">ROUND(C67*(1-((1+F70)/(1+F68))^F69)/(F68-F70),0)</f>
        <v>-2309</v>
      </c>
      <c r="D68" s="1095" t="s">
        <v>1374</v>
      </c>
      <c r="E68" s="1080" t="s">
        <v>1375</v>
      </c>
      <c r="F68" s="317">
        <f ca="1">F40</f>
        <v>0.04</v>
      </c>
      <c r="O68" s="1581" t="s">
        <v>1011</v>
      </c>
      <c r="P68" s="1620" t="s">
        <v>1488</v>
      </c>
      <c r="Q68" s="1573">
        <f ca="1">ROUND(Q69-Q70*Q71,0)</f>
        <v>-232</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125</v>
      </c>
      <c r="R69" s="1573" t="s">
        <v>1434</v>
      </c>
    </row>
    <row r="70" spans="1:18" s="1537" customFormat="1" ht="13.5" thickBot="1">
      <c r="A70" s="1084"/>
      <c r="B70" s="1085"/>
      <c r="C70" s="315"/>
      <c r="D70" s="1096"/>
      <c r="E70" s="1080" t="s">
        <v>1382</v>
      </c>
      <c r="F70" s="1184"/>
      <c r="O70" s="1581" t="s">
        <v>1017</v>
      </c>
      <c r="P70" s="1620" t="s">
        <v>1490</v>
      </c>
      <c r="Q70" s="1573">
        <f ca="1">C13</f>
        <v>5497</v>
      </c>
      <c r="R70" s="1573" t="s">
        <v>1434</v>
      </c>
    </row>
    <row r="71" spans="1:18" s="1537" customFormat="1" ht="13.5" thickBot="1">
      <c r="A71" s="1101" t="s">
        <v>1001</v>
      </c>
      <c r="B71" s="1102" t="s">
        <v>1392</v>
      </c>
      <c r="C71" s="341">
        <f ca="1">ROUND(C68*10000/F71,0)</f>
        <v>-1960</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357</v>
      </c>
      <c r="D75" s="1537"/>
      <c r="E75" s="1537"/>
      <c r="F75" s="1537"/>
      <c r="K75" s="1555"/>
      <c r="L75" s="1537"/>
      <c r="O75" s="1571" t="s">
        <v>1014</v>
      </c>
      <c r="P75" s="1572" t="s">
        <v>1454</v>
      </c>
      <c r="Q75" s="1573">
        <f ca="1">Q65+Q66</f>
        <v>3492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-1.8559999999999999</v>
      </c>
    </row>
    <row r="80" spans="1:18">
      <c r="B80" s="345" t="s">
        <v>1416</v>
      </c>
      <c r="C80" s="279">
        <f ca="1">ROUND(C75/C39,3)</f>
        <v>2.8559999999999999</v>
      </c>
    </row>
    <row r="81" spans="2:3">
      <c r="B81" s="275" t="s">
        <v>1417</v>
      </c>
      <c r="C81" s="243"/>
    </row>
    <row r="82" spans="2:3">
      <c r="B82" s="278" t="s">
        <v>1418</v>
      </c>
      <c r="C82" s="280">
        <f ca="1">1-C83</f>
        <v>-0.57400000000000007</v>
      </c>
    </row>
    <row r="83" spans="2:3">
      <c r="B83" s="278" t="s">
        <v>1419</v>
      </c>
      <c r="C83" s="279">
        <f ca="1">ROUND(C13/C40,3)</f>
        <v>1.5740000000000001</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4.9989318521683403E-2"/>
  </sheetPr>
  <dimension ref="A1"/>
  <sheetViews>
    <sheetView topLeftCell="A16"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65"/>
      <c r="AC5" s="3365"/>
    </row>
    <row r="6" spans="1:29" ht="15.75" thickBot="1">
      <c r="A6" s="365"/>
      <c r="B6" s="366"/>
      <c r="C6" s="3384" t="s">
        <v>2307</v>
      </c>
      <c r="D6" s="3385"/>
      <c r="E6" s="3392" t="s">
        <v>2307</v>
      </c>
      <c r="F6" s="3393"/>
      <c r="G6" s="3384" t="s">
        <v>2307</v>
      </c>
      <c r="H6" s="3385"/>
      <c r="I6" s="3384" t="s">
        <v>2307</v>
      </c>
      <c r="J6" s="3385"/>
      <c r="K6" s="566"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388" t="s">
        <v>2310</v>
      </c>
      <c r="Q7" s="3390"/>
      <c r="R7" s="709" t="s">
        <v>17</v>
      </c>
      <c r="S7" s="710">
        <f t="shared" ref="S7:S14" si="0">F7</f>
        <v>0</v>
      </c>
      <c r="T7" s="709" t="s">
        <v>17</v>
      </c>
      <c r="U7" s="710">
        <f t="shared" ref="U7:U14" si="1">H7</f>
        <v>0</v>
      </c>
      <c r="V7" s="709" t="s">
        <v>17</v>
      </c>
      <c r="W7" s="710">
        <f t="shared" ref="W7:W14" si="2">J7</f>
        <v>0</v>
      </c>
      <c r="X7" s="711"/>
      <c r="Y7" s="3388" t="s">
        <v>2310</v>
      </c>
      <c r="Z7" s="3389"/>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5"/>
      <c r="M9" s="2916"/>
      <c r="N9" s="2916"/>
      <c r="O9" s="2970"/>
      <c r="P9" s="3354" t="s">
        <v>2316</v>
      </c>
      <c r="Q9" s="1496" t="str">
        <f t="shared" ref="Q9:Q14" si="6">B9</f>
        <v>用途</v>
      </c>
      <c r="R9" s="709" t="s">
        <v>17</v>
      </c>
      <c r="S9" s="710">
        <f t="shared" si="0"/>
        <v>100</v>
      </c>
      <c r="T9" s="709" t="s">
        <v>17</v>
      </c>
      <c r="U9" s="710">
        <f t="shared" si="1"/>
        <v>100</v>
      </c>
      <c r="V9" s="709" t="s">
        <v>17</v>
      </c>
      <c r="W9" s="710">
        <f t="shared" si="2"/>
        <v>100</v>
      </c>
      <c r="X9" s="711"/>
      <c r="Y9" s="3363"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7"/>
      <c r="M10" s="2918"/>
      <c r="N10" s="2918"/>
      <c r="O10" s="2971"/>
      <c r="P10" s="3354"/>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9"/>
      <c r="M11" s="2914"/>
      <c r="N11" s="2914"/>
      <c r="O11" s="2972"/>
      <c r="P11" s="3354"/>
      <c r="Q11" s="1496">
        <f t="shared" si="6"/>
        <v>111</v>
      </c>
      <c r="R11" s="709" t="s">
        <v>17</v>
      </c>
      <c r="S11" s="710">
        <f t="shared" si="0"/>
        <v>100</v>
      </c>
      <c r="T11" s="709" t="s">
        <v>17</v>
      </c>
      <c r="U11" s="710">
        <f t="shared" si="1"/>
        <v>100</v>
      </c>
      <c r="V11" s="709" t="s">
        <v>17</v>
      </c>
      <c r="W11" s="710">
        <f t="shared" si="2"/>
        <v>100</v>
      </c>
      <c r="X11" s="711"/>
      <c r="Y11" s="3363"/>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5"/>
      <c r="M12" s="2916"/>
      <c r="N12" s="2916"/>
      <c r="O12" s="2970"/>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359" t="s">
        <v>2321</v>
      </c>
      <c r="Q14" s="1505" t="str">
        <f t="shared" si="6"/>
        <v>交通便捷度</v>
      </c>
      <c r="R14" s="713" t="s">
        <v>17</v>
      </c>
      <c r="S14" s="714">
        <f t="shared" si="0"/>
        <v>100</v>
      </c>
      <c r="T14" s="713" t="s">
        <v>17</v>
      </c>
      <c r="U14" s="714">
        <f t="shared" si="1"/>
        <v>100</v>
      </c>
      <c r="V14" s="713" t="s">
        <v>17</v>
      </c>
      <c r="W14" s="714">
        <f t="shared" si="2"/>
        <v>100</v>
      </c>
      <c r="X14" s="1508"/>
      <c r="Y14" s="3359"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360"/>
      <c r="Q15" s="1505"/>
      <c r="R15" s="713"/>
      <c r="S15" s="714"/>
      <c r="T15" s="713"/>
      <c r="U15" s="714"/>
      <c r="V15" s="713"/>
      <c r="W15" s="714"/>
      <c r="X15" s="1508"/>
      <c r="Y15" s="3360"/>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360"/>
      <c r="Q16" s="1505" t="str">
        <f>B16</f>
        <v>公共配套设施</v>
      </c>
      <c r="R16" s="713" t="s">
        <v>17</v>
      </c>
      <c r="S16" s="714">
        <f>F16</f>
        <v>100</v>
      </c>
      <c r="T16" s="713" t="s">
        <v>17</v>
      </c>
      <c r="U16" s="714">
        <f>H16</f>
        <v>100</v>
      </c>
      <c r="V16" s="713" t="s">
        <v>17</v>
      </c>
      <c r="W16" s="714">
        <f>J16</f>
        <v>100</v>
      </c>
      <c r="X16" s="1508"/>
      <c r="Y16" s="3360"/>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360"/>
      <c r="Q17" s="1505"/>
      <c r="R17" s="713"/>
      <c r="S17" s="714"/>
      <c r="T17" s="713"/>
      <c r="U17" s="714"/>
      <c r="V17" s="713"/>
      <c r="W17" s="714"/>
      <c r="X17" s="1508"/>
      <c r="Y17" s="3360"/>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360"/>
      <c r="Q18" s="1505" t="str">
        <f>B18</f>
        <v>基础设施水平</v>
      </c>
      <c r="R18" s="713" t="s">
        <v>17</v>
      </c>
      <c r="S18" s="714">
        <f>F18</f>
        <v>100</v>
      </c>
      <c r="T18" s="713" t="s">
        <v>17</v>
      </c>
      <c r="U18" s="714">
        <f>H18</f>
        <v>100</v>
      </c>
      <c r="V18" s="713" t="s">
        <v>17</v>
      </c>
      <c r="W18" s="714">
        <f>J18</f>
        <v>100</v>
      </c>
      <c r="X18" s="1508"/>
      <c r="Y18" s="3360"/>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360"/>
      <c r="Q19" s="1505"/>
      <c r="R19" s="713"/>
      <c r="S19" s="714"/>
      <c r="T19" s="713"/>
      <c r="U19" s="714"/>
      <c r="V19" s="713"/>
      <c r="W19" s="714"/>
      <c r="X19" s="1508"/>
      <c r="Y19" s="3360"/>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360"/>
      <c r="Q20" s="1505" t="str">
        <f>B20</f>
        <v>自然及人文环境</v>
      </c>
      <c r="R20" s="713" t="s">
        <v>17</v>
      </c>
      <c r="S20" s="714">
        <f>F20</f>
        <v>100</v>
      </c>
      <c r="T20" s="713" t="s">
        <v>17</v>
      </c>
      <c r="U20" s="714">
        <f>H20</f>
        <v>100</v>
      </c>
      <c r="V20" s="713" t="s">
        <v>17</v>
      </c>
      <c r="W20" s="714">
        <f>J20</f>
        <v>100</v>
      </c>
      <c r="X20" s="1508"/>
      <c r="Y20" s="3360"/>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360"/>
      <c r="Q21" s="1505"/>
      <c r="R21" s="713"/>
      <c r="S21" s="714"/>
      <c r="T21" s="713"/>
      <c r="U21" s="714"/>
      <c r="V21" s="713"/>
      <c r="W21" s="714"/>
      <c r="X21" s="1508"/>
      <c r="Y21" s="3360"/>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360"/>
      <c r="Q22" s="1505" t="str">
        <f>B22</f>
        <v>楼层</v>
      </c>
      <c r="R22" s="713" t="s">
        <v>17</v>
      </c>
      <c r="S22" s="714">
        <f>F22</f>
        <v>100</v>
      </c>
      <c r="T22" s="713" t="s">
        <v>17</v>
      </c>
      <c r="U22" s="714">
        <f>H22</f>
        <v>100</v>
      </c>
      <c r="V22" s="713" t="s">
        <v>17</v>
      </c>
      <c r="W22" s="714">
        <f>J22</f>
        <v>100</v>
      </c>
      <c r="X22" s="1508"/>
      <c r="Y22" s="3360"/>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360"/>
      <c r="Q23" s="1505">
        <f>B23</f>
        <v>111</v>
      </c>
      <c r="R23" s="713" t="s">
        <v>17</v>
      </c>
      <c r="S23" s="714">
        <f>F23</f>
        <v>100</v>
      </c>
      <c r="T23" s="713" t="s">
        <v>17</v>
      </c>
      <c r="U23" s="714">
        <f>H23</f>
        <v>100</v>
      </c>
      <c r="V23" s="713" t="s">
        <v>17</v>
      </c>
      <c r="W23" s="714">
        <f>J23</f>
        <v>100</v>
      </c>
      <c r="X23" s="1508"/>
      <c r="Y23" s="3360"/>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360"/>
      <c r="Q24" s="1505">
        <f t="shared" ref="Q24:Q34" si="11">B24</f>
        <v>111</v>
      </c>
      <c r="R24" s="713" t="s">
        <v>17</v>
      </c>
      <c r="S24" s="714">
        <f>F24</f>
        <v>100</v>
      </c>
      <c r="T24" s="713" t="s">
        <v>17</v>
      </c>
      <c r="U24" s="714">
        <f>H24</f>
        <v>100</v>
      </c>
      <c r="V24" s="713" t="s">
        <v>17</v>
      </c>
      <c r="W24" s="714">
        <f>J24</f>
        <v>100</v>
      </c>
      <c r="X24" s="1508"/>
      <c r="Y24" s="3360"/>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360"/>
      <c r="Q25" s="1496">
        <f t="shared" si="11"/>
        <v>111</v>
      </c>
      <c r="R25" s="709" t="s">
        <v>17</v>
      </c>
      <c r="S25" s="710">
        <f>F25</f>
        <v>100</v>
      </c>
      <c r="T25" s="709" t="s">
        <v>17</v>
      </c>
      <c r="U25" s="710">
        <f>H25</f>
        <v>100</v>
      </c>
      <c r="V25" s="709" t="s">
        <v>17</v>
      </c>
      <c r="W25" s="710">
        <f>J25</f>
        <v>100</v>
      </c>
      <c r="X25" s="711"/>
      <c r="Y25" s="3360"/>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361"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362"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362"/>
      <c r="Q27" s="715" t="str">
        <f t="shared" si="11"/>
        <v>成新率</v>
      </c>
      <c r="R27" s="716" t="s">
        <v>17</v>
      </c>
      <c r="S27" s="717" t="e">
        <f t="shared" si="12"/>
        <v>#N/A</v>
      </c>
      <c r="T27" s="716" t="s">
        <v>17</v>
      </c>
      <c r="U27" s="717" t="e">
        <f t="shared" si="13"/>
        <v>#N/A</v>
      </c>
      <c r="V27" s="716" t="s">
        <v>17</v>
      </c>
      <c r="W27" s="717" t="e">
        <f t="shared" si="14"/>
        <v>#N/A</v>
      </c>
      <c r="X27" s="718"/>
      <c r="Y27" s="3362"/>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362"/>
      <c r="Q28" s="1505" t="str">
        <f t="shared" si="11"/>
        <v>物业等级</v>
      </c>
      <c r="R28" s="713" t="s">
        <v>17</v>
      </c>
      <c r="S28" s="714">
        <f t="shared" si="12"/>
        <v>100</v>
      </c>
      <c r="T28" s="713" t="s">
        <v>17</v>
      </c>
      <c r="U28" s="714">
        <f t="shared" si="13"/>
        <v>100</v>
      </c>
      <c r="V28" s="713" t="s">
        <v>17</v>
      </c>
      <c r="W28" s="714">
        <f t="shared" si="14"/>
        <v>100</v>
      </c>
      <c r="X28" s="1508"/>
      <c r="Y28" s="3362"/>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362"/>
      <c r="Q29" s="1505" t="str">
        <f t="shared" si="11"/>
        <v>有无电梯</v>
      </c>
      <c r="R29" s="713" t="s">
        <v>17</v>
      </c>
      <c r="S29" s="714">
        <f t="shared" si="12"/>
        <v>100</v>
      </c>
      <c r="T29" s="713" t="s">
        <v>17</v>
      </c>
      <c r="U29" s="714">
        <f t="shared" si="13"/>
        <v>100</v>
      </c>
      <c r="V29" s="713" t="s">
        <v>17</v>
      </c>
      <c r="W29" s="714">
        <f t="shared" si="14"/>
        <v>100</v>
      </c>
      <c r="X29" s="1508"/>
      <c r="Y29" s="3362"/>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362"/>
      <c r="Q30" s="1505" t="str">
        <f t="shared" si="11"/>
        <v>建筑面积</v>
      </c>
      <c r="R30" s="713" t="s">
        <v>17</v>
      </c>
      <c r="S30" s="714" t="e">
        <f t="shared" si="12"/>
        <v>#N/A</v>
      </c>
      <c r="T30" s="713" t="s">
        <v>17</v>
      </c>
      <c r="U30" s="714" t="e">
        <f t="shared" si="13"/>
        <v>#N/A</v>
      </c>
      <c r="V30" s="713" t="s">
        <v>17</v>
      </c>
      <c r="W30" s="714" t="e">
        <f t="shared" si="14"/>
        <v>#N/A</v>
      </c>
      <c r="X30" s="1508"/>
      <c r="Y30" s="3362"/>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362"/>
      <c r="Q31" s="1496" t="str">
        <f t="shared" si="11"/>
        <v>是否封闭</v>
      </c>
      <c r="R31" s="709" t="s">
        <v>17</v>
      </c>
      <c r="S31" s="710">
        <f t="shared" si="12"/>
        <v>100</v>
      </c>
      <c r="T31" s="709" t="s">
        <v>17</v>
      </c>
      <c r="U31" s="710">
        <f t="shared" si="13"/>
        <v>100</v>
      </c>
      <c r="V31" s="709" t="s">
        <v>17</v>
      </c>
      <c r="W31" s="710">
        <f t="shared" si="14"/>
        <v>100</v>
      </c>
      <c r="X31" s="711"/>
      <c r="Y31" s="3362"/>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362" t="s">
        <v>2326</v>
      </c>
      <c r="Q32" s="1505">
        <f t="shared" si="11"/>
        <v>111</v>
      </c>
      <c r="R32" s="713" t="s">
        <v>17</v>
      </c>
      <c r="S32" s="714">
        <f t="shared" si="12"/>
        <v>100</v>
      </c>
      <c r="T32" s="713" t="s">
        <v>17</v>
      </c>
      <c r="U32" s="714">
        <f t="shared" si="13"/>
        <v>100</v>
      </c>
      <c r="V32" s="713" t="s">
        <v>17</v>
      </c>
      <c r="W32" s="714">
        <f t="shared" si="14"/>
        <v>100</v>
      </c>
      <c r="X32" s="1508"/>
      <c r="Y32" s="3362"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362"/>
      <c r="Q33" s="1505">
        <f t="shared" si="11"/>
        <v>111</v>
      </c>
      <c r="R33" s="713" t="s">
        <v>17</v>
      </c>
      <c r="S33" s="714">
        <f t="shared" si="12"/>
        <v>100</v>
      </c>
      <c r="T33" s="713" t="s">
        <v>17</v>
      </c>
      <c r="U33" s="714">
        <f t="shared" si="13"/>
        <v>100</v>
      </c>
      <c r="V33" s="713" t="s">
        <v>17</v>
      </c>
      <c r="W33" s="714">
        <f t="shared" si="14"/>
        <v>100</v>
      </c>
      <c r="X33" s="1508"/>
      <c r="Y33" s="3362"/>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362"/>
      <c r="Q34" s="1505">
        <f t="shared" si="11"/>
        <v>111</v>
      </c>
      <c r="R34" s="713" t="s">
        <v>17</v>
      </c>
      <c r="S34" s="714">
        <f t="shared" si="12"/>
        <v>100</v>
      </c>
      <c r="T34" s="713" t="s">
        <v>17</v>
      </c>
      <c r="U34" s="714">
        <f t="shared" si="13"/>
        <v>100</v>
      </c>
      <c r="V34" s="713" t="s">
        <v>17</v>
      </c>
      <c r="W34" s="714">
        <f t="shared" si="14"/>
        <v>100</v>
      </c>
      <c r="X34" s="1508"/>
      <c r="Y34" s="3362"/>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2"/>
      <c r="M35" s="2923"/>
      <c r="N35" s="2914"/>
      <c r="O35" s="2923"/>
      <c r="P35" s="3354" t="str">
        <f>A35</f>
        <v>成交单价（元/平方米）</v>
      </c>
      <c r="Q35" s="3354"/>
      <c r="R35" s="3355">
        <f>E35</f>
        <v>0</v>
      </c>
      <c r="S35" s="3355"/>
      <c r="T35" s="3355">
        <f>G35</f>
        <v>0</v>
      </c>
      <c r="U35" s="3355"/>
      <c r="V35" s="3355">
        <f>I35</f>
        <v>0</v>
      </c>
      <c r="W35" s="3355"/>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2"/>
      <c r="M36" s="2923"/>
      <c r="N36" s="2914"/>
      <c r="O36" s="2923"/>
      <c r="P36" s="3354" t="str">
        <f>A36</f>
        <v>比较价值（元/平方米）</v>
      </c>
      <c r="Q36" s="3354"/>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2"/>
      <c r="M37" s="2923"/>
      <c r="N37" s="2923"/>
      <c r="O37" s="2923"/>
      <c r="P37" s="3356" t="str">
        <f>A37</f>
        <v>估价对象XX用房的比较价值（楼面单价，元/平方米）</v>
      </c>
      <c r="Q37" s="3357"/>
      <c r="R37" s="3358" t="e">
        <f>IF(F1="售价",ROUND(IF(D36="简单平均",AVERAGE(R36:W36),R36*F36+T36*H36+V36*J36),0),ROUND(IF(D36="简单平均",AVERAGE(R36:V36),R36*F36+T36*H36+V36*J36),1))</f>
        <v>#DIV/0!</v>
      </c>
      <c r="S37" s="3358"/>
      <c r="T37" s="3358"/>
      <c r="U37" s="3358"/>
      <c r="V37" s="3358"/>
      <c r="W37" s="3358"/>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2435</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2346</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2311</v>
      </c>
      <c r="B49" s="466"/>
      <c r="C49" s="478" t="s">
        <v>2413</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2349</v>
      </c>
      <c r="B51" s="484" t="s">
        <v>2315</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2500</v>
      </c>
      <c r="C63" s="534" t="s">
        <v>2358</v>
      </c>
      <c r="D63" s="534" t="s">
        <v>2359</v>
      </c>
      <c r="E63" s="534" t="s">
        <v>2360</v>
      </c>
      <c r="F63" s="534" t="s">
        <v>2361</v>
      </c>
      <c r="G63" s="534" t="s">
        <v>2362</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2450</v>
      </c>
      <c r="C65" s="615" t="s">
        <v>2436</v>
      </c>
      <c r="D65" s="615" t="s">
        <v>2437</v>
      </c>
      <c r="E65" s="615" t="s">
        <v>2438</v>
      </c>
      <c r="F65" s="615" t="s">
        <v>2439</v>
      </c>
      <c r="G65" s="615" t="s">
        <v>2440</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2370</v>
      </c>
      <c r="C67" s="534" t="s">
        <v>2358</v>
      </c>
      <c r="D67" s="534" t="s">
        <v>2359</v>
      </c>
      <c r="E67" s="534" t="s">
        <v>2360</v>
      </c>
      <c r="F67" s="534" t="s">
        <v>2361</v>
      </c>
      <c r="G67" s="534" t="s">
        <v>2362</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2489</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2324</v>
      </c>
      <c r="B77" s="484" t="s">
        <v>2377</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2493</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2501</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2503</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D1" xr:uid="{00000000-0002-0000-1700-000002000000}">
      <formula1>项目类型</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C8 E8 G8 I8" xr:uid="{00000000-0002-0000-1700-000004000000}">
      <formula1>仓储交易情况</formula1>
    </dataValidation>
    <dataValidation type="list" allowBlank="1" showInputMessage="1" showErrorMessage="1" sqref="E9 G9 I9" xr:uid="{00000000-0002-0000-1700-000005000000}">
      <formula1>仓储用途</formula1>
    </dataValidation>
    <dataValidation type="list" allowBlank="1" showInputMessage="1" showErrorMessage="1" sqref="C21 E21 G21 I21" xr:uid="{00000000-0002-0000-1700-000006000000}">
      <formula1>环境</formula1>
    </dataValidation>
    <dataValidation type="list" allowBlank="1" showInputMessage="1" showErrorMessage="1" sqref="C22 E22 G22 I22" xr:uid="{00000000-0002-0000-1700-000007000000}">
      <formula1>仓储楼层</formula1>
    </dataValidation>
    <dataValidation type="list" allowBlank="1" showInputMessage="1" showErrorMessage="1" sqref="C26 E26 G26 I26" xr:uid="{00000000-0002-0000-1700-000008000000}">
      <formula1>仓储公共部分装修</formula1>
    </dataValidation>
    <dataValidation type="list" allowBlank="1" showInputMessage="1" showErrorMessage="1" sqref="C29 E29 G29 I29" xr:uid="{00000000-0002-0000-1700-000009000000}">
      <formula1>有无电梯</formula1>
    </dataValidation>
    <dataValidation type="list" allowBlank="1" showInputMessage="1" showErrorMessage="1" sqref="C31 E31 G31 I31" xr:uid="{00000000-0002-0000-1700-00000A000000}">
      <formula1>是否封闭</formula1>
    </dataValidation>
    <dataValidation type="list" allowBlank="1" showInputMessage="1" showErrorMessage="1" sqref="B1" xr:uid="{00000000-0002-0000-1700-00000B000000}">
      <formula1>地类判定</formula1>
    </dataValidation>
    <dataValidation type="list" allowBlank="1" showInputMessage="1" showErrorMessage="1" sqref="C28 E28 G28 I28" xr:uid="{00000000-0002-0000-1700-00000C000000}">
      <formula1>仓储物业等级</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F1" xr:uid="{00000000-0002-0000-1700-00000E000000}">
      <formula1>"售价,租金"</formula1>
    </dataValidation>
    <dataValidation type="list" allowBlank="1" showInputMessage="1" showErrorMessage="1" sqref="C2" xr:uid="{00000000-0002-0000-1700-00000F000000}">
      <formula1>"需扣减承租人权益,——"</formula1>
    </dataValidation>
    <dataValidation type="list" allowBlank="1" showInputMessage="1" showErrorMessage="1" sqref="F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10412</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8839</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3655</v>
      </c>
      <c r="D5" s="216" t="s">
        <v>2095</v>
      </c>
      <c r="E5" s="217" t="s">
        <v>2096</v>
      </c>
      <c r="F5" s="217" t="s">
        <v>2097</v>
      </c>
      <c r="G5" s="218"/>
    </row>
    <row r="6" spans="1:9" s="219" customFormat="1" ht="13.5" customHeight="1">
      <c r="A6" s="885" t="s">
        <v>791</v>
      </c>
      <c r="B6" s="220" t="s">
        <v>2099</v>
      </c>
      <c r="C6" s="221">
        <f>基准地价修正!E39</f>
        <v>3547</v>
      </c>
      <c r="D6" s="222"/>
      <c r="E6" s="223"/>
      <c r="F6" s="223"/>
      <c r="G6" s="224"/>
    </row>
    <row r="7" spans="1:9" s="219" customFormat="1" ht="13.5" customHeight="1">
      <c r="A7" s="885" t="s">
        <v>792</v>
      </c>
      <c r="B7" s="220" t="s">
        <v>2101</v>
      </c>
      <c r="C7" s="225">
        <f>ROUND(C6*F7,0)</f>
        <v>108</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382</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355</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198</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4915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4545</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124</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91</v>
      </c>
      <c r="D39" s="237"/>
      <c r="E39" s="237"/>
      <c r="F39" s="2504">
        <f>F20</f>
        <v>0.02</v>
      </c>
      <c r="G39" s="239" t="s">
        <v>2162</v>
      </c>
    </row>
    <row r="40" spans="1:7" s="219" customFormat="1" ht="13.5" customHeight="1">
      <c r="A40" s="260" t="s">
        <v>2119</v>
      </c>
      <c r="B40" s="215" t="s">
        <v>2123</v>
      </c>
      <c r="C40" s="1466">
        <f>F21</f>
        <v>0.02</v>
      </c>
      <c r="D40" s="241" t="s">
        <v>2165</v>
      </c>
      <c r="E40" s="237"/>
      <c r="F40" s="2504">
        <f>F21</f>
        <v>0.02</v>
      </c>
      <c r="G40" s="239" t="s">
        <v>2166</v>
      </c>
    </row>
    <row r="41" spans="1:7" s="219" customFormat="1" ht="13.5" customHeight="1">
      <c r="A41" s="260" t="s">
        <v>2122</v>
      </c>
      <c r="B41" s="215" t="s">
        <v>2127</v>
      </c>
      <c r="C41" s="237">
        <f ca="1">ROUND(SUM(C42:C43),0)</f>
        <v>220</v>
      </c>
      <c r="D41" s="240">
        <f>C44</f>
        <v>1E-3</v>
      </c>
      <c r="E41" s="241" t="s">
        <v>2165</v>
      </c>
      <c r="F41" s="2505">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216</v>
      </c>
      <c r="D42" s="243"/>
      <c r="E42" s="243"/>
      <c r="F42" s="244"/>
      <c r="G42" s="3499" t="s">
        <v>2170</v>
      </c>
    </row>
    <row r="43" spans="1:7" ht="13.5" customHeight="1">
      <c r="A43" s="887" t="s">
        <v>792</v>
      </c>
      <c r="B43" s="220" t="s">
        <v>2132</v>
      </c>
      <c r="C43" s="243">
        <f ca="1">ROUND(IF('数据-取费表'!B22&lt;=1,C39*F22*'数据-取费表'!B21/2,C39*(POWER((1+F22),'数据-取费表'!B21/2)-1)),0)</f>
        <v>4</v>
      </c>
      <c r="D43" s="243"/>
      <c r="E43" s="243"/>
      <c r="F43" s="244"/>
      <c r="G43" s="3500"/>
    </row>
    <row r="44" spans="1:7" ht="13.5" customHeight="1">
      <c r="A44" s="887" t="s">
        <v>793</v>
      </c>
      <c r="B44" s="220" t="s">
        <v>2135</v>
      </c>
      <c r="C44" s="243">
        <f>ROUND(IF('数据-取费表'!B22&lt;=1,C40*F22*'数据-取费表'!B21/2,C40*(POWER((1+F22),'数据-取费表'!B21/2)-1)),4)</f>
        <v>1E-3</v>
      </c>
      <c r="D44" s="243"/>
      <c r="E44" s="243"/>
      <c r="F44" s="244"/>
      <c r="G44" s="3501"/>
    </row>
    <row r="45" spans="1:7" s="219" customFormat="1" ht="13.5" customHeight="1">
      <c r="A45" s="260" t="s">
        <v>2126</v>
      </c>
      <c r="B45" s="249" t="s">
        <v>2139</v>
      </c>
      <c r="C45" s="250">
        <f ca="1">C46</f>
        <v>232</v>
      </c>
      <c r="D45" s="240">
        <f ca="1">C47</f>
        <v>1E-3</v>
      </c>
      <c r="E45" s="241" t="s">
        <v>2165</v>
      </c>
      <c r="F45" s="2506">
        <f ca="1">F27</f>
        <v>0.05</v>
      </c>
      <c r="G45" s="252" t="s">
        <v>2174</v>
      </c>
    </row>
    <row r="46" spans="1:7" s="219" customFormat="1" ht="13.5" customHeight="1">
      <c r="A46" s="887" t="s">
        <v>791</v>
      </c>
      <c r="B46" s="253" t="s">
        <v>2175</v>
      </c>
      <c r="C46" s="254">
        <f ca="1">ROUND((C33+C39)*F27,0)</f>
        <v>232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5497</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5497</v>
      </c>
      <c r="D51" s="237"/>
      <c r="E51" s="237"/>
      <c r="F51" s="269"/>
      <c r="G51" s="239" t="s">
        <v>2186</v>
      </c>
    </row>
    <row r="52" spans="1:7" s="213" customFormat="1" ht="16.5" thickBot="1">
      <c r="A52" s="270" t="s">
        <v>2187</v>
      </c>
      <c r="B52" s="271"/>
      <c r="C52" s="272">
        <f ca="1">C31+C51</f>
        <v>10412</v>
      </c>
      <c r="D52" s="271"/>
      <c r="E52" s="271"/>
      <c r="F52" s="271"/>
      <c r="G52" s="273"/>
    </row>
    <row r="55" spans="1:7" ht="15">
      <c r="B55" s="275" t="s">
        <v>2188</v>
      </c>
      <c r="C55" s="276"/>
    </row>
    <row r="56" spans="1:7">
      <c r="B56" s="278" t="s">
        <v>1418</v>
      </c>
      <c r="C56" s="280">
        <f ca="1">1-C57</f>
        <v>0.47199999999999998</v>
      </c>
    </row>
    <row r="57" spans="1:7">
      <c r="B57" s="278" t="s">
        <v>1419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429" t="str">
        <f>项目基本情况!S2</f>
        <v>北京市房地产</v>
      </c>
      <c r="B2" s="3430"/>
      <c r="C2" s="3430"/>
      <c r="D2" s="3430"/>
      <c r="E2" s="3430"/>
      <c r="F2" s="3430"/>
      <c r="G2" s="3430"/>
      <c r="H2" s="3430"/>
      <c r="I2" s="3431"/>
    </row>
    <row r="3" spans="1:12" ht="12.75">
      <c r="A3" s="3433" t="s">
        <v>1890</v>
      </c>
      <c r="B3" s="3434"/>
      <c r="C3" s="3434"/>
      <c r="D3" s="3434"/>
      <c r="E3" s="3434"/>
      <c r="F3" s="3434"/>
      <c r="G3" s="3434"/>
      <c r="H3" s="3434"/>
      <c r="I3" s="3434"/>
    </row>
    <row r="4" spans="1:12" ht="14.25">
      <c r="A4" s="1909" t="s">
        <v>1891</v>
      </c>
      <c r="B4" s="1910" t="s">
        <v>1892</v>
      </c>
      <c r="C4" s="1911" t="s">
        <v>3146</v>
      </c>
      <c r="D4" s="1911" t="s">
        <v>3142</v>
      </c>
      <c r="E4" s="3435" t="s">
        <v>1893</v>
      </c>
      <c r="F4" s="3436"/>
      <c r="G4" s="3436"/>
      <c r="H4" s="3436"/>
      <c r="I4" s="3437"/>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09" t="s">
        <v>1894</v>
      </c>
      <c r="B5" s="3363">
        <v>25</v>
      </c>
      <c r="C5" s="3412">
        <v>60</v>
      </c>
      <c r="D5" s="3432">
        <f>100-C5</f>
        <v>40</v>
      </c>
      <c r="E5" s="136" t="s">
        <v>1895</v>
      </c>
      <c r="F5" s="1912"/>
      <c r="G5" s="1912"/>
      <c r="H5" s="1912"/>
      <c r="I5" s="1526"/>
    </row>
    <row r="6" spans="1:12" ht="12.75">
      <c r="A6" s="3409"/>
      <c r="B6" s="3363"/>
      <c r="C6" s="3413"/>
      <c r="D6" s="3432"/>
      <c r="E6" s="136" t="s">
        <v>1896</v>
      </c>
      <c r="F6" s="1912"/>
      <c r="G6" s="1912"/>
      <c r="H6" s="1912"/>
      <c r="I6" s="1526"/>
    </row>
    <row r="7" spans="1:12" ht="12.75">
      <c r="A7" s="3409"/>
      <c r="B7" s="3363"/>
      <c r="C7" s="3414"/>
      <c r="D7" s="3432"/>
      <c r="E7" s="136" t="s">
        <v>1897</v>
      </c>
      <c r="F7" s="1912"/>
      <c r="G7" s="1912"/>
      <c r="H7" s="1912"/>
      <c r="I7" s="1526"/>
    </row>
    <row r="8" spans="1:12" ht="12.75">
      <c r="A8" s="3409" t="s">
        <v>1898</v>
      </c>
      <c r="B8" s="3363">
        <v>15</v>
      </c>
      <c r="C8" s="3412"/>
      <c r="D8" s="3432"/>
      <c r="E8" s="136" t="s">
        <v>1899</v>
      </c>
      <c r="F8" s="1912"/>
      <c r="G8" s="1912"/>
      <c r="H8" s="1912"/>
      <c r="I8" s="1526"/>
    </row>
    <row r="9" spans="1:12" ht="12.75">
      <c r="A9" s="3409"/>
      <c r="B9" s="3363"/>
      <c r="C9" s="3414"/>
      <c r="D9" s="3432"/>
      <c r="E9" s="136" t="s">
        <v>1900</v>
      </c>
      <c r="F9" s="1912"/>
      <c r="G9" s="1912"/>
      <c r="H9" s="1912"/>
      <c r="I9" s="1526"/>
    </row>
    <row r="10" spans="1:12" ht="12.75">
      <c r="A10" s="3409" t="s">
        <v>1901</v>
      </c>
      <c r="B10" s="3363">
        <v>15</v>
      </c>
      <c r="C10" s="3412"/>
      <c r="D10" s="3432"/>
      <c r="E10" s="136" t="s">
        <v>1902</v>
      </c>
      <c r="F10" s="1912"/>
      <c r="G10" s="1912"/>
      <c r="H10" s="1912"/>
      <c r="I10" s="1526"/>
    </row>
    <row r="11" spans="1:12" ht="12.75">
      <c r="A11" s="3409"/>
      <c r="B11" s="3363"/>
      <c r="C11" s="3414"/>
      <c r="D11" s="3432"/>
      <c r="E11" s="136" t="s">
        <v>1903</v>
      </c>
      <c r="F11" s="1912"/>
      <c r="G11" s="1912"/>
      <c r="H11" s="1912"/>
      <c r="I11" s="1526"/>
    </row>
    <row r="12" spans="1:12" ht="12.75">
      <c r="A12" s="3409" t="s">
        <v>1904</v>
      </c>
      <c r="B12" s="3363">
        <v>15</v>
      </c>
      <c r="C12" s="3412"/>
      <c r="D12" s="3432"/>
      <c r="E12" s="136" t="s">
        <v>1905</v>
      </c>
      <c r="F12" s="1912"/>
      <c r="G12" s="1912"/>
      <c r="H12" s="1912"/>
      <c r="I12" s="1526"/>
    </row>
    <row r="13" spans="1:12" ht="12.75">
      <c r="A13" s="3409"/>
      <c r="B13" s="3363"/>
      <c r="C13" s="3414"/>
      <c r="D13" s="3432"/>
      <c r="E13" s="136" t="s">
        <v>1906</v>
      </c>
      <c r="F13" s="1912"/>
      <c r="G13" s="1912"/>
      <c r="H13" s="1912"/>
      <c r="I13" s="1526"/>
    </row>
    <row r="14" spans="1:12" ht="12.75">
      <c r="A14" s="3409" t="s">
        <v>1907</v>
      </c>
      <c r="B14" s="3363">
        <v>30</v>
      </c>
      <c r="C14" s="3412"/>
      <c r="D14" s="3432"/>
      <c r="E14" s="136" t="s">
        <v>1908</v>
      </c>
      <c r="F14" s="1912"/>
      <c r="G14" s="1912"/>
      <c r="H14" s="1912"/>
      <c r="I14" s="1526"/>
    </row>
    <row r="15" spans="1:12" ht="12.75">
      <c r="A15" s="3409"/>
      <c r="B15" s="3363"/>
      <c r="C15" s="3413"/>
      <c r="D15" s="3432"/>
      <c r="E15" s="136" t="s">
        <v>1909</v>
      </c>
      <c r="F15" s="1912"/>
      <c r="G15" s="1912"/>
      <c r="H15" s="1912"/>
      <c r="I15" s="1526"/>
    </row>
    <row r="16" spans="1:12" ht="12.75">
      <c r="A16" s="3409"/>
      <c r="B16" s="3363"/>
      <c r="C16" s="3414"/>
      <c r="D16" s="3432"/>
      <c r="E16" s="136" t="s">
        <v>1910</v>
      </c>
      <c r="F16" s="1912"/>
      <c r="G16" s="1912"/>
      <c r="H16" s="1912"/>
      <c r="I16" s="1526"/>
    </row>
    <row r="17" spans="1:36" ht="15">
      <c r="A17" s="1913" t="s">
        <v>1911</v>
      </c>
      <c r="B17" s="60"/>
      <c r="C17" s="137">
        <f>SUM(C5:C16)</f>
        <v>60</v>
      </c>
      <c r="D17" s="137">
        <f>SUM(D5:D16)</f>
        <v>40</v>
      </c>
      <c r="E17" s="134"/>
      <c r="F17" s="134"/>
      <c r="G17" s="134"/>
      <c r="H17" s="134"/>
      <c r="I17" s="134"/>
      <c r="K17" s="307"/>
      <c r="L17" s="307" t="s">
        <v>1912</v>
      </c>
      <c r="M17" s="307" t="s">
        <v>1913</v>
      </c>
    </row>
    <row r="18" spans="1:36" ht="31.9" customHeight="1" thickBot="1">
      <c r="A18" s="1914" t="s">
        <v>1914</v>
      </c>
      <c r="B18" s="1915"/>
      <c r="C18" s="138">
        <f>ROUND(C17/SUM(C17:D17),2)</f>
        <v>0.6</v>
      </c>
      <c r="D18" s="138">
        <f>1-C18</f>
        <v>0.4</v>
      </c>
      <c r="E18" s="3419" t="s">
        <v>2811</v>
      </c>
      <c r="F18" s="3420"/>
      <c r="G18" s="3420"/>
      <c r="H18" s="3420"/>
      <c r="I18" s="3420"/>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8874</v>
      </c>
      <c r="D19" s="140">
        <f ca="1">SUMIF(INDIRECT("'"&amp;D4&amp;"'"&amp;"!A:A"),'结果表-仓储'!B19,INDIRECT("'"&amp;D4&amp;"'"&amp;"!B:B"))</f>
        <v>4274</v>
      </c>
      <c r="E19" s="1916" t="s">
        <v>1918</v>
      </c>
      <c r="F19" s="1917" t="s">
        <v>1917</v>
      </c>
      <c r="G19" s="141">
        <f ca="1">ROUND(C19*$C$18+D19*$D$18,0)</f>
        <v>7034</v>
      </c>
      <c r="H19" s="1918" t="s">
        <v>1919</v>
      </c>
      <c r="I19" s="134"/>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9822</v>
      </c>
      <c r="D20" s="143">
        <f ca="1">SUMIF(INDIRECT("'"&amp;D4&amp;"'"&amp;"!A:A"),'结果表-仓储'!B20,INDIRECT("'"&amp;D4&amp;"'"&amp;"!B:B"))</f>
        <v>4731</v>
      </c>
      <c r="E20" s="1919"/>
      <c r="F20" s="1156" t="s">
        <v>1921</v>
      </c>
      <c r="G20" s="3252">
        <f ca="1">ROUND(C20*$C$18+D20*$D$18,0)</f>
        <v>7786</v>
      </c>
      <c r="H20" s="916" t="s">
        <v>1922</v>
      </c>
      <c r="I20" s="1903">
        <f ca="1">G20*面积表!J20/10000</f>
        <v>14.967292855319148</v>
      </c>
      <c r="J20" s="3253" t="s">
        <v>3245</v>
      </c>
    </row>
    <row r="21" spans="1:36" ht="15" customHeight="1" thickBot="1">
      <c r="A21" s="936"/>
      <c r="B21" s="1920" t="s">
        <v>1923</v>
      </c>
      <c r="C21" s="727">
        <f ca="1">ROUND(C19*10000/L19,0)</f>
        <v>18956</v>
      </c>
      <c r="D21" s="728">
        <f ca="1">ROUND(D19*10000/L19,0)</f>
        <v>9130</v>
      </c>
      <c r="E21" s="936"/>
      <c r="F21" s="1920" t="s">
        <v>1923</v>
      </c>
      <c r="G21" s="144">
        <f ca="1">ROUND(G19*10000/L19,0)</f>
        <v>15026</v>
      </c>
      <c r="H21" s="1921" t="s">
        <v>1922</v>
      </c>
      <c r="I21" s="134"/>
    </row>
    <row r="22" spans="1:36" ht="15" thickBot="1">
      <c r="A22" s="1843" t="s">
        <v>1924</v>
      </c>
      <c r="B22" s="1922"/>
      <c r="C22" s="1923"/>
      <c r="D22" s="729">
        <f ca="1">IF(C19&lt;D19,D19/C19-1,C19/D19-1)</f>
        <v>1.0762751520823586</v>
      </c>
      <c r="E22" s="134"/>
      <c r="F22" s="134"/>
      <c r="G22" s="134"/>
      <c r="H22" s="134"/>
      <c r="I22" s="134"/>
    </row>
    <row r="23" spans="1:36" ht="13.5" thickBot="1">
      <c r="A23" s="1902"/>
      <c r="B23" s="1902"/>
      <c r="C23" s="1902"/>
      <c r="D23" s="1902"/>
      <c r="E23" s="134"/>
      <c r="F23" s="134"/>
      <c r="G23" s="134"/>
      <c r="H23" s="134"/>
      <c r="I23" s="134"/>
    </row>
    <row r="24" spans="1:36" ht="14.25">
      <c r="A24" s="3403" t="s">
        <v>1925</v>
      </c>
      <c r="B24" s="1917" t="s">
        <v>1917</v>
      </c>
      <c r="C24" s="141">
        <f>IF(B30=0,0,D30)</f>
        <v>0</v>
      </c>
      <c r="D24" s="1924"/>
      <c r="E24" s="134"/>
      <c r="F24" s="134"/>
      <c r="G24" s="134"/>
      <c r="H24" s="134"/>
      <c r="I24" s="134"/>
    </row>
    <row r="25" spans="1:36" ht="14.25">
      <c r="A25" s="3404"/>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7786</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3" t="s">
        <v>1938</v>
      </c>
      <c r="B36" s="1942" t="s">
        <v>1939</v>
      </c>
      <c r="C36" s="149"/>
      <c r="D36" s="1943"/>
      <c r="E36" s="1944"/>
      <c r="F36" s="1945"/>
      <c r="G36" s="134"/>
      <c r="H36" s="134"/>
      <c r="I36" s="134"/>
    </row>
    <row r="37" spans="1:15" ht="15.75" thickBot="1">
      <c r="A37" s="3424"/>
      <c r="B37" s="1829" t="s">
        <v>1940</v>
      </c>
      <c r="C37" s="151"/>
      <c r="D37" s="1272"/>
      <c r="E37" s="1272"/>
      <c r="F37" s="1945"/>
      <c r="G37" s="134"/>
      <c r="H37" s="134"/>
      <c r="I37" s="134"/>
    </row>
    <row r="38" spans="1:15" ht="15.75" thickBot="1">
      <c r="A38" s="3425"/>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0" t="s">
        <v>1952</v>
      </c>
      <c r="B45" s="3401"/>
      <c r="C45" s="3402"/>
      <c r="D45" s="159" t="e">
        <f ca="1">ROUND(H101*F45,0)</f>
        <v>#REF!</v>
      </c>
      <c r="E45" s="160" t="s">
        <v>1953</v>
      </c>
      <c r="F45" s="161">
        <v>1</v>
      </c>
      <c r="G45" s="162" t="s">
        <v>1954</v>
      </c>
      <c r="H45" s="134"/>
      <c r="I45" s="134"/>
      <c r="J45" s="3481" t="s">
        <v>1955</v>
      </c>
      <c r="K45" s="3481"/>
      <c r="L45" s="3481"/>
      <c r="M45" s="3481"/>
      <c r="N45" s="3481"/>
      <c r="O45" s="3481"/>
    </row>
    <row r="46" spans="1:15" ht="14.25" customHeight="1">
      <c r="A46" s="3397" t="s">
        <v>1956</v>
      </c>
      <c r="B46" s="3398"/>
      <c r="C46" s="3398"/>
      <c r="D46" s="3398"/>
      <c r="E46" s="3398"/>
      <c r="F46" s="3398"/>
      <c r="G46" s="3399"/>
      <c r="H46" s="1961"/>
      <c r="I46" s="163"/>
      <c r="J46" s="3215">
        <v>1</v>
      </c>
      <c r="K46" s="3462" t="s">
        <v>1957</v>
      </c>
      <c r="L46" s="3462"/>
      <c r="M46" s="3482"/>
      <c r="N46" s="3482"/>
      <c r="O46" s="3482"/>
    </row>
    <row r="47" spans="1:15" ht="12" customHeight="1">
      <c r="A47" s="164" t="s">
        <v>1958</v>
      </c>
      <c r="B47" s="165"/>
      <c r="C47" s="166"/>
      <c r="D47" s="1218" t="s">
        <v>1959</v>
      </c>
      <c r="E47" s="307" t="s">
        <v>1960</v>
      </c>
      <c r="F47" s="167" t="s">
        <v>1961</v>
      </c>
      <c r="G47" s="2741" t="s">
        <v>1962</v>
      </c>
      <c r="H47" s="2742"/>
      <c r="I47" s="163"/>
      <c r="J47" s="3215">
        <v>2</v>
      </c>
      <c r="K47" s="3462" t="s">
        <v>1963</v>
      </c>
      <c r="L47" s="3462"/>
      <c r="M47" s="3483">
        <f>'数据-取费表'!B2</f>
        <v>44617</v>
      </c>
      <c r="N47" s="3483"/>
      <c r="O47" s="3483"/>
    </row>
    <row r="48" spans="1:15" ht="25.5">
      <c r="A48" s="3428" t="s">
        <v>1964</v>
      </c>
      <c r="B48" s="3411"/>
      <c r="C48" s="3411"/>
      <c r="D48" s="3210" t="b">
        <f>IF(H48="情况1",0,IF(H48="情况2",D52,IF(H48="情况3",D53,IF(H48="情况4",D54))))</f>
        <v>0</v>
      </c>
      <c r="E48" s="3225" t="str">
        <f>IF(H48="情况4","(销售额-原购置价)×税（费）率","销售额×税（费）率")</f>
        <v>销售额×税（费）率</v>
      </c>
      <c r="F48" s="2743">
        <f>IF(H48="情况1","免征",'数据-取费表'!B41)</f>
        <v>5.5000000000000007E-2</v>
      </c>
      <c r="G48" s="2744" t="s">
        <v>1965</v>
      </c>
      <c r="H48" s="2745"/>
      <c r="I48" s="1961"/>
      <c r="J48" s="3215">
        <v>3</v>
      </c>
      <c r="K48" s="3462" t="s">
        <v>1966</v>
      </c>
      <c r="L48" s="3462"/>
      <c r="M48" s="3484" t="e">
        <f ca="1">H101</f>
        <v>#REF!</v>
      </c>
      <c r="N48" s="3484"/>
      <c r="O48" s="3484"/>
    </row>
    <row r="49" spans="1:35" ht="25.5" customHeight="1">
      <c r="A49" s="3224" t="s">
        <v>1967</v>
      </c>
      <c r="B49" s="3396" t="s">
        <v>1968</v>
      </c>
      <c r="C49" s="3396"/>
      <c r="D49" s="1744">
        <v>0</v>
      </c>
      <c r="E49" s="329" t="s">
        <v>1969</v>
      </c>
      <c r="F49" s="3208" t="s">
        <v>34</v>
      </c>
      <c r="G49" s="3468"/>
      <c r="H49" s="2497" t="s">
        <v>2814</v>
      </c>
      <c r="I49" s="2498"/>
      <c r="J49" s="3215">
        <v>4</v>
      </c>
      <c r="K49" s="3462" t="str">
        <f>IF(项目基本情况!E8="房地产抵押价值","房地产抵押价值","抵押担保权已注销时的房地产抵押价值")</f>
        <v>抵押担保权已注销时的房地产抵押价值</v>
      </c>
      <c r="L49" s="3462"/>
      <c r="M49" s="3484" t="str">
        <f>IF(项目基本情况!E8="房地产抵押价值",H107,H109)</f>
        <v>——</v>
      </c>
      <c r="N49" s="3484"/>
      <c r="O49" s="3484"/>
    </row>
    <row r="50" spans="1:35" ht="25.5" customHeight="1">
      <c r="A50" s="2746"/>
      <c r="B50" s="3396" t="s">
        <v>1970</v>
      </c>
      <c r="C50" s="3396"/>
      <c r="D50" s="2747"/>
      <c r="E50" s="337"/>
      <c r="F50" s="3208"/>
      <c r="G50" s="3469"/>
      <c r="H50" s="2499" t="s">
        <v>2815</v>
      </c>
      <c r="I50" s="2498"/>
      <c r="J50" s="3481" t="s">
        <v>1971</v>
      </c>
      <c r="K50" s="3481"/>
      <c r="L50" s="3481"/>
      <c r="M50" s="3481"/>
      <c r="N50" s="3481"/>
      <c r="O50" s="3481"/>
    </row>
    <row r="51" spans="1:35" ht="20.45" customHeight="1">
      <c r="A51" s="2748"/>
      <c r="B51" s="3396" t="s">
        <v>1972</v>
      </c>
      <c r="C51" s="3396"/>
      <c r="D51" s="1218"/>
      <c r="E51" s="332"/>
      <c r="F51" s="3208"/>
      <c r="G51" s="3470"/>
      <c r="H51" s="2499" t="s">
        <v>2816</v>
      </c>
      <c r="I51" s="2498"/>
      <c r="J51" s="3209" t="s">
        <v>1973</v>
      </c>
      <c r="K51" s="3462" t="s">
        <v>1974</v>
      </c>
      <c r="L51" s="3462"/>
      <c r="M51" s="3209" t="s">
        <v>1975</v>
      </c>
      <c r="N51" s="3209" t="s">
        <v>1976</v>
      </c>
      <c r="O51" s="3209" t="s">
        <v>1977</v>
      </c>
    </row>
    <row r="52" spans="1:35" ht="24" customHeight="1">
      <c r="A52" s="3227" t="s">
        <v>1978</v>
      </c>
      <c r="B52" s="3396" t="s">
        <v>1979</v>
      </c>
      <c r="C52" s="3396"/>
      <c r="D52" s="1218" t="e">
        <f ca="1">ROUND(D45*'数据-取费表'!B41/(1+'数据-取费表'!C42),0)</f>
        <v>#REF!</v>
      </c>
      <c r="E52" s="3225" t="s">
        <v>1980</v>
      </c>
      <c r="F52" s="2749">
        <f>'数据-取费表'!B41</f>
        <v>5.5000000000000007E-2</v>
      </c>
      <c r="G52" s="2750"/>
      <c r="H52" s="2739"/>
      <c r="I52" s="1962"/>
      <c r="J52" s="3215">
        <v>1</v>
      </c>
      <c r="K52" s="3463" t="s">
        <v>1981</v>
      </c>
      <c r="L52" s="3463"/>
      <c r="M52" s="2720" t="b">
        <f>D48</f>
        <v>0</v>
      </c>
      <c r="N52" s="3215" t="str">
        <f>E48</f>
        <v>销售额×税（费）率</v>
      </c>
      <c r="O52" s="2721">
        <f>F48</f>
        <v>5.5000000000000007E-2</v>
      </c>
    </row>
    <row r="53" spans="1:35" ht="12" customHeight="1">
      <c r="A53" s="3227" t="s">
        <v>1982</v>
      </c>
      <c r="B53" s="3421" t="s">
        <v>2975</v>
      </c>
      <c r="C53" s="3422"/>
      <c r="D53" s="1218" t="e">
        <f ca="1">ROUND(D45*'数据-取费表'!B41/(1+'数据-取费表'!C42),0)</f>
        <v>#REF!</v>
      </c>
      <c r="E53" s="3225" t="s">
        <v>1980</v>
      </c>
      <c r="F53" s="2749">
        <f>'数据-取费表'!B41</f>
        <v>5.5000000000000007E-2</v>
      </c>
      <c r="G53" s="2750"/>
      <c r="H53" s="2739"/>
      <c r="I53" s="1962"/>
      <c r="J53" s="3215">
        <v>2</v>
      </c>
      <c r="K53" s="3463" t="s">
        <v>1983</v>
      </c>
      <c r="L53" s="3463"/>
      <c r="M53" s="2720" t="e">
        <f t="shared" ref="M53:O54" ca="1" si="0">D55</f>
        <v>#REF!</v>
      </c>
      <c r="N53" s="3215" t="str">
        <f t="shared" si="0"/>
        <v>销售额×税（费）率</v>
      </c>
      <c r="O53" s="2721" t="str">
        <f t="shared" si="0"/>
        <v>免征</v>
      </c>
    </row>
    <row r="54" spans="1:35" ht="12" customHeight="1">
      <c r="A54" s="3227" t="s">
        <v>1984</v>
      </c>
      <c r="B54" s="3421" t="s">
        <v>2976</v>
      </c>
      <c r="C54" s="3422"/>
      <c r="D54" s="1218" t="e">
        <f ca="1">C68</f>
        <v>#REF!</v>
      </c>
      <c r="E54" s="332" t="s">
        <v>1985</v>
      </c>
      <c r="F54" s="2749">
        <f>'数据-取费表'!B41</f>
        <v>5.5000000000000007E-2</v>
      </c>
      <c r="G54" s="2750"/>
      <c r="H54" s="2751"/>
      <c r="I54" s="1962"/>
      <c r="J54" s="3215">
        <v>3</v>
      </c>
      <c r="K54" s="3463" t="s">
        <v>1986</v>
      </c>
      <c r="L54" s="3463"/>
      <c r="M54" s="2720" t="e">
        <f t="shared" ca="1" si="0"/>
        <v>#REF!</v>
      </c>
      <c r="N54" s="3215" t="str">
        <f t="shared" si="0"/>
        <v>增值额×税（费）率</v>
      </c>
      <c r="O54" s="2722" t="str">
        <f t="shared" si="0"/>
        <v>免征</v>
      </c>
    </row>
    <row r="55" spans="1:35" ht="24" customHeight="1">
      <c r="A55" s="3410" t="s">
        <v>1987</v>
      </c>
      <c r="B55" s="3411"/>
      <c r="C55" s="3411"/>
      <c r="D55" s="3210" t="e">
        <f ca="1">IF(H55="个人住宅",0,ROUND(D45*I55,0))</f>
        <v>#REF!</v>
      </c>
      <c r="E55" s="3225" t="s">
        <v>1988</v>
      </c>
      <c r="F55" s="2749" t="str">
        <f>IF(H55="正常",I55,"免征")</f>
        <v>免征</v>
      </c>
      <c r="G55" s="2750"/>
      <c r="H55" s="2745"/>
      <c r="I55" s="169">
        <f>'数据-取费表'!B49</f>
        <v>5.0000000000000001E-4</v>
      </c>
      <c r="J55" s="3215">
        <f>IF(H59="非个人房产","",4)</f>
        <v>4</v>
      </c>
      <c r="K55" s="3463" t="str">
        <f>IF(H59="非个人房产","——","个人所得税")</f>
        <v>个人所得税</v>
      </c>
      <c r="L55" s="3463"/>
      <c r="M55" s="2723" t="e">
        <f ca="1">D59</f>
        <v>#REF!</v>
      </c>
      <c r="N55" s="3216" t="str">
        <f>E59</f>
        <v>差额计税</v>
      </c>
      <c r="O55" s="2724">
        <f>F59</f>
        <v>0.01</v>
      </c>
    </row>
    <row r="56" spans="1:35" ht="24.75">
      <c r="A56" s="3410" t="s">
        <v>1989</v>
      </c>
      <c r="B56" s="3411"/>
      <c r="C56" s="3411"/>
      <c r="D56" s="3210" t="e">
        <f ca="1">IF(H56="个人住宅",D57,D58)</f>
        <v>#REF!</v>
      </c>
      <c r="E56" s="3225" t="s">
        <v>1990</v>
      </c>
      <c r="F56" s="2749" t="str">
        <f>IF(H56="正常",F58,"免征")</f>
        <v>免征</v>
      </c>
      <c r="G56" s="2752" t="s">
        <v>1991</v>
      </c>
      <c r="H56" s="2753"/>
      <c r="I56" s="1963"/>
      <c r="J56" s="3215" t="str">
        <f>IF(项目基本情况!K6="上海银行",IF(J55="",4,J55+1),"")</f>
        <v/>
      </c>
      <c r="K56" s="3486" t="str">
        <f>IF(项目基本情况!K6="上海银行","其他处置费用","")</f>
        <v/>
      </c>
      <c r="L56" s="3487"/>
      <c r="M56" s="2720" t="str">
        <f>IF(项目基本情况!K6="上海银行",M69,"")</f>
        <v/>
      </c>
      <c r="N56" s="3486" t="str">
        <f>IF(项目基本情况!K6="上海银行","包含处置中涉及的律师、诉讼、拍卖、评估等费用","")</f>
        <v/>
      </c>
      <c r="O56" s="3489"/>
    </row>
    <row r="57" spans="1:35" ht="12.75">
      <c r="A57" s="3227" t="s">
        <v>1967</v>
      </c>
      <c r="B57" s="3421" t="s">
        <v>1992</v>
      </c>
      <c r="C57" s="3422"/>
      <c r="D57" s="1744">
        <v>0</v>
      </c>
      <c r="E57" s="329" t="s">
        <v>1969</v>
      </c>
      <c r="F57" s="307"/>
      <c r="G57" s="2750"/>
      <c r="H57" s="2754"/>
      <c r="I57" s="1963"/>
      <c r="J57" s="3463">
        <f>IF(AND(J55="",J56=""),4,IF(项目基本情况!K6="上海银行",'结果表-仓储'!J56+1,'结果表-仓储'!J55+1))</f>
        <v>5</v>
      </c>
      <c r="K57" s="3463" t="s">
        <v>1993</v>
      </c>
      <c r="L57" s="2725" t="s">
        <v>1994</v>
      </c>
      <c r="M57" s="2726"/>
      <c r="N57" s="2727">
        <f ca="1">SUMIF(M52:M56,"&lt;9e307")</f>
        <v>0</v>
      </c>
      <c r="O57" s="2728"/>
      <c r="P57" s="2888" t="e">
        <f ca="1">N57/M49</f>
        <v>#VALUE!</v>
      </c>
    </row>
    <row r="58" spans="1:35" ht="24.75">
      <c r="A58" s="3227" t="s">
        <v>1978</v>
      </c>
      <c r="B58" s="3421" t="s">
        <v>1995</v>
      </c>
      <c r="C58" s="3396"/>
      <c r="D58" s="3210" t="e">
        <f ca="1">IF(H58="转让取得",C81,C97)</f>
        <v>#REF!</v>
      </c>
      <c r="E58" s="3225" t="s">
        <v>1990</v>
      </c>
      <c r="F58" s="307" t="s">
        <v>34</v>
      </c>
      <c r="G58" s="2750"/>
      <c r="H58" s="2753"/>
      <c r="I58" s="1963"/>
      <c r="J58" s="3463"/>
      <c r="K58" s="3463"/>
      <c r="L58" s="2725" t="s">
        <v>1996</v>
      </c>
      <c r="M58" s="2729"/>
      <c r="N58" s="2730" t="str">
        <f ca="1">NUMBERSTRING(INT(N57*10000),2)&amp;"元整"</f>
        <v>零元整</v>
      </c>
      <c r="O58" s="2731"/>
    </row>
    <row r="59" spans="1:35" ht="24.75" thickBot="1">
      <c r="A59" s="3466" t="s">
        <v>1997</v>
      </c>
      <c r="B59" s="3467"/>
      <c r="C59" s="346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4">
        <f>J57+1</f>
        <v>6</v>
      </c>
      <c r="K59" s="3463" t="s">
        <v>1998</v>
      </c>
      <c r="L59" s="3215" t="s">
        <v>1994</v>
      </c>
      <c r="M59" s="2732"/>
      <c r="N59" s="2733" t="e">
        <f ca="1">M49-N57</f>
        <v>#VALUE!</v>
      </c>
      <c r="O59" s="2734"/>
    </row>
    <row r="60" spans="1:35" ht="12" customHeight="1">
      <c r="A60" s="1964"/>
      <c r="B60" s="1902"/>
      <c r="C60" s="1902"/>
      <c r="D60" s="1902"/>
      <c r="E60" s="1732"/>
      <c r="F60" s="1963"/>
      <c r="G60" s="1963"/>
      <c r="H60" s="1965"/>
      <c r="I60" s="134"/>
      <c r="J60" s="3465"/>
      <c r="K60" s="3463"/>
      <c r="L60" s="2725" t="s">
        <v>1996</v>
      </c>
      <c r="M60" s="2729"/>
      <c r="N60" s="2730" t="e">
        <f ca="1">NUMBERSTRING(INT(N59*10000),2)&amp;"元整"</f>
        <v>#VALUE!</v>
      </c>
      <c r="O60" s="2731"/>
    </row>
    <row r="61" spans="1:35" ht="13.5" thickBot="1">
      <c r="A61" s="3408" t="s">
        <v>1999</v>
      </c>
      <c r="B61" s="3408"/>
      <c r="C61" s="3408"/>
      <c r="D61" s="3408"/>
      <c r="E61" s="3408"/>
      <c r="F61" s="1963"/>
      <c r="G61" s="1963"/>
      <c r="H61" s="1965"/>
      <c r="I61" s="134"/>
      <c r="J61" s="3215">
        <f>J59+1</f>
        <v>7</v>
      </c>
      <c r="K61" s="3463" t="s">
        <v>2000</v>
      </c>
      <c r="L61" s="3463"/>
      <c r="M61" s="2735"/>
      <c r="N61" s="2736" t="e">
        <f ca="1">ROUND(N59*10000/'数据-汇总表'!E3,0)</f>
        <v>#VALUE!</v>
      </c>
      <c r="O61" s="2737"/>
    </row>
    <row r="62" spans="1:35" ht="12.75">
      <c r="A62" s="3426" t="s">
        <v>2001</v>
      </c>
      <c r="B62" s="3427"/>
      <c r="C62" s="3220"/>
      <c r="D62" s="3220"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8" t="s">
        <v>2005</v>
      </c>
      <c r="K63" s="3211" t="s">
        <v>2006</v>
      </c>
      <c r="L63" s="321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8"/>
      <c r="K64" s="3211" t="s">
        <v>2008</v>
      </c>
      <c r="L64" s="321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8"/>
      <c r="K65" s="3211" t="s">
        <v>2011</v>
      </c>
      <c r="L65" s="321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8"/>
      <c r="K66" s="3211" t="s">
        <v>2013</v>
      </c>
      <c r="L66" s="321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8"/>
      <c r="K67" s="3211" t="s">
        <v>2016</v>
      </c>
      <c r="L67" s="321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8"/>
      <c r="K68" s="3211" t="s">
        <v>2018</v>
      </c>
      <c r="L68" s="321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8"/>
      <c r="K69" s="3211" t="s">
        <v>2019</v>
      </c>
      <c r="L69" s="321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7" t="s">
        <v>2020</v>
      </c>
      <c r="B70" s="3448"/>
      <c r="C70" s="3448"/>
      <c r="D70" s="3448"/>
      <c r="E70" s="3448"/>
      <c r="F70" s="3448"/>
      <c r="G70" s="3448"/>
      <c r="H70" s="344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6" t="s">
        <v>2001</v>
      </c>
      <c r="B71" s="3427"/>
      <c r="C71" s="3220"/>
      <c r="D71" s="3220"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3222"/>
      <c r="F72" s="3221"/>
      <c r="G72" s="3221"/>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3222"/>
      <c r="F73" s="3221"/>
      <c r="G73" s="32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2"/>
      <c r="F74" s="3221"/>
      <c r="G74" s="32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1" t="s">
        <v>2028</v>
      </c>
      <c r="F76" s="3396"/>
      <c r="G76" s="3396"/>
      <c r="H76" s="344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3210" t="s">
        <v>2030</v>
      </c>
      <c r="F77" s="191"/>
      <c r="G77" s="1977"/>
      <c r="H77" s="32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5" t="s">
        <v>2032</v>
      </c>
      <c r="F78" s="3406"/>
      <c r="G78" s="3406"/>
      <c r="H78" s="341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3" t="e">
        <f ca="1">C72-C73</f>
        <v>#REF!</v>
      </c>
      <c r="D79" s="174" t="s">
        <v>32</v>
      </c>
      <c r="E79" s="3222"/>
      <c r="F79" s="3221"/>
      <c r="G79" s="32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3210" t="e">
        <f ca="1">IF(C80&gt;=200%,"增值额超过扣除项目金额200%",IF(C80&gt;=100%,"增值额超过扣除项目金额100%，未超过200%",IF(C80&gt;=50%,"增值额超过扣除项目金额50%，未超过100%",IF(C80&lt;50%,"增值额未超过扣除项目金额50%"))))</f>
        <v>#REF!</v>
      </c>
      <c r="F80" s="3221"/>
      <c r="G80" s="32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7" t="s">
        <v>2036</v>
      </c>
      <c r="B83" s="3448"/>
      <c r="C83" s="3448"/>
      <c r="D83" s="3448"/>
      <c r="E83" s="3448"/>
      <c r="F83" s="3448"/>
      <c r="G83" s="3448"/>
      <c r="H83" s="344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6" t="s">
        <v>2001</v>
      </c>
      <c r="B84" s="3427"/>
      <c r="C84" s="3220"/>
      <c r="D84" s="3220"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3222"/>
      <c r="F85" s="3221"/>
      <c r="G85" s="32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3222"/>
      <c r="F86" s="3221"/>
      <c r="G86" s="32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3217"/>
      <c r="F87" s="3218"/>
      <c r="G87" s="3218"/>
      <c r="H87" s="32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3218"/>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3218"/>
      <c r="G89" s="3218"/>
      <c r="H89" s="32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3218"/>
      <c r="G90" s="3490" t="s">
        <v>2809</v>
      </c>
      <c r="H90" s="349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5" t="s">
        <v>2045</v>
      </c>
      <c r="F91" s="3406"/>
      <c r="G91" s="340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5" t="s">
        <v>2048</v>
      </c>
      <c r="F92" s="3406"/>
      <c r="G92" s="3406"/>
      <c r="H92" s="3415"/>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5" t="s">
        <v>2032</v>
      </c>
      <c r="F93" s="3406"/>
      <c r="G93" s="3406"/>
      <c r="H93" s="341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6" t="s">
        <v>2052</v>
      </c>
      <c r="F94" s="3417"/>
      <c r="G94" s="3417"/>
      <c r="H94" s="341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3" t="e">
        <f ca="1">ROUND(C85-C86,0)</f>
        <v>#REF!</v>
      </c>
      <c r="D95" s="174" t="s">
        <v>32</v>
      </c>
      <c r="E95" s="3222"/>
      <c r="F95" s="3221"/>
      <c r="G95" s="32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3210" t="e">
        <f ca="1">IF(C96&gt;=200%,"增值额超过扣除项目金额200%",IF(C96&gt;=100%,"增值额超过扣除项目金额100%，未超过200%",IF(C96&gt;=50%,"增值额超过扣除项目金额50%，未超过100%",IF(C96&lt;50%,"增值额未超过扣除项目金额50%"))))</f>
        <v>#REF!</v>
      </c>
      <c r="F96" s="3221"/>
      <c r="G96" s="32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5" t="s">
        <v>2054</v>
      </c>
      <c r="B100" s="3346"/>
      <c r="C100" s="3346"/>
      <c r="D100" s="3407"/>
      <c r="E100" s="3346" t="s">
        <v>2055</v>
      </c>
      <c r="F100" s="3346"/>
      <c r="G100" s="3346"/>
      <c r="H100" s="3407"/>
      <c r="I100" s="134"/>
    </row>
    <row r="101" spans="1:35" ht="18.75" customHeight="1">
      <c r="A101" s="3471" t="s">
        <v>2056</v>
      </c>
      <c r="B101" s="3472"/>
      <c r="C101" s="2780" t="str">
        <f>C4</f>
        <v>成本法-仓储</v>
      </c>
      <c r="D101" s="2781" t="str">
        <f>D4</f>
        <v>收益法-仓储</v>
      </c>
      <c r="E101" s="3485" t="s">
        <v>2057</v>
      </c>
      <c r="F101" s="3439"/>
      <c r="G101" s="1982" t="s">
        <v>2058</v>
      </c>
      <c r="H101" s="2790" t="e">
        <f ca="1">H118</f>
        <v>#REF!</v>
      </c>
      <c r="I101" s="134"/>
    </row>
    <row r="102" spans="1:35" ht="18.75" customHeight="1">
      <c r="A102" s="3441" t="s">
        <v>2059</v>
      </c>
      <c r="B102" s="2779" t="s">
        <v>2058</v>
      </c>
      <c r="C102" s="2780">
        <f ca="1">C19</f>
        <v>8874</v>
      </c>
      <c r="D102" s="2781">
        <f ca="1">D19</f>
        <v>4274</v>
      </c>
      <c r="E102" s="3485"/>
      <c r="F102" s="3439"/>
      <c r="G102" s="1982" t="s">
        <v>2060</v>
      </c>
      <c r="H102" s="2750" t="e">
        <f ca="1">I118</f>
        <v>#REF!</v>
      </c>
      <c r="I102" s="134"/>
    </row>
    <row r="103" spans="1:35" ht="42.75" customHeight="1">
      <c r="A103" s="3441"/>
      <c r="B103" s="2779" t="s">
        <v>2060</v>
      </c>
      <c r="C103" s="2782">
        <f ca="1">C20</f>
        <v>9822</v>
      </c>
      <c r="D103" s="2783">
        <f ca="1">D20</f>
        <v>4731</v>
      </c>
      <c r="E103" s="3479" t="s">
        <v>2061</v>
      </c>
      <c r="F103" s="3480"/>
      <c r="G103" s="1983" t="s">
        <v>2062</v>
      </c>
      <c r="H103" s="2790">
        <f>IF(D36="正常操作",H104+H105+H106,H105+H106)</f>
        <v>0</v>
      </c>
      <c r="I103" s="134"/>
    </row>
    <row r="104" spans="1:35" ht="18.75" customHeight="1">
      <c r="A104" s="3441"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2"/>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8" t="str">
        <f>IF(项目基本情况!E8="已注销","——","3.房地产抵押价值")</f>
        <v>3.房地产抵押价值</v>
      </c>
      <c r="F107" s="3439"/>
      <c r="G107" s="1982" t="s">
        <v>2058</v>
      </c>
      <c r="H107" s="2790" t="e">
        <f ca="1">IF(E107="——","——",H101-H103)</f>
        <v>#REF!</v>
      </c>
      <c r="I107" s="134"/>
    </row>
    <row r="108" spans="1:35" ht="18.75" customHeight="1">
      <c r="A108" s="134"/>
      <c r="B108" s="134"/>
      <c r="C108" s="134"/>
      <c r="D108" s="134"/>
      <c r="E108" s="3438"/>
      <c r="F108" s="3439"/>
      <c r="G108" s="1982" t="s">
        <v>2060</v>
      </c>
      <c r="H108" s="2750" t="e">
        <f ca="1">ROUND(H107*10000/'数据-汇总表'!E3,0)</f>
        <v>#REF!</v>
      </c>
      <c r="I108" s="134"/>
    </row>
    <row r="109" spans="1:35" ht="18.75" customHeight="1">
      <c r="A109" s="134"/>
      <c r="B109" s="134"/>
      <c r="C109" s="134"/>
      <c r="D109" s="134"/>
      <c r="E109" s="3438" t="str">
        <f>IF(项目基本情况!E8="已注销及未注销","4.抵押担保权已注销时的房地产抵押价值",IF(项目基本情况!E8="已注销","3.抵押担保权已注销时的房地产抵押价值","——"))</f>
        <v>——</v>
      </c>
      <c r="F109" s="3439"/>
      <c r="G109" s="1982" t="s">
        <v>2058</v>
      </c>
      <c r="H109" s="2793" t="str">
        <f>IF(E109="——","——",H101-H105-H106)</f>
        <v>——</v>
      </c>
      <c r="I109" s="134"/>
    </row>
    <row r="110" spans="1:35" ht="18.75" customHeight="1">
      <c r="A110" s="134"/>
      <c r="B110" s="134"/>
      <c r="C110" s="134"/>
      <c r="D110" s="134"/>
      <c r="E110" s="3438"/>
      <c r="F110" s="3439"/>
      <c r="G110" s="1982" t="s">
        <v>2060</v>
      </c>
      <c r="H110" s="2750" t="str">
        <f>IF(H109="——","——",ROUND(H109*10000/'数据-汇总表'!E3,0))</f>
        <v>——</v>
      </c>
      <c r="I110" s="134"/>
    </row>
    <row r="111" spans="1:35" ht="18.75" customHeight="1">
      <c r="A111" s="134"/>
      <c r="B111" s="134"/>
      <c r="C111" s="134"/>
      <c r="D111" s="134"/>
      <c r="E111" s="3473" t="str">
        <f>IF(项目基本情况!E9="抵押净值",IF(OR(项目基本情况!E8="已注销",项目基本情况!E8="房地产抵押价值"),"4.抵押净值","5.抵押净值"),"——")</f>
        <v>——</v>
      </c>
      <c r="F111" s="3440"/>
      <c r="G111" s="1982" t="s">
        <v>2058</v>
      </c>
      <c r="H111" s="2790" t="str">
        <f>IF(E111="——","——",N59)</f>
        <v>——</v>
      </c>
      <c r="I111" s="134"/>
    </row>
    <row r="112" spans="1:35" ht="18.75" customHeight="1" thickBot="1">
      <c r="A112" s="134"/>
      <c r="B112" s="134"/>
      <c r="C112" s="134"/>
      <c r="D112" s="134"/>
      <c r="E112" s="3474"/>
      <c r="F112" s="3475"/>
      <c r="G112" s="1985" t="s">
        <v>2060</v>
      </c>
      <c r="H112" s="2794" t="str">
        <f>IF(E111="——","——",N61)</f>
        <v>——</v>
      </c>
      <c r="I112" s="134"/>
    </row>
    <row r="113" spans="1:27" ht="18.75" customHeight="1">
      <c r="A113" s="134"/>
      <c r="B113" s="134"/>
      <c r="C113" s="134"/>
      <c r="D113" s="134"/>
      <c r="E113" s="3443" t="s">
        <v>2066</v>
      </c>
      <c r="F113" s="3443"/>
      <c r="G113" s="3443"/>
      <c r="H113" s="3443"/>
      <c r="I113" s="134"/>
    </row>
    <row r="114" spans="1:27" ht="3.75" customHeight="1">
      <c r="A114" s="1902"/>
      <c r="B114" s="1902"/>
      <c r="C114" s="1902"/>
      <c r="D114" s="1902"/>
      <c r="E114" s="1964"/>
      <c r="F114" s="1964"/>
      <c r="G114" s="1964"/>
      <c r="H114" s="1964"/>
      <c r="I114" s="1902"/>
    </row>
    <row r="115" spans="1:27" ht="18.75" customHeight="1">
      <c r="A115" s="3456" t="s">
        <v>2068</v>
      </c>
      <c r="B115" s="3457"/>
      <c r="C115" s="3457"/>
      <c r="D115" s="3457"/>
      <c r="E115" s="3457"/>
      <c r="F115" s="3457"/>
      <c r="G115" s="3457"/>
      <c r="H115" s="3457"/>
      <c r="I115" s="3458"/>
    </row>
    <row r="116" spans="1:27" ht="27" customHeight="1">
      <c r="A116" s="3409" t="s">
        <v>2069</v>
      </c>
      <c r="B116" s="3444" t="s">
        <v>2070</v>
      </c>
      <c r="C116" s="3444" t="s">
        <v>2071</v>
      </c>
      <c r="D116" s="3460" t="s">
        <v>2072</v>
      </c>
      <c r="E116" s="3461"/>
      <c r="F116" s="3452" t="s">
        <v>2073</v>
      </c>
      <c r="G116" s="3452"/>
      <c r="H116" s="3409" t="s">
        <v>2074</v>
      </c>
      <c r="I116" s="3409"/>
    </row>
    <row r="117" spans="1:27" ht="18.75" customHeight="1">
      <c r="A117" s="3409"/>
      <c r="B117" s="3445"/>
      <c r="C117" s="3445"/>
      <c r="D117" s="3213" t="s">
        <v>2075</v>
      </c>
      <c r="E117" s="3213" t="s">
        <v>2076</v>
      </c>
      <c r="F117" s="3213" t="s">
        <v>2075</v>
      </c>
      <c r="G117" s="3213" t="s">
        <v>2077</v>
      </c>
      <c r="H117" s="3213" t="s">
        <v>2075</v>
      </c>
      <c r="I117" s="3213" t="s">
        <v>2077</v>
      </c>
    </row>
    <row r="118" spans="1:27" ht="24.75" customHeight="1">
      <c r="A118" s="2795" t="str">
        <f>项目基本情况!S2</f>
        <v>北京市房地产</v>
      </c>
      <c r="B118" s="3213">
        <f>M18</f>
        <v>9034.9699999999993</v>
      </c>
      <c r="C118" s="3213">
        <f>M19</f>
        <v>4681.33</v>
      </c>
      <c r="D118" s="3213" t="e">
        <f ca="1">ROUND(IF(D32="总价",C34,E118*B118/10000),0)</f>
        <v>#REF!</v>
      </c>
      <c r="E118" s="3213" t="e">
        <f ca="1">ROUND(IF(C33="自定义",IF(D32="楼面单价",C34,D118*10000/B118),I118-G118),0)</f>
        <v>#REF!</v>
      </c>
      <c r="F118" s="3213" t="e">
        <f ca="1">ROUND(IF(D32="总价",C35,G118*B118/10000),0)</f>
        <v>#REF!</v>
      </c>
      <c r="G118" s="3213" t="e">
        <f ca="1">ROUND(IF(D32="楼面单价",C35,F118*10000/B118),0)</f>
        <v>#REF!</v>
      </c>
      <c r="H118" s="3213" t="e">
        <f ca="1">ROUND(IF(D32="总价",C32,I118*B118/10000),0)</f>
        <v>#REF!</v>
      </c>
      <c r="I118" s="3213" t="e">
        <f ca="1">ROUND(IF(D32="楼面单价",C32,H118*10000/B118),0)</f>
        <v>#REF!</v>
      </c>
    </row>
    <row r="119" spans="1:27" ht="18.75" customHeight="1">
      <c r="A119" s="3409" t="s">
        <v>2078</v>
      </c>
      <c r="B119" s="3409"/>
      <c r="C119" s="3409"/>
      <c r="D119" s="3449" t="e">
        <f ca="1">NUMBERSTRING(INT(D118*10000),2)&amp;"元整"</f>
        <v>#REF!</v>
      </c>
      <c r="E119" s="3451"/>
      <c r="F119" s="3449" t="e">
        <f ca="1">NUMBERSTRING(INT(F118*10000),2)&amp;"元整"</f>
        <v>#REF!</v>
      </c>
      <c r="G119" s="3451"/>
      <c r="H119" s="3449" t="e">
        <f ca="1">NUMBERSTRING(INT(H118*10000),2)&amp;"元整"</f>
        <v>#REF!</v>
      </c>
      <c r="I119" s="3451"/>
    </row>
    <row r="120" spans="1:27" ht="18.75" customHeight="1">
      <c r="A120" s="3476" t="str">
        <f>IF(项目基本情况!B9="房地产市场价值","",MID(E103,3,LEN(E103)-2))</f>
        <v/>
      </c>
      <c r="B120" s="3477"/>
      <c r="C120" s="3478"/>
      <c r="D120" s="3476">
        <f>H103</f>
        <v>0</v>
      </c>
      <c r="E120" s="3477"/>
      <c r="F120" s="3477"/>
      <c r="G120" s="3477"/>
      <c r="H120" s="3477"/>
      <c r="I120" s="3478"/>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3" t="s">
        <v>2078</v>
      </c>
      <c r="B121" s="3454"/>
      <c r="C121" s="3455"/>
      <c r="D121" s="3449" t="str">
        <f>IF(D120=0,"零元整",NUMBERSTRING(INT(D120*10000),2)&amp;"元整")</f>
        <v>零元整</v>
      </c>
      <c r="E121" s="3450"/>
      <c r="F121" s="3450"/>
      <c r="G121" s="3450"/>
      <c r="H121" s="3450"/>
      <c r="I121" s="3451"/>
      <c r="AA121" s="733"/>
    </row>
    <row r="122" spans="1:27" ht="18.75" customHeight="1">
      <c r="A122" s="3440" t="str">
        <f>IF(项目基本情况!B9="房地产市场价值","",MID(E107,3,LEN(E107)-2))</f>
        <v/>
      </c>
      <c r="B122" s="3440"/>
      <c r="C122" s="3440"/>
      <c r="D122" s="3476" t="e">
        <f ca="1">H107</f>
        <v>#REF!</v>
      </c>
      <c r="E122" s="3477"/>
      <c r="F122" s="3477"/>
      <c r="G122" s="3477"/>
      <c r="H122" s="3477"/>
      <c r="I122" s="3478"/>
      <c r="AA122" s="733"/>
    </row>
    <row r="123" spans="1:27" ht="18.75" customHeight="1">
      <c r="A123" s="3409" t="s">
        <v>2078</v>
      </c>
      <c r="B123" s="3409"/>
      <c r="C123" s="3409"/>
      <c r="D123" s="3449" t="e">
        <f ca="1">NUMBERSTRING(INT(D122*10000),2)&amp;"元整"</f>
        <v>#REF!</v>
      </c>
      <c r="E123" s="3450"/>
      <c r="F123" s="3450"/>
      <c r="G123" s="3450"/>
      <c r="H123" s="3450"/>
      <c r="I123" s="3451"/>
      <c r="AA123" s="733"/>
    </row>
    <row r="124" spans="1:27" ht="18.75" customHeight="1">
      <c r="A124" s="3440" t="str">
        <f>IF(项目基本情况!B9="房地产市场价值","",MID(E109,3,LEN(E109)-2))</f>
        <v/>
      </c>
      <c r="B124" s="3440"/>
      <c r="C124" s="3440"/>
      <c r="D124" s="3476" t="str">
        <f>H109</f>
        <v>——</v>
      </c>
      <c r="E124" s="3477"/>
      <c r="F124" s="3477"/>
      <c r="G124" s="3477"/>
      <c r="H124" s="3477"/>
      <c r="I124" s="3478"/>
      <c r="AA124" s="733"/>
    </row>
    <row r="125" spans="1:27" ht="18.75" customHeight="1">
      <c r="A125" s="3409" t="s">
        <v>2078</v>
      </c>
      <c r="B125" s="3409"/>
      <c r="C125" s="3409"/>
      <c r="D125" s="3449" t="e">
        <f>NUMBERSTRING(INT(D124*10000),2)&amp;"元整"</f>
        <v>#VALUE!</v>
      </c>
      <c r="E125" s="3450"/>
      <c r="F125" s="3450"/>
      <c r="G125" s="3450"/>
      <c r="H125" s="3450"/>
      <c r="I125" s="3451"/>
      <c r="AA125" s="733"/>
    </row>
    <row r="126" spans="1:27" ht="18.75" customHeight="1">
      <c r="A126" s="3440" t="str">
        <f>IF(项目基本情况!B9="房地产市场价值","",MID(E111,3,LEN(E111)-2))</f>
        <v/>
      </c>
      <c r="B126" s="3440"/>
      <c r="C126" s="3440"/>
      <c r="D126" s="3476" t="str">
        <f>H111</f>
        <v>——</v>
      </c>
      <c r="E126" s="3477"/>
      <c r="F126" s="3477"/>
      <c r="G126" s="3477"/>
      <c r="H126" s="3477"/>
      <c r="I126" s="3478"/>
      <c r="AA126" s="733"/>
    </row>
    <row r="127" spans="1:27" ht="18.75" customHeight="1">
      <c r="A127" s="3409" t="s">
        <v>2078</v>
      </c>
      <c r="B127" s="3409"/>
      <c r="C127" s="3409"/>
      <c r="D127" s="3449" t="e">
        <f>NUMBERSTRING(INT(D126*10000),2)&amp;"元整"</f>
        <v>#VALUE!</v>
      </c>
      <c r="E127" s="3450"/>
      <c r="F127" s="3450"/>
      <c r="G127" s="3450"/>
      <c r="H127" s="3450"/>
      <c r="I127" s="3451"/>
      <c r="AA127" s="733"/>
    </row>
    <row r="128" spans="1:27" ht="21.75" customHeight="1">
      <c r="A128" s="3459" t="s">
        <v>2079</v>
      </c>
      <c r="B128" s="3459"/>
      <c r="C128" s="3459"/>
      <c r="D128" s="3459"/>
      <c r="E128" s="3459"/>
      <c r="F128" s="3459"/>
      <c r="G128" s="3459"/>
      <c r="H128" s="3459"/>
      <c r="I128" s="3459"/>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"100%,80%,60%,64%"</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28" zoomScale="90" zoomScaleNormal="70" zoomScaleSheetLayoutView="90" workbookViewId="0">
      <selection activeCell="D45" sqref="D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4274</v>
      </c>
      <c r="C2" s="1540" t="s">
        <v>1421</v>
      </c>
      <c r="D2" s="1540"/>
      <c r="E2" s="1541"/>
      <c r="F2" s="1542"/>
      <c r="G2" s="2904"/>
      <c r="H2" s="2893"/>
      <c r="I2" s="2893"/>
      <c r="J2" s="2893"/>
      <c r="K2" s="2894"/>
      <c r="L2" s="2893"/>
      <c r="M2" s="2893"/>
    </row>
    <row r="3" spans="1:37" ht="18" customHeight="1" thickBot="1">
      <c r="A3" s="1543" t="s">
        <v>1422</v>
      </c>
      <c r="B3" s="1544">
        <f ca="1">IF(ISERROR(B2*10000/F43),0,ROUND(B2*10000/F43,0))</f>
        <v>4731</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4" t="s">
        <v>1308</v>
      </c>
      <c r="C6" s="1205">
        <f ca="1">ROUND(F6*F8*F7*(1-F9)/10000,0)</f>
        <v>251</v>
      </c>
      <c r="D6" s="159" t="s">
        <v>2788</v>
      </c>
      <c r="E6" s="307" t="s">
        <v>1310</v>
      </c>
      <c r="F6" s="308">
        <f ca="1">INDIRECT("'数据-取费表'!u"&amp;$G$1)</f>
        <v>0.8</v>
      </c>
      <c r="G6" s="1537"/>
      <c r="H6" s="1200" t="s">
        <v>1003</v>
      </c>
      <c r="I6" s="3494" t="s">
        <v>1308</v>
      </c>
      <c r="J6" s="306">
        <f ca="1">ROUND(M6*M8*M7*(1-M9)/10000,0)</f>
        <v>0</v>
      </c>
      <c r="K6" s="159" t="s">
        <v>2787</v>
      </c>
      <c r="L6" s="307" t="s">
        <v>1310</v>
      </c>
      <c r="M6" s="308">
        <f ca="1">INDIRECT("'数据-取费表'!z"&amp;$G$1)</f>
        <v>0</v>
      </c>
    </row>
    <row r="7" spans="1:37" ht="18" customHeight="1">
      <c r="A7" s="1204"/>
      <c r="B7" s="3495"/>
      <c r="C7" s="1206"/>
      <c r="D7" s="312"/>
      <c r="E7" s="3212" t="s">
        <v>1311</v>
      </c>
      <c r="F7" s="308">
        <f ca="1">IF(INDIRECT("'数据-取费表'!ah"&amp;$G$1)="",INDIRECT("'数据-取费表'!k"&amp;$G$1),INDIRECT("'数据-取费表'!ah"&amp;$G$1))</f>
        <v>9034.9699999999993</v>
      </c>
      <c r="G7" s="1537"/>
      <c r="H7" s="309"/>
      <c r="I7" s="3495"/>
      <c r="J7" s="311"/>
      <c r="K7" s="312"/>
      <c r="L7" s="307" t="s">
        <v>1311</v>
      </c>
      <c r="M7" s="308">
        <f ca="1">F7</f>
        <v>9034.9699999999993</v>
      </c>
    </row>
    <row r="8" spans="1:37" ht="18" customHeight="1">
      <c r="A8" s="309"/>
      <c r="B8" s="3495"/>
      <c r="C8" s="311"/>
      <c r="D8" s="312"/>
      <c r="E8" s="307" t="s">
        <v>1312</v>
      </c>
      <c r="F8" s="308">
        <f ca="1">INDIRECT("'数据-取费表'!ai"&amp;$G$1)</f>
        <v>365</v>
      </c>
      <c r="G8" s="1537"/>
      <c r="H8" s="309"/>
      <c r="I8" s="3495"/>
      <c r="J8" s="311"/>
      <c r="K8" s="312"/>
      <c r="L8" s="307" t="s">
        <v>1312</v>
      </c>
      <c r="M8" s="308">
        <f ca="1">INDIRECT("'数据-取费表'!ai"&amp;$G$1)</f>
        <v>365</v>
      </c>
    </row>
    <row r="9" spans="1:37" ht="18" customHeight="1">
      <c r="A9" s="309"/>
      <c r="B9" s="3496"/>
      <c r="C9" s="311"/>
      <c r="D9" s="312"/>
      <c r="E9" s="307" t="s">
        <v>1313</v>
      </c>
      <c r="F9" s="317">
        <f ca="1">INDIRECT("'数据-取费表'!w"&amp;$G$1)</f>
        <v>0.05</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4216</v>
      </c>
      <c r="D13" s="3206" t="s">
        <v>1320</v>
      </c>
      <c r="E13" s="3206"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2" t="s">
        <v>1323</v>
      </c>
      <c r="E14" s="3221"/>
      <c r="F14" s="324"/>
      <c r="G14" s="1537"/>
      <c r="H14" s="1112" t="s">
        <v>1003</v>
      </c>
      <c r="I14" s="307" t="s">
        <v>1324</v>
      </c>
      <c r="J14" s="24">
        <f ca="1">C29</f>
        <v>4216</v>
      </c>
      <c r="K14" s="3210"/>
      <c r="L14" s="915"/>
      <c r="M14" s="916"/>
    </row>
    <row r="15" spans="1:37" s="1550" customFormat="1" ht="18" customHeight="1" thickBot="1">
      <c r="A15" s="1112" t="s">
        <v>1004</v>
      </c>
      <c r="B15" s="307" t="s">
        <v>1325</v>
      </c>
      <c r="C15" s="24">
        <f ca="1">ROUND(C14*F15,0)</f>
        <v>95</v>
      </c>
      <c r="D15" s="3207" t="s">
        <v>1326</v>
      </c>
      <c r="E15" s="3207"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78</v>
      </c>
      <c r="K16" s="1218" t="s">
        <v>1330</v>
      </c>
      <c r="L16" s="3226"/>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3">
        <f ca="1">ROUND(IF(AND(项目基本情况!B11="自然人",项目基本情况!B10="北京市"),J6*M17/(1+'数据-取费表'!C42),J18+J19+J20),0)</f>
        <v>36</v>
      </c>
      <c r="K17" s="3222" t="s">
        <v>1335</v>
      </c>
      <c r="L17" s="3225"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5"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3485</v>
      </c>
      <c r="D19" s="136" t="s">
        <v>1341</v>
      </c>
      <c r="E19" s="3229"/>
      <c r="F19" s="26"/>
      <c r="G19" s="1537"/>
      <c r="H19" s="1112" t="s">
        <v>1004</v>
      </c>
      <c r="I19" s="307" t="s">
        <v>1342</v>
      </c>
      <c r="J19" s="24">
        <f ca="1">IF(K19="按租金收入计税",ROUND(J6*M19/(1+'数据-取费表'!C42),2),ROUND(C29*M19*0.7,2))</f>
        <v>35.409999999999997</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70</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9"/>
      <c r="F22" s="26"/>
      <c r="G22" s="1537"/>
      <c r="H22" s="1112" t="s">
        <v>1007</v>
      </c>
      <c r="I22" s="307" t="s">
        <v>1354</v>
      </c>
      <c r="J22" s="24">
        <f ca="1">ROUND(J14*M22,1)</f>
        <v>42.2</v>
      </c>
      <c r="K22" s="3225" t="s">
        <v>1355</v>
      </c>
      <c r="L22" s="307" t="s">
        <v>1327</v>
      </c>
      <c r="M22" s="333">
        <f ca="1">INDIRECT("'数据-取费表'!Ak"&amp;$G$1)</f>
        <v>0.01</v>
      </c>
    </row>
    <row r="23" spans="1:37" s="1550" customFormat="1" ht="18" customHeight="1">
      <c r="A23" s="1112" t="s">
        <v>1002</v>
      </c>
      <c r="B23" s="307" t="s">
        <v>1356</v>
      </c>
      <c r="C23" s="24">
        <f ca="1">IF('数据-取费表'!B22&lt;=1,ROUND(C19*F24*F23/2,0)+ROUND(C20*F24*F23/2,0),ROUND(C19*(POWER((1+F24),F23/2)-1),0)+ROUND(C20*(POWER((1+F24),F23/2)-1),0))</f>
        <v>169</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5" t="s">
        <v>1359</v>
      </c>
      <c r="L23" s="307" t="s">
        <v>1327</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9"/>
      <c r="F25" s="26"/>
      <c r="G25" s="1537"/>
      <c r="H25" s="1210" t="s">
        <v>999</v>
      </c>
      <c r="I25" s="1225" t="s">
        <v>1368</v>
      </c>
      <c r="J25" s="315">
        <f ca="1">J5-J16</f>
        <v>-78</v>
      </c>
      <c r="K25" s="1226" t="s">
        <v>1369</v>
      </c>
      <c r="L25" s="1227"/>
      <c r="M25" s="1228"/>
    </row>
    <row r="26" spans="1:37">
      <c r="A26" s="1112" t="s">
        <v>1002</v>
      </c>
      <c r="B26" s="307" t="s">
        <v>1370</v>
      </c>
      <c r="C26" s="24">
        <f ca="1">ROUND((C19+C20)*F26,0)</f>
        <v>178</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0.04</v>
      </c>
    </row>
    <row r="27" spans="1:37" ht="18" customHeight="1">
      <c r="A27" s="1112" t="s">
        <v>1004</v>
      </c>
      <c r="B27" s="307" t="s">
        <v>1376</v>
      </c>
      <c r="C27" s="24">
        <f ca="1">ROUND(F21*F26,4)</f>
        <v>1E-3</v>
      </c>
      <c r="D27" s="328" t="s">
        <v>1377</v>
      </c>
      <c r="E27" s="3207"/>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4216</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98</v>
      </c>
      <c r="D30" s="1218" t="s">
        <v>1330</v>
      </c>
      <c r="E30" s="3226"/>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49</v>
      </c>
      <c r="D31" s="3222" t="s">
        <v>1335</v>
      </c>
      <c r="E31" s="3225"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13.15</v>
      </c>
      <c r="D32" s="3225"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35.409999999999997</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0.7</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4681.33</v>
      </c>
      <c r="G35" s="1537"/>
      <c r="H35" s="2895"/>
      <c r="I35" s="1551"/>
      <c r="J35" s="1552"/>
      <c r="K35" s="2899"/>
      <c r="L35" s="2898"/>
      <c r="M35" s="2898"/>
    </row>
    <row r="36" spans="1:18" ht="18" customHeight="1">
      <c r="A36" s="1233" t="s">
        <v>1007</v>
      </c>
      <c r="B36" s="307" t="s">
        <v>1354</v>
      </c>
      <c r="C36" s="24">
        <f ca="1">ROUND(C29*F36,1)</f>
        <v>42.2</v>
      </c>
      <c r="D36" s="3225" t="s">
        <v>1387</v>
      </c>
      <c r="E36" s="307" t="s">
        <v>1327</v>
      </c>
      <c r="F36" s="333">
        <f ca="1">INDIRECT("'数据-取费表'!Ak"&amp;$G$1)</f>
        <v>0.01</v>
      </c>
      <c r="G36" s="1537"/>
      <c r="H36" s="2898"/>
      <c r="I36" s="1551"/>
      <c r="J36" s="1552"/>
      <c r="K36" s="2739"/>
      <c r="L36" s="2898"/>
      <c r="M36" s="2898"/>
    </row>
    <row r="37" spans="1:18" ht="18" customHeight="1">
      <c r="A37" s="1112" t="s">
        <v>1043</v>
      </c>
      <c r="B37" s="307" t="s">
        <v>1358</v>
      </c>
      <c r="C37" s="24">
        <f ca="1">ROUND(C13*F37,1)</f>
        <v>4.2</v>
      </c>
      <c r="D37" s="3225" t="s">
        <v>1359</v>
      </c>
      <c r="E37" s="307" t="s">
        <v>1327</v>
      </c>
      <c r="F37" s="335">
        <f ca="1">INDIRECT("'数据-取费表'!Al"&amp;$G$1)</f>
        <v>1E-3</v>
      </c>
      <c r="G37" s="1537"/>
      <c r="H37" s="2898"/>
      <c r="I37" s="1551"/>
      <c r="J37" s="1552"/>
      <c r="K37" s="2739"/>
      <c r="L37" s="2898"/>
      <c r="M37" s="2898"/>
    </row>
    <row r="38" spans="1:18" ht="18" customHeight="1" thickBot="1">
      <c r="A38" s="1220" t="s">
        <v>1297</v>
      </c>
      <c r="B38" s="1221" t="s">
        <v>1344</v>
      </c>
      <c r="C38" s="1222">
        <f ca="1">ROUND(C5*F38,1)</f>
        <v>2.5</v>
      </c>
      <c r="D38" s="1223" t="s">
        <v>1364</v>
      </c>
      <c r="E38" s="1221" t="s">
        <v>1327</v>
      </c>
      <c r="F38" s="1217">
        <f ca="1">INDIRECT("'数据-取费表'!Am"&amp;$G$1)</f>
        <v>0.01</v>
      </c>
      <c r="G38" s="1537"/>
      <c r="H38" s="2898"/>
      <c r="I38" s="1551"/>
      <c r="J38" s="1552"/>
      <c r="K38" s="2902"/>
      <c r="L38" s="2898"/>
      <c r="M38" s="2898"/>
    </row>
    <row r="39" spans="1:18" ht="24.6" customHeight="1" thickTop="1">
      <c r="A39" s="1210" t="s">
        <v>999</v>
      </c>
      <c r="B39" s="1225" t="s">
        <v>1368</v>
      </c>
      <c r="C39" s="315">
        <f ca="1">C5-C30</f>
        <v>153</v>
      </c>
      <c r="D39" s="1226" t="s">
        <v>1369</v>
      </c>
      <c r="E39" s="1227"/>
      <c r="F39" s="1228"/>
      <c r="G39" s="1537"/>
      <c r="H39" s="2898"/>
      <c r="I39" s="1551"/>
      <c r="J39" s="1552"/>
      <c r="K39" s="2902"/>
      <c r="L39" s="2898"/>
      <c r="M39" s="2898"/>
    </row>
    <row r="40" spans="1:18" ht="18" customHeight="1">
      <c r="A40" s="304" t="s">
        <v>1000</v>
      </c>
      <c r="B40" s="305" t="s">
        <v>1390</v>
      </c>
      <c r="C40" s="306">
        <f ca="1">ROUND(C39*(1-((1+F42)/(1+F40))^F41)/(F40-F42),0)</f>
        <v>4274</v>
      </c>
      <c r="D40" s="329" t="s">
        <v>1374</v>
      </c>
      <c r="E40" s="307" t="s">
        <v>1375</v>
      </c>
      <c r="F40" s="317">
        <f ca="1">INDIRECT("'数据-取费表'!I"&amp;$G$1)</f>
        <v>0.04</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4731</v>
      </c>
      <c r="D43" s="342" t="s">
        <v>1393</v>
      </c>
      <c r="E43" s="343" t="s">
        <v>1394</v>
      </c>
      <c r="F43" s="344">
        <f ca="1">INDIRECT("'数据-取费表'!k"&amp;$G$1)</f>
        <v>9034.9699999999993</v>
      </c>
      <c r="G43" s="1537"/>
      <c r="H43" s="1324"/>
      <c r="I43" s="1324"/>
      <c r="J43" s="1324"/>
      <c r="K43" s="2739"/>
      <c r="L43" s="1324"/>
      <c r="M43" s="1324"/>
    </row>
    <row r="44" spans="1:18" s="1537" customFormat="1" ht="18" customHeight="1">
      <c r="A44" s="1553"/>
      <c r="B44" s="1553"/>
      <c r="C44" s="1554">
        <f ca="1">C43*面积表!J20/10000</f>
        <v>9.0945623553191464</v>
      </c>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-6027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4274</v>
      </c>
      <c r="R47" s="1573" t="s">
        <v>1434</v>
      </c>
    </row>
    <row r="48" spans="1:18" s="1537" customFormat="1" ht="28.5" thickBot="1">
      <c r="A48" s="1241" t="s">
        <v>1044</v>
      </c>
      <c r="B48" s="305" t="s">
        <v>1306</v>
      </c>
      <c r="C48" s="3228">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4216</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-3019</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2" t="s">
        <v>1453</v>
      </c>
      <c r="L53" s="3493"/>
      <c r="O53" s="1571" t="s">
        <v>1014</v>
      </c>
      <c r="P53" s="1572" t="s">
        <v>1454</v>
      </c>
      <c r="Q53" s="1573">
        <f ca="1">Q47+Q48</f>
        <v>4274</v>
      </c>
      <c r="R53" s="1573" t="s">
        <v>1015</v>
      </c>
    </row>
    <row r="54" spans="1:18" s="1537" customFormat="1" ht="13.5" thickBot="1">
      <c r="A54" s="1286"/>
      <c r="B54" s="1520" t="s">
        <v>1293</v>
      </c>
      <c r="C54" s="1089"/>
      <c r="D54" s="1519"/>
      <c r="E54" s="321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4"/>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4216</v>
      </c>
      <c r="D56" s="1600"/>
      <c r="E56" s="1601"/>
      <c r="F56" s="1593"/>
      <c r="I56" s="1602" t="s">
        <v>1459</v>
      </c>
      <c r="J56" s="1603" t="s">
        <v>3134</v>
      </c>
      <c r="K56" s="1574" t="s">
        <v>1460</v>
      </c>
      <c r="L56" s="1577" t="str">
        <f ca="1">IF(L48&lt;J51,"——",L48-J53)</f>
        <v>——</v>
      </c>
      <c r="O56" s="1571" t="s">
        <v>1008</v>
      </c>
      <c r="P56" s="1572" t="s">
        <v>1433</v>
      </c>
      <c r="Q56" s="1573">
        <f ca="1">C40+J29</f>
        <v>4274</v>
      </c>
      <c r="R56" s="1573" t="s">
        <v>1434</v>
      </c>
    </row>
    <row r="57" spans="1:18" s="1537" customFormat="1" ht="24.75" thickBot="1">
      <c r="A57" s="1604"/>
      <c r="B57" s="1080" t="s">
        <v>1383</v>
      </c>
      <c r="C57" s="243">
        <f ca="1">C29</f>
        <v>4216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82</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36</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35.409999999999997</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4274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42.2</v>
      </c>
      <c r="D64" s="1094" t="s">
        <v>1387</v>
      </c>
      <c r="E64" s="1080" t="s">
        <v>1327</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4.2</v>
      </c>
      <c r="D65" s="1094" t="s">
        <v>1359</v>
      </c>
      <c r="E65" s="1080" t="s">
        <v>1327</v>
      </c>
      <c r="F65" s="335">
        <f t="shared" ca="1" si="0"/>
        <v>1E-3</v>
      </c>
      <c r="I65" s="1615" t="s">
        <v>1484</v>
      </c>
      <c r="J65" s="1616">
        <v>40</v>
      </c>
      <c r="K65" s="1616">
        <v>30</v>
      </c>
      <c r="L65" s="1616">
        <v>50</v>
      </c>
      <c r="M65" s="1618">
        <v>0.02</v>
      </c>
      <c r="O65" s="1571" t="s">
        <v>1008</v>
      </c>
      <c r="P65" s="1572" t="s">
        <v>1433</v>
      </c>
      <c r="Q65" s="1573">
        <f ca="1">C40+J29</f>
        <v>4274</v>
      </c>
      <c r="R65" s="1573" t="s">
        <v>1434</v>
      </c>
    </row>
    <row r="66" spans="1:18" s="1537" customFormat="1" ht="16.5" thickBot="1">
      <c r="A66" s="1112" t="s">
        <v>1409</v>
      </c>
      <c r="B66" s="1080" t="s">
        <v>1344</v>
      </c>
      <c r="C66" s="24">
        <f ca="1">ROUND(C48*F66,1)</f>
        <v>0</v>
      </c>
      <c r="D66" s="1094" t="s">
        <v>1364</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-82</v>
      </c>
      <c r="D67" s="1093" t="s">
        <v>1369</v>
      </c>
      <c r="E67" s="1098"/>
      <c r="F67" s="1099"/>
      <c r="O67" s="1581" t="s">
        <v>1010</v>
      </c>
      <c r="P67" s="1572" t="s">
        <v>1467</v>
      </c>
      <c r="Q67" s="1619">
        <f ca="1">L51</f>
        <v>-3019</v>
      </c>
      <c r="R67" s="1573" t="s">
        <v>1487</v>
      </c>
    </row>
    <row r="68" spans="1:18" s="1537" customFormat="1" ht="16.5" thickBot="1">
      <c r="A68" s="1077" t="s">
        <v>1000</v>
      </c>
      <c r="B68" s="1078" t="s">
        <v>1390</v>
      </c>
      <c r="C68" s="306">
        <f ca="1">ROUND(C67*(1-((1+F70)/(1+F68))^F69)/(F68-F70),0)</f>
        <v>-1753</v>
      </c>
      <c r="D68" s="1095" t="s">
        <v>1374</v>
      </c>
      <c r="E68" s="1080" t="s">
        <v>1375</v>
      </c>
      <c r="F68" s="317">
        <f ca="1">F40</f>
        <v>0.04</v>
      </c>
      <c r="O68" s="1581" t="s">
        <v>1011</v>
      </c>
      <c r="P68" s="1620" t="s">
        <v>1488</v>
      </c>
      <c r="Q68" s="1573">
        <f ca="1">ROUND(Q69-Q70*Q71,0)</f>
        <v>-121</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153</v>
      </c>
      <c r="R69" s="1573" t="s">
        <v>1434</v>
      </c>
    </row>
    <row r="70" spans="1:18" s="1537" customFormat="1" ht="13.5" thickBot="1">
      <c r="A70" s="1084"/>
      <c r="B70" s="1085"/>
      <c r="C70" s="315"/>
      <c r="D70" s="1096"/>
      <c r="E70" s="1080" t="s">
        <v>1382</v>
      </c>
      <c r="F70" s="1184"/>
      <c r="O70" s="1581" t="s">
        <v>1017</v>
      </c>
      <c r="P70" s="1620" t="s">
        <v>1490</v>
      </c>
      <c r="Q70" s="1573">
        <f ca="1">C13</f>
        <v>4216</v>
      </c>
      <c r="R70" s="1573" t="s">
        <v>1434</v>
      </c>
    </row>
    <row r="71" spans="1:18" s="1537" customFormat="1" ht="13.5" thickBot="1">
      <c r="A71" s="1101" t="s">
        <v>1001</v>
      </c>
      <c r="B71" s="1102" t="s">
        <v>1392</v>
      </c>
      <c r="C71" s="341">
        <f ca="1">ROUND(C68*10000/F71,0)</f>
        <v>-1940</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274</v>
      </c>
      <c r="D75" s="1537"/>
      <c r="E75" s="1537"/>
      <c r="F75" s="1537"/>
      <c r="K75" s="1555"/>
      <c r="L75" s="1537"/>
      <c r="O75" s="1571" t="s">
        <v>1014</v>
      </c>
      <c r="P75" s="1572" t="s">
        <v>1454</v>
      </c>
      <c r="Q75" s="1573">
        <f ca="1">Q65+Q66</f>
        <v>4274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-0.79099999999999993</v>
      </c>
    </row>
    <row r="80" spans="1:18">
      <c r="B80" s="345" t="s">
        <v>1416</v>
      </c>
      <c r="C80" s="279">
        <f ca="1">ROUND(C75/C39,3)</f>
        <v>1.7909999999999999</v>
      </c>
    </row>
    <row r="81" spans="2:3">
      <c r="B81" s="275" t="s">
        <v>1417</v>
      </c>
      <c r="C81" s="243"/>
    </row>
    <row r="82" spans="2:3">
      <c r="B82" s="278" t="s">
        <v>1418</v>
      </c>
      <c r="C82" s="280">
        <f ca="1">1-C83</f>
        <v>1.4000000000000012E-2</v>
      </c>
    </row>
    <row r="83" spans="2:3">
      <c r="B83" s="278" t="s">
        <v>1419</v>
      </c>
      <c r="C83" s="279">
        <f ca="1">ROUND(C13/C40,3)</f>
        <v>0.98599999999999999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topLeftCell="A22"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8874</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9822</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3505</v>
      </c>
      <c r="D5" s="216" t="s">
        <v>2095</v>
      </c>
      <c r="E5" s="217" t="s">
        <v>2096</v>
      </c>
      <c r="F5" s="217" t="s">
        <v>2097</v>
      </c>
      <c r="G5" s="218"/>
    </row>
    <row r="6" spans="1:9" s="219" customFormat="1" ht="13.5" customHeight="1">
      <c r="A6" s="885" t="s">
        <v>2098</v>
      </c>
      <c r="B6" s="220" t="s">
        <v>2099</v>
      </c>
      <c r="C6" s="221">
        <f>基准地价修正!E38</f>
        <v>3401</v>
      </c>
      <c r="D6" s="222"/>
      <c r="E6" s="223"/>
      <c r="F6" s="223"/>
      <c r="G6" s="224"/>
    </row>
    <row r="7" spans="1:9" s="219" customFormat="1" ht="13.5" customHeight="1">
      <c r="A7" s="885" t="s">
        <v>2100</v>
      </c>
      <c r="B7" s="220" t="s">
        <v>2101</v>
      </c>
      <c r="C7" s="225">
        <f>ROUND(C6*F7,0)</f>
        <v>104</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74</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363</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341</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188</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4658</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3485</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95</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70</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169</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166</v>
      </c>
      <c r="D42" s="243"/>
      <c r="E42" s="243"/>
      <c r="F42" s="244"/>
      <c r="G42" s="3499" t="s">
        <v>2170</v>
      </c>
    </row>
    <row r="43" spans="1:7" ht="13.5" customHeight="1">
      <c r="A43" s="887" t="s">
        <v>792</v>
      </c>
      <c r="B43" s="220" t="s">
        <v>2171</v>
      </c>
      <c r="C43" s="243">
        <f ca="1">ROUND(IF('数据-取费表'!B22&lt;=1,C39*F22*'数据-取费表'!B21/2,C39*(POWER((1+F22),'数据-取费表'!B21/2)-1)),0)</f>
        <v>3</v>
      </c>
      <c r="D43" s="243"/>
      <c r="E43" s="243"/>
      <c r="F43" s="244"/>
      <c r="G43" s="3500"/>
    </row>
    <row r="44" spans="1:7" ht="13.5" customHeight="1">
      <c r="A44" s="887" t="s">
        <v>793</v>
      </c>
      <c r="B44" s="220" t="s">
        <v>2172</v>
      </c>
      <c r="C44" s="243">
        <f>ROUND(IF('数据-取费表'!B22&lt;=1,C40*F22*'数据-取费表'!B21/2,C40*(POWER((1+F22),'数据-取费表'!B21/2)-1)),4)</f>
        <v>1E-3</v>
      </c>
      <c r="D44" s="243"/>
      <c r="E44" s="243"/>
      <c r="F44" s="244"/>
      <c r="G44" s="3501"/>
    </row>
    <row r="45" spans="1:7" s="219" customFormat="1" ht="13.5" customHeight="1">
      <c r="A45" s="260" t="s">
        <v>2173</v>
      </c>
      <c r="B45" s="249" t="s">
        <v>2139</v>
      </c>
      <c r="C45" s="250">
        <f ca="1">C46</f>
        <v>178</v>
      </c>
      <c r="D45" s="240">
        <f ca="1">C47</f>
        <v>1E-3</v>
      </c>
      <c r="E45" s="241" t="s">
        <v>2165</v>
      </c>
      <c r="F45" s="2506">
        <f ca="1">F27</f>
        <v>0.05</v>
      </c>
      <c r="G45" s="252" t="s">
        <v>2174</v>
      </c>
    </row>
    <row r="46" spans="1:7" s="219" customFormat="1" ht="13.5" customHeight="1">
      <c r="A46" s="887" t="s">
        <v>791</v>
      </c>
      <c r="B46" s="253" t="s">
        <v>2175</v>
      </c>
      <c r="C46" s="254">
        <f ca="1">ROUND((C33+C39)*F27,0)</f>
        <v>178</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4216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4216</v>
      </c>
      <c r="D51" s="237"/>
      <c r="E51" s="237"/>
      <c r="F51" s="269"/>
      <c r="G51" s="239" t="s">
        <v>2186</v>
      </c>
    </row>
    <row r="52" spans="1:7" s="213" customFormat="1" ht="16.5" thickBot="1">
      <c r="A52" s="270" t="s">
        <v>2187</v>
      </c>
      <c r="B52" s="271"/>
      <c r="C52" s="272">
        <f ca="1">C31+C51</f>
        <v>8874</v>
      </c>
      <c r="D52" s="271"/>
      <c r="E52" s="271"/>
      <c r="F52" s="271"/>
      <c r="G52" s="273"/>
    </row>
    <row r="55" spans="1:7" ht="15">
      <c r="B55" s="275" t="s">
        <v>2188</v>
      </c>
      <c r="C55" s="276"/>
    </row>
    <row r="56" spans="1:7">
      <c r="B56" s="278" t="s">
        <v>1418</v>
      </c>
      <c r="C56" s="280">
        <f ca="1">1-C57</f>
        <v>0.52500000000000002</v>
      </c>
    </row>
    <row r="57" spans="1:7">
      <c r="B57" s="278" t="s">
        <v>1419</v>
      </c>
      <c r="C57" s="279">
        <f ca="1">ROUND(C51/C52,3)</f>
        <v>0.47499999999999998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10763</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5171</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80294557</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2185594</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1605891</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3890271</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3813991</v>
      </c>
      <c r="D42" s="243"/>
      <c r="E42" s="243"/>
      <c r="F42" s="244"/>
      <c r="G42" s="3499" t="s">
        <v>2217</v>
      </c>
    </row>
    <row r="43" spans="1:7" ht="13.5" customHeight="1">
      <c r="A43" s="887" t="s">
        <v>792</v>
      </c>
      <c r="B43" s="220" t="s">
        <v>2171</v>
      </c>
      <c r="C43" s="243">
        <f ca="1">ROUND(IF('数据-取费表'!B22&lt;=1,C39*F22*'数据-取费表'!B20/2,C39*(POWER((1+F22),'数据-取费表'!B20/2)-1)),0)</f>
        <v>76280</v>
      </c>
      <c r="D43" s="243"/>
      <c r="E43" s="243"/>
      <c r="F43" s="244"/>
      <c r="G43" s="3500"/>
    </row>
    <row r="44" spans="1:7" ht="13.5" customHeight="1">
      <c r="A44" s="887" t="s">
        <v>793</v>
      </c>
      <c r="B44" s="220" t="s">
        <v>2172</v>
      </c>
      <c r="C44" s="243">
        <f>ROUND(IF('数据-取费表'!B22&lt;=1,C40*F22*'数据-取费表'!B20/2,C40*(POWER((1+F22),'数据-取费表'!B20/2)-1)),4)</f>
        <v>1E-3</v>
      </c>
      <c r="D44" s="243"/>
      <c r="E44" s="243"/>
      <c r="F44" s="244"/>
      <c r="G44" s="3501"/>
    </row>
    <row r="45" spans="1:7" s="219" customFormat="1" ht="13.5" customHeight="1">
      <c r="A45" s="260" t="s">
        <v>2173</v>
      </c>
      <c r="B45" s="249" t="s">
        <v>2139</v>
      </c>
      <c r="C45" s="250">
        <f ca="1">C46</f>
        <v>4095022</v>
      </c>
      <c r="D45" s="240">
        <f ca="1">C47</f>
        <v>1E-3</v>
      </c>
      <c r="E45" s="241" t="s">
        <v>2165</v>
      </c>
      <c r="F45" s="2506">
        <f ca="1">F27</f>
        <v>0.05</v>
      </c>
      <c r="G45" s="252" t="s">
        <v>2174</v>
      </c>
    </row>
    <row r="46" spans="1:7" s="219" customFormat="1" ht="13.5" customHeight="1">
      <c r="A46" s="887" t="s">
        <v>791</v>
      </c>
      <c r="B46" s="253" t="s">
        <v>2175</v>
      </c>
      <c r="C46" s="254">
        <f ca="1">ROUND((C33+C39)*F27,0)</f>
        <v>4095022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97110783</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97110783</v>
      </c>
      <c r="D51" s="237"/>
      <c r="E51" s="237"/>
      <c r="F51" s="269"/>
      <c r="G51" s="239" t="s">
        <v>2186</v>
      </c>
    </row>
    <row r="52" spans="1:7" s="213" customFormat="1" ht="16.5" thickBot="1">
      <c r="A52" s="270" t="s">
        <v>2187</v>
      </c>
      <c r="B52" s="271"/>
      <c r="C52" s="272">
        <f ca="1">C31+C51</f>
        <v>107628172</v>
      </c>
      <c r="D52" s="271"/>
      <c r="E52" s="271"/>
      <c r="F52" s="271"/>
      <c r="G52" s="273"/>
    </row>
    <row r="55" spans="1:7" ht="15">
      <c r="B55" s="275" t="s">
        <v>2188</v>
      </c>
      <c r="C55" s="276"/>
    </row>
    <row r="56" spans="1:7">
      <c r="B56" s="278" t="s">
        <v>1418</v>
      </c>
      <c r="C56" s="280">
        <f ca="1">1-C57</f>
        <v>9.7999999999999976E-2</v>
      </c>
    </row>
    <row r="57" spans="1:7">
      <c r="B57" s="278" t="s">
        <v>1419</v>
      </c>
      <c r="C57" s="279">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6"/>
      <c r="F1" s="3006"/>
      <c r="G1" s="2869"/>
      <c r="H1" s="3006"/>
      <c r="I1" s="3006"/>
      <c r="J1" s="3006"/>
      <c r="K1" s="3007">
        <f>MATCH(C1,'数据-取费表'!A6:A16,0)+5</f>
        <v>8</v>
      </c>
    </row>
    <row r="2" spans="1:33" ht="18" customHeight="1">
      <c r="A2" s="206" t="s">
        <v>2088</v>
      </c>
      <c r="B2" s="209">
        <f ca="1">C32</f>
        <v>-266</v>
      </c>
      <c r="C2" s="281" t="s">
        <v>2221</v>
      </c>
      <c r="D2" s="281"/>
      <c r="E2" s="3006"/>
      <c r="F2" s="3006"/>
      <c r="G2" s="3006"/>
      <c r="H2" s="3006"/>
      <c r="I2" s="3006"/>
      <c r="J2" s="3006"/>
      <c r="K2" s="3006"/>
    </row>
    <row r="3" spans="1:33" ht="18" customHeight="1" thickBot="1">
      <c r="A3" s="208" t="s">
        <v>2090</v>
      </c>
      <c r="B3" s="209">
        <f ca="1">ROUND(B2*10000/IF(C1="",'数据-汇总表'!E3,INDIRECT("'数据-取费表'!K"&amp;$K$1)),0)</f>
        <v>-128</v>
      </c>
      <c r="C3" s="281" t="s">
        <v>2222</v>
      </c>
      <c r="D3" s="281"/>
      <c r="E3" s="3006"/>
      <c r="F3" s="3006"/>
      <c r="G3" s="3006"/>
      <c r="H3" s="3006"/>
      <c r="I3" s="3006"/>
      <c r="J3" s="3006"/>
      <c r="K3" s="3006"/>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4" t="s">
        <v>1308</v>
      </c>
      <c r="C6" s="1205">
        <f ca="1">ROUND(F6*F8*F7*(1-F9),0)</f>
        <v>0</v>
      </c>
      <c r="D6" s="159" t="s">
        <v>2785</v>
      </c>
      <c r="E6" s="307" t="s">
        <v>1310</v>
      </c>
      <c r="F6" s="308">
        <f ca="1">INDIRECT("'数据-取费表'!u"&amp;$G$1)</f>
        <v>0</v>
      </c>
      <c r="G6" s="1537"/>
      <c r="H6" s="1200" t="s">
        <v>1003</v>
      </c>
      <c r="I6" s="3494" t="s">
        <v>1308</v>
      </c>
      <c r="J6" s="306">
        <f ca="1">ROUND(M6*M8*M7*(1-M9),0)</f>
        <v>0</v>
      </c>
      <c r="K6" s="1529" t="s">
        <v>2786</v>
      </c>
      <c r="L6" s="307" t="s">
        <v>1310</v>
      </c>
      <c r="M6" s="308">
        <f ca="1">INDIRECT("'数据-取费表'!z"&amp;$G$1)</f>
        <v>0</v>
      </c>
    </row>
    <row r="7" spans="1:37" ht="18" customHeight="1">
      <c r="A7" s="1204"/>
      <c r="B7" s="3495"/>
      <c r="C7" s="1206"/>
      <c r="D7" s="312"/>
      <c r="E7" s="1207" t="s">
        <v>1311</v>
      </c>
      <c r="F7" s="308">
        <f ca="1">IF(INDIRECT("'数据-取费表'!ah"&amp;$G$1)="",INDIRECT("'数据-取费表'!k"&amp;$G$1),INDIRECT("'数据-取费表'!ah"&amp;$G$1))</f>
        <v>0</v>
      </c>
      <c r="G7" s="1537"/>
      <c r="H7" s="309"/>
      <c r="I7" s="3495"/>
      <c r="J7" s="311"/>
      <c r="K7" s="312"/>
      <c r="L7" s="307" t="s">
        <v>1311</v>
      </c>
      <c r="M7" s="308">
        <f ca="1">F7</f>
        <v>0</v>
      </c>
    </row>
    <row r="8" spans="1:37" ht="18" customHeight="1">
      <c r="A8" s="309"/>
      <c r="B8" s="3495"/>
      <c r="C8" s="311"/>
      <c r="D8" s="312"/>
      <c r="E8" s="307" t="s">
        <v>1312</v>
      </c>
      <c r="F8" s="308">
        <f ca="1">INDIRECT("'数据-取费表'!ai"&amp;$G$1)</f>
        <v>0</v>
      </c>
      <c r="G8" s="1537"/>
      <c r="H8" s="309"/>
      <c r="I8" s="3495"/>
      <c r="J8" s="311"/>
      <c r="K8" s="312"/>
      <c r="L8" s="307" t="s">
        <v>1312</v>
      </c>
      <c r="M8" s="308">
        <f ca="1">INDIRECT("'数据-取费表'!ai"&amp;$G$1)</f>
        <v>0</v>
      </c>
    </row>
    <row r="9" spans="1:37" ht="18" customHeight="1">
      <c r="A9" s="309"/>
      <c r="B9" s="3496"/>
      <c r="C9" s="311"/>
      <c r="D9" s="312"/>
      <c r="E9" s="307" t="s">
        <v>1313</v>
      </c>
      <c r="F9" s="317">
        <f ca="1">INDIRECT("'数据-取费表'!w"&amp;$G$1)</f>
        <v>0</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92" t="s">
        <v>1453</v>
      </c>
      <c r="L53" s="3493"/>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08" t="s">
        <v>3006</v>
      </c>
      <c r="K2" s="3509"/>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10" t="s">
        <v>3016</v>
      </c>
      <c r="K3" s="3511"/>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10" t="s">
        <v>3018</v>
      </c>
      <c r="K4" s="3511"/>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16" t="s">
        <v>3022</v>
      </c>
      <c r="B6" s="3517"/>
      <c r="C6" s="3518"/>
      <c r="D6" s="3070"/>
      <c r="E6" s="3071"/>
      <c r="F6" s="3072"/>
      <c r="G6" s="3073"/>
      <c r="H6" s="3048"/>
      <c r="I6" s="3049"/>
      <c r="J6" s="3502">
        <v>1</v>
      </c>
      <c r="K6" s="3503"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02"/>
      <c r="K7" s="3504"/>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19" t="s">
        <v>3036</v>
      </c>
      <c r="C8" s="3520"/>
      <c r="D8" s="3089" t="s">
        <v>3037</v>
      </c>
      <c r="E8" s="3090" t="s">
        <v>3038</v>
      </c>
      <c r="F8" s="3091" t="s">
        <v>3039</v>
      </c>
      <c r="G8" s="3092"/>
      <c r="H8" s="3048"/>
      <c r="I8" s="3049"/>
      <c r="J8" s="3502"/>
      <c r="K8" s="3504"/>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19" t="s">
        <v>3042</v>
      </c>
      <c r="C9" s="3520"/>
      <c r="D9" s="3089">
        <f>ROUND(D6*E9,0)</f>
        <v>0</v>
      </c>
      <c r="E9" s="3093"/>
      <c r="F9" s="3094" t="s">
        <v>3043</v>
      </c>
      <c r="G9" s="3073"/>
      <c r="H9" s="3048"/>
      <c r="I9" s="3049"/>
      <c r="J9" s="3502"/>
      <c r="K9" s="3504"/>
      <c r="L9" s="3083" t="s">
        <v>3044</v>
      </c>
      <c r="M9" s="3084"/>
      <c r="N9" s="3060"/>
      <c r="O9" s="3085"/>
      <c r="P9" s="3085"/>
      <c r="Q9" s="3086">
        <v>365</v>
      </c>
      <c r="R9" s="3087">
        <f t="shared" si="0"/>
        <v>0</v>
      </c>
      <c r="S9" s="3041"/>
      <c r="T9" s="3041"/>
      <c r="U9" s="3041"/>
      <c r="V9" s="3049"/>
    </row>
    <row r="10" spans="1:22" s="3053" customFormat="1" ht="13.15" customHeight="1">
      <c r="A10" s="3088">
        <v>2</v>
      </c>
      <c r="B10" s="3519" t="s">
        <v>3045</v>
      </c>
      <c r="C10" s="3520"/>
      <c r="D10" s="3089">
        <f>ROUND(D6*E10,0)</f>
        <v>0</v>
      </c>
      <c r="E10" s="3093"/>
      <c r="F10" s="3094" t="s">
        <v>3046</v>
      </c>
      <c r="G10" s="3073"/>
      <c r="H10" s="3048"/>
      <c r="I10" s="3049"/>
      <c r="J10" s="3502"/>
      <c r="K10" s="3504"/>
      <c r="L10" s="3083" t="s">
        <v>3047</v>
      </c>
      <c r="M10" s="3084"/>
      <c r="N10" s="3060"/>
      <c r="O10" s="3085"/>
      <c r="P10" s="3085"/>
      <c r="Q10" s="3086">
        <v>365</v>
      </c>
      <c r="R10" s="3087">
        <f t="shared" si="0"/>
        <v>0</v>
      </c>
      <c r="S10" s="3041"/>
      <c r="T10" s="3041"/>
      <c r="U10" s="3041"/>
      <c r="V10" s="3049"/>
    </row>
    <row r="11" spans="1:22" s="3053" customFormat="1" ht="13.15" customHeight="1">
      <c r="A11" s="3088">
        <v>3</v>
      </c>
      <c r="B11" s="3519" t="s">
        <v>3048</v>
      </c>
      <c r="C11" s="3520"/>
      <c r="D11" s="3089">
        <f>D12+D14+D15+D16</f>
        <v>0</v>
      </c>
      <c r="E11" s="3095" t="e">
        <f>D11/D6</f>
        <v>#DIV/0!</v>
      </c>
      <c r="F11" s="3091"/>
      <c r="G11" s="3092"/>
      <c r="H11" s="3048"/>
      <c r="I11" s="3049"/>
      <c r="J11" s="3502"/>
      <c r="K11" s="3504"/>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12" t="s">
        <v>3051</v>
      </c>
      <c r="C12" s="3513"/>
      <c r="D12" s="3097">
        <f>ROUND(D13*1.2%*(1-30%),0)</f>
        <v>0</v>
      </c>
      <c r="E12" s="3098">
        <v>1.2E-2</v>
      </c>
      <c r="F12" s="3091" t="s">
        <v>3052</v>
      </c>
      <c r="G12" s="3092"/>
      <c r="H12" s="3048"/>
      <c r="I12" s="3049"/>
      <c r="J12" s="3502"/>
      <c r="K12" s="3504"/>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02"/>
      <c r="K13" s="3504"/>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12" t="s">
        <v>3057</v>
      </c>
      <c r="C14" s="3513"/>
      <c r="D14" s="3097">
        <f>ROUND(E14*B5/10000,0)</f>
        <v>0</v>
      </c>
      <c r="E14" s="3086"/>
      <c r="F14" s="3091" t="s">
        <v>3058</v>
      </c>
      <c r="G14" s="3092"/>
      <c r="H14" s="3048"/>
      <c r="I14" s="3049"/>
      <c r="J14" s="3502"/>
      <c r="K14" s="3505"/>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12" t="s">
        <v>3061</v>
      </c>
      <c r="C15" s="3513"/>
      <c r="D15" s="3097">
        <f>ROUND(D6*E15,0)</f>
        <v>0</v>
      </c>
      <c r="E15" s="3098">
        <v>5.5E-2</v>
      </c>
      <c r="F15" s="3091" t="s">
        <v>3062</v>
      </c>
      <c r="G15" s="3073"/>
      <c r="H15" s="3048"/>
      <c r="I15" s="3049"/>
      <c r="J15" s="3502">
        <v>2</v>
      </c>
      <c r="K15" s="3503"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12" t="s">
        <v>3070</v>
      </c>
      <c r="C16" s="3513"/>
      <c r="D16" s="3108">
        <f>D6*E16</f>
        <v>0</v>
      </c>
      <c r="E16" s="3109"/>
      <c r="F16" s="3094" t="s">
        <v>3071</v>
      </c>
      <c r="G16" s="3073"/>
      <c r="H16" s="3048"/>
      <c r="I16" s="3049"/>
      <c r="J16" s="3502"/>
      <c r="K16" s="3504"/>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14" t="s">
        <v>3073</v>
      </c>
      <c r="C17" s="3515"/>
      <c r="D17" s="3111">
        <f>ROUND(D6*E17,0)</f>
        <v>0</v>
      </c>
      <c r="E17" s="3112"/>
      <c r="F17" s="3113" t="s">
        <v>3074</v>
      </c>
      <c r="G17" s="3073"/>
      <c r="H17" s="3048"/>
      <c r="I17" s="3049"/>
      <c r="J17" s="3502"/>
      <c r="K17" s="3504"/>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02"/>
      <c r="K18" s="3504"/>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02"/>
      <c r="K19" s="3505"/>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2">
        <v>3</v>
      </c>
      <c r="K20" s="3503"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02"/>
      <c r="K21" s="3504"/>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02"/>
      <c r="K22" s="3504"/>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02"/>
      <c r="K23" s="3504"/>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02"/>
      <c r="K24" s="3505"/>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06">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07"/>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08" t="s">
        <v>3006</v>
      </c>
      <c r="K32" s="3509"/>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10" t="s">
        <v>3016</v>
      </c>
      <c r="K33" s="3511"/>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10" t="s">
        <v>3018</v>
      </c>
      <c r="K34" s="3511"/>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02">
        <v>1</v>
      </c>
      <c r="K36" s="3503"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02"/>
      <c r="K37" s="3504"/>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2"/>
      <c r="K38" s="3504"/>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02"/>
      <c r="K39" s="3504"/>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02"/>
      <c r="K40" s="3505"/>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06">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07"/>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7766</v>
      </c>
      <c r="C2" s="2027" t="s">
        <v>2280</v>
      </c>
      <c r="D2" s="2028" t="s">
        <v>2281</v>
      </c>
      <c r="E2" s="2802">
        <f>SUM(E6:E13)</f>
        <v>20815.18</v>
      </c>
      <c r="F2" s="2905"/>
      <c r="G2" s="1643"/>
      <c r="H2" s="1643"/>
      <c r="I2" s="1643"/>
      <c r="J2" s="1643"/>
      <c r="K2" s="1643"/>
      <c r="L2" s="1643"/>
      <c r="M2" s="1643"/>
      <c r="N2" s="1643"/>
      <c r="O2" s="1643"/>
      <c r="P2" s="1643"/>
      <c r="Q2" s="1643"/>
      <c r="R2" s="1643"/>
      <c r="S2" s="1643"/>
    </row>
    <row r="3" spans="1:22" ht="15.75">
      <c r="A3" s="2025" t="s">
        <v>1300</v>
      </c>
      <c r="B3" s="2796">
        <f ca="1">ROUND(B2*10000/E2,0)</f>
        <v>3731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21" t="s">
        <v>2283</v>
      </c>
      <c r="C5" s="3522"/>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收益法-车位</v>
      </c>
      <c r="B6" s="2797">
        <f ca="1">IF(F6="是",'数据-取费表'!AO6,0)</f>
        <v>3492</v>
      </c>
      <c r="C6" s="2027" t="s">
        <v>2280</v>
      </c>
      <c r="D6" s="2907"/>
      <c r="E6" s="2801">
        <f>IF(OR(A6=0,F6="否"),0,'数据-取费表'!K6+'数据-取费表'!S6)</f>
        <v>11780.21</v>
      </c>
      <c r="F6" s="2031" t="s">
        <v>2286</v>
      </c>
      <c r="G6" s="1643"/>
      <c r="H6" s="1643"/>
      <c r="I6" s="1643"/>
      <c r="J6" s="1643"/>
      <c r="K6" s="1643"/>
      <c r="L6" s="1643"/>
      <c r="M6" s="1643"/>
      <c r="N6" s="1643"/>
      <c r="O6" s="1643"/>
      <c r="P6" s="1643"/>
      <c r="Q6" s="1643"/>
      <c r="R6" s="1643"/>
      <c r="S6" s="1643"/>
    </row>
    <row r="7" spans="1:22">
      <c r="A7" s="2799" t="str">
        <f>'数据-取费表'!AN7</f>
        <v>收益法-仓储</v>
      </c>
      <c r="B7" s="2797">
        <f ca="1">IF(F7="是",'数据-取费表'!AO7,0)</f>
        <v>4274</v>
      </c>
      <c r="C7" s="2027" t="s">
        <v>2280</v>
      </c>
      <c r="D7" s="2907"/>
      <c r="E7" s="2801">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2296</v>
      </c>
      <c r="B4" s="361"/>
      <c r="C4" s="3367" t="s">
        <v>2297</v>
      </c>
      <c r="D4" s="3368"/>
      <c r="E4" s="3369" t="s">
        <v>2298</v>
      </c>
      <c r="F4" s="3370"/>
      <c r="G4" s="3367" t="s">
        <v>2299</v>
      </c>
      <c r="H4" s="3368"/>
      <c r="I4" s="3367" t="s">
        <v>2300</v>
      </c>
      <c r="J4" s="3368"/>
      <c r="K4" s="2044" t="s">
        <v>2301</v>
      </c>
      <c r="L4" s="2913"/>
      <c r="M4" s="2914"/>
      <c r="N4" s="2914"/>
      <c r="O4" s="2914"/>
      <c r="P4" s="3371" t="s">
        <v>2302</v>
      </c>
      <c r="Q4" s="3372"/>
      <c r="R4" s="3377" t="s">
        <v>2298</v>
      </c>
      <c r="S4" s="3378"/>
      <c r="T4" s="3377" t="s">
        <v>2299</v>
      </c>
      <c r="U4" s="3378"/>
      <c r="V4" s="3383" t="s">
        <v>2300</v>
      </c>
      <c r="W4" s="3383"/>
      <c r="X4" s="1508"/>
      <c r="Y4" s="3377" t="s">
        <v>2302</v>
      </c>
      <c r="Z4" s="3378"/>
      <c r="AA4" s="3364" t="s">
        <v>2298</v>
      </c>
      <c r="AB4" s="3364" t="s">
        <v>2299</v>
      </c>
      <c r="AC4" s="3364" t="s">
        <v>2300</v>
      </c>
    </row>
    <row r="5" spans="1:29" ht="15">
      <c r="A5" s="363"/>
      <c r="B5" s="364"/>
      <c r="C5" s="3497" t="s">
        <v>2303</v>
      </c>
      <c r="D5" s="3387"/>
      <c r="E5" s="3498" t="s">
        <v>2304</v>
      </c>
      <c r="F5" s="3395"/>
      <c r="G5" s="3497" t="s">
        <v>2305</v>
      </c>
      <c r="H5" s="3387"/>
      <c r="I5" s="3497" t="s">
        <v>2306</v>
      </c>
      <c r="J5" s="3387"/>
      <c r="K5" s="2045"/>
      <c r="L5" s="2913"/>
      <c r="M5" s="2914"/>
      <c r="N5" s="2914"/>
      <c r="O5" s="2914"/>
      <c r="P5" s="3373"/>
      <c r="Q5" s="3374"/>
      <c r="R5" s="3379"/>
      <c r="S5" s="3380"/>
      <c r="T5" s="3379"/>
      <c r="U5" s="3380"/>
      <c r="V5" s="3383"/>
      <c r="W5" s="3383"/>
      <c r="X5" s="1508"/>
      <c r="Y5" s="3379"/>
      <c r="Z5" s="3380"/>
      <c r="AA5" s="3365"/>
      <c r="AB5" s="3365"/>
      <c r="AC5" s="3365"/>
    </row>
    <row r="6" spans="1:29" ht="15.75" thickBot="1">
      <c r="A6" s="365"/>
      <c r="B6" s="366"/>
      <c r="C6" s="3384" t="s">
        <v>2307</v>
      </c>
      <c r="D6" s="3385"/>
      <c r="E6" s="3392" t="s">
        <v>2307</v>
      </c>
      <c r="F6" s="3393"/>
      <c r="G6" s="3384" t="s">
        <v>2307</v>
      </c>
      <c r="H6" s="3385"/>
      <c r="I6" s="3384" t="s">
        <v>2307</v>
      </c>
      <c r="J6" s="3385"/>
      <c r="K6" s="2045"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5"/>
      <c r="M7" s="2916"/>
      <c r="N7" s="2916"/>
      <c r="O7" s="2916"/>
      <c r="P7" s="3388" t="s">
        <v>2310</v>
      </c>
      <c r="Q7" s="3390"/>
      <c r="R7" s="709" t="s">
        <v>23</v>
      </c>
      <c r="S7" s="710">
        <f t="shared" ref="S7:S15" si="0">F7</f>
        <v>0</v>
      </c>
      <c r="T7" s="709" t="s">
        <v>23</v>
      </c>
      <c r="U7" s="710">
        <f t="shared" ref="U7:U15" si="1">H7</f>
        <v>0</v>
      </c>
      <c r="V7" s="709" t="s">
        <v>23</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5"/>
      <c r="M8" s="2916"/>
      <c r="N8" s="2916"/>
      <c r="O8" s="2916"/>
      <c r="P8" s="3388" t="s">
        <v>2313</v>
      </c>
      <c r="Q8" s="3389"/>
      <c r="R8" s="709" t="s">
        <v>23</v>
      </c>
      <c r="S8" s="710">
        <f t="shared" si="0"/>
        <v>0</v>
      </c>
      <c r="T8" s="709" t="s">
        <v>23</v>
      </c>
      <c r="U8" s="710">
        <f t="shared" si="1"/>
        <v>0</v>
      </c>
      <c r="V8" s="709" t="s">
        <v>23</v>
      </c>
      <c r="W8" s="710">
        <f t="shared" si="2"/>
        <v>0</v>
      </c>
      <c r="X8" s="711"/>
      <c r="Y8" s="3388" t="s">
        <v>2313</v>
      </c>
      <c r="Z8" s="3389"/>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5"/>
      <c r="M9" s="2916"/>
      <c r="N9" s="2916"/>
      <c r="O9" s="2916"/>
      <c r="P9" s="3530"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7"/>
      <c r="M10" s="2918"/>
      <c r="N10" s="2918"/>
      <c r="O10" s="2918"/>
      <c r="P10" s="3530"/>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9"/>
      <c r="M11" s="2914"/>
      <c r="N11" s="2914"/>
      <c r="O11" s="2914"/>
      <c r="P11" s="3530"/>
      <c r="Q11" s="1496" t="str">
        <f t="shared" si="6"/>
        <v>容积率</v>
      </c>
      <c r="R11" s="709" t="s">
        <v>21</v>
      </c>
      <c r="S11" s="710" t="e">
        <f t="shared" si="0"/>
        <v>#N/A</v>
      </c>
      <c r="T11" s="709" t="s">
        <v>21</v>
      </c>
      <c r="U11" s="710" t="e">
        <f t="shared" si="1"/>
        <v>#N/A</v>
      </c>
      <c r="V11" s="709" t="s">
        <v>21</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5"/>
      <c r="M12" s="2916"/>
      <c r="N12" s="2916"/>
      <c r="O12" s="2916"/>
      <c r="P12" s="3530"/>
      <c r="Q12" s="1496">
        <f t="shared" si="6"/>
        <v>111</v>
      </c>
      <c r="R12" s="709" t="s">
        <v>21</v>
      </c>
      <c r="S12" s="710">
        <f t="shared" si="0"/>
        <v>100</v>
      </c>
      <c r="T12" s="709" t="s">
        <v>21</v>
      </c>
      <c r="U12" s="710">
        <f t="shared" si="1"/>
        <v>100</v>
      </c>
      <c r="V12" s="709" t="s">
        <v>21</v>
      </c>
      <c r="W12" s="710">
        <f t="shared" si="2"/>
        <v>100</v>
      </c>
      <c r="X12" s="711"/>
      <c r="Y12" s="3363"/>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530"/>
      <c r="Q13" s="1496">
        <f t="shared" si="6"/>
        <v>111</v>
      </c>
      <c r="R13" s="709" t="s">
        <v>21</v>
      </c>
      <c r="S13" s="710">
        <f t="shared" si="0"/>
        <v>100</v>
      </c>
      <c r="T13" s="709" t="s">
        <v>21</v>
      </c>
      <c r="U13" s="710">
        <f t="shared" si="1"/>
        <v>100</v>
      </c>
      <c r="V13" s="709" t="s">
        <v>21</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530"/>
      <c r="Q14" s="1496">
        <f t="shared" si="6"/>
        <v>111</v>
      </c>
      <c r="R14" s="709" t="s">
        <v>21</v>
      </c>
      <c r="S14" s="710">
        <f t="shared" si="0"/>
        <v>100</v>
      </c>
      <c r="T14" s="709" t="s">
        <v>21</v>
      </c>
      <c r="U14" s="710">
        <f t="shared" si="1"/>
        <v>100</v>
      </c>
      <c r="V14" s="709" t="s">
        <v>21</v>
      </c>
      <c r="W14" s="710">
        <f t="shared" si="2"/>
        <v>100</v>
      </c>
      <c r="X14" s="711"/>
      <c r="Y14" s="3363"/>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20"/>
      <c r="M15" s="2914"/>
      <c r="N15" s="2914"/>
      <c r="O15" s="2914"/>
      <c r="P15" s="3528" t="s">
        <v>2321</v>
      </c>
      <c r="Q15" s="1505" t="str">
        <f t="shared" si="6"/>
        <v>居住社区成熟度</v>
      </c>
      <c r="R15" s="713" t="s">
        <v>21</v>
      </c>
      <c r="S15" s="714">
        <f t="shared" si="0"/>
        <v>100</v>
      </c>
      <c r="T15" s="713" t="s">
        <v>21</v>
      </c>
      <c r="U15" s="714">
        <f t="shared" si="1"/>
        <v>100</v>
      </c>
      <c r="V15" s="713" t="s">
        <v>21</v>
      </c>
      <c r="W15" s="714">
        <f t="shared" si="2"/>
        <v>100</v>
      </c>
      <c r="X15" s="1508"/>
      <c r="Y15" s="3359"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20"/>
      <c r="M16" s="2914"/>
      <c r="N16" s="2914"/>
      <c r="O16" s="2914"/>
      <c r="P16" s="3529"/>
      <c r="Q16" s="1505"/>
      <c r="R16" s="713"/>
      <c r="S16" s="714"/>
      <c r="T16" s="713"/>
      <c r="U16" s="714"/>
      <c r="V16" s="713"/>
      <c r="W16" s="714"/>
      <c r="X16" s="1508"/>
      <c r="Y16" s="3360"/>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0"/>
      <c r="M17" s="2914"/>
      <c r="N17" s="2914"/>
      <c r="O17" s="2914"/>
      <c r="P17" s="3529"/>
      <c r="Q17" s="1505" t="str">
        <f>B17</f>
        <v>交通便捷度</v>
      </c>
      <c r="R17" s="713" t="s">
        <v>21</v>
      </c>
      <c r="S17" s="714">
        <f>F17</f>
        <v>100</v>
      </c>
      <c r="T17" s="713" t="s">
        <v>21</v>
      </c>
      <c r="U17" s="714">
        <f>H17</f>
        <v>100</v>
      </c>
      <c r="V17" s="713" t="s">
        <v>21</v>
      </c>
      <c r="W17" s="714">
        <f>J17</f>
        <v>100</v>
      </c>
      <c r="X17" s="1508"/>
      <c r="Y17" s="3360"/>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20"/>
      <c r="M18" s="2914"/>
      <c r="N18" s="2914"/>
      <c r="O18" s="2914"/>
      <c r="P18" s="3529"/>
      <c r="Q18" s="1505"/>
      <c r="R18" s="713"/>
      <c r="S18" s="714"/>
      <c r="T18" s="713"/>
      <c r="U18" s="714"/>
      <c r="V18" s="713"/>
      <c r="W18" s="714"/>
      <c r="X18" s="1508"/>
      <c r="Y18" s="3360"/>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20"/>
      <c r="M19" s="2914"/>
      <c r="N19" s="2914"/>
      <c r="O19" s="2914"/>
      <c r="P19" s="3529"/>
      <c r="Q19" s="1505" t="str">
        <f>B19</f>
        <v>公共配套设施</v>
      </c>
      <c r="R19" s="713" t="s">
        <v>21</v>
      </c>
      <c r="S19" s="714">
        <f>F19</f>
        <v>100</v>
      </c>
      <c r="T19" s="713" t="s">
        <v>21</v>
      </c>
      <c r="U19" s="714">
        <f>H19</f>
        <v>100</v>
      </c>
      <c r="V19" s="713" t="s">
        <v>21</v>
      </c>
      <c r="W19" s="714">
        <f>J19</f>
        <v>100</v>
      </c>
      <c r="X19" s="1508"/>
      <c r="Y19" s="3360"/>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20"/>
      <c r="M20" s="2914"/>
      <c r="N20" s="2914"/>
      <c r="O20" s="2914"/>
      <c r="P20" s="3529"/>
      <c r="Q20" s="1505"/>
      <c r="R20" s="713"/>
      <c r="S20" s="714"/>
      <c r="T20" s="713"/>
      <c r="U20" s="714"/>
      <c r="V20" s="713"/>
      <c r="W20" s="714"/>
      <c r="X20" s="1508"/>
      <c r="Y20" s="3360"/>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20"/>
      <c r="M21" s="2914"/>
      <c r="N21" s="2914"/>
      <c r="O21" s="2914"/>
      <c r="P21" s="3529"/>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20"/>
      <c r="M22" s="2914"/>
      <c r="N22" s="2914"/>
      <c r="O22" s="2914"/>
      <c r="P22" s="3529"/>
      <c r="Q22" s="1505"/>
      <c r="R22" s="713"/>
      <c r="S22" s="714"/>
      <c r="T22" s="713"/>
      <c r="U22" s="714"/>
      <c r="V22" s="713"/>
      <c r="W22" s="714"/>
      <c r="X22" s="1508"/>
      <c r="Y22" s="3360"/>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0"/>
      <c r="M23" s="2914"/>
      <c r="N23" s="2914"/>
      <c r="O23" s="2914"/>
      <c r="P23" s="3529"/>
      <c r="Q23" s="1505" t="str">
        <f>B23</f>
        <v>自然及人文环境</v>
      </c>
      <c r="R23" s="713" t="s">
        <v>21</v>
      </c>
      <c r="S23" s="714">
        <f>F23</f>
        <v>100</v>
      </c>
      <c r="T23" s="713" t="s">
        <v>21</v>
      </c>
      <c r="U23" s="714">
        <f>H23</f>
        <v>100</v>
      </c>
      <c r="V23" s="713" t="s">
        <v>21</v>
      </c>
      <c r="W23" s="714">
        <f>J23</f>
        <v>100</v>
      </c>
      <c r="X23" s="1508"/>
      <c r="Y23" s="3360"/>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20"/>
      <c r="M24" s="2914"/>
      <c r="N24" s="2914"/>
      <c r="O24" s="2914"/>
      <c r="P24" s="3529"/>
      <c r="Q24" s="1505"/>
      <c r="R24" s="713"/>
      <c r="S24" s="714"/>
      <c r="T24" s="713"/>
      <c r="U24" s="714"/>
      <c r="V24" s="713"/>
      <c r="W24" s="714"/>
      <c r="X24" s="1508"/>
      <c r="Y24" s="3360"/>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20"/>
      <c r="M25" s="2914"/>
      <c r="N25" s="2914"/>
      <c r="O25" s="2914"/>
      <c r="P25" s="3529"/>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360"/>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20"/>
      <c r="M26" s="2914"/>
      <c r="N26" s="2914"/>
      <c r="O26" s="2914"/>
      <c r="P26" s="3529"/>
      <c r="Q26" s="1505" t="str">
        <f t="shared" si="11"/>
        <v>朝向</v>
      </c>
      <c r="R26" s="713" t="s">
        <v>21</v>
      </c>
      <c r="S26" s="714">
        <f t="shared" si="12"/>
        <v>100</v>
      </c>
      <c r="T26" s="713" t="s">
        <v>21</v>
      </c>
      <c r="U26" s="714">
        <f t="shared" si="13"/>
        <v>100</v>
      </c>
      <c r="V26" s="713" t="s">
        <v>21</v>
      </c>
      <c r="W26" s="714">
        <f t="shared" si="14"/>
        <v>100</v>
      </c>
      <c r="X26" s="1508"/>
      <c r="Y26" s="3360"/>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5"/>
      <c r="M27" s="2916"/>
      <c r="N27" s="2916"/>
      <c r="O27" s="2916"/>
      <c r="P27" s="3529"/>
      <c r="Q27" s="1496">
        <f t="shared" si="11"/>
        <v>111</v>
      </c>
      <c r="R27" s="709" t="s">
        <v>21</v>
      </c>
      <c r="S27" s="710">
        <f t="shared" si="12"/>
        <v>100</v>
      </c>
      <c r="T27" s="709" t="s">
        <v>21</v>
      </c>
      <c r="U27" s="710">
        <f t="shared" si="13"/>
        <v>100</v>
      </c>
      <c r="V27" s="709" t="s">
        <v>21</v>
      </c>
      <c r="W27" s="710">
        <f t="shared" si="14"/>
        <v>100</v>
      </c>
      <c r="X27" s="711"/>
      <c r="Y27" s="3360"/>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29"/>
      <c r="Q28" s="1505">
        <f t="shared" si="11"/>
        <v>111</v>
      </c>
      <c r="R28" s="713" t="s">
        <v>21</v>
      </c>
      <c r="S28" s="714">
        <f t="shared" si="12"/>
        <v>100</v>
      </c>
      <c r="T28" s="713" t="s">
        <v>21</v>
      </c>
      <c r="U28" s="714">
        <f t="shared" si="13"/>
        <v>100</v>
      </c>
      <c r="V28" s="713" t="s">
        <v>21</v>
      </c>
      <c r="W28" s="714">
        <f t="shared" si="14"/>
        <v>100</v>
      </c>
      <c r="X28" s="1508"/>
      <c r="Y28" s="3360"/>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29"/>
      <c r="Q29" s="1505">
        <f t="shared" si="11"/>
        <v>111</v>
      </c>
      <c r="R29" s="713" t="s">
        <v>21</v>
      </c>
      <c r="S29" s="714">
        <f t="shared" si="12"/>
        <v>100</v>
      </c>
      <c r="T29" s="713" t="s">
        <v>21</v>
      </c>
      <c r="U29" s="714">
        <f t="shared" si="13"/>
        <v>100</v>
      </c>
      <c r="V29" s="713" t="s">
        <v>21</v>
      </c>
      <c r="W29" s="714">
        <f t="shared" si="14"/>
        <v>100</v>
      </c>
      <c r="X29" s="1508"/>
      <c r="Y29" s="3360"/>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29"/>
      <c r="Q30" s="1505">
        <f t="shared" si="11"/>
        <v>111</v>
      </c>
      <c r="R30" s="713" t="s">
        <v>21</v>
      </c>
      <c r="S30" s="714">
        <f t="shared" si="12"/>
        <v>100</v>
      </c>
      <c r="T30" s="713" t="s">
        <v>21</v>
      </c>
      <c r="U30" s="714">
        <f t="shared" si="13"/>
        <v>100</v>
      </c>
      <c r="V30" s="713" t="s">
        <v>21</v>
      </c>
      <c r="W30" s="714">
        <f t="shared" si="14"/>
        <v>100</v>
      </c>
      <c r="X30" s="1508"/>
      <c r="Y30" s="3360"/>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29"/>
      <c r="Q31" s="1505">
        <f t="shared" si="11"/>
        <v>111</v>
      </c>
      <c r="R31" s="713" t="s">
        <v>21</v>
      </c>
      <c r="S31" s="714">
        <f t="shared" si="12"/>
        <v>100</v>
      </c>
      <c r="T31" s="713" t="s">
        <v>21</v>
      </c>
      <c r="U31" s="714">
        <f t="shared" si="13"/>
        <v>100</v>
      </c>
      <c r="V31" s="713" t="s">
        <v>21</v>
      </c>
      <c r="W31" s="714">
        <f t="shared" si="14"/>
        <v>100</v>
      </c>
      <c r="X31" s="1508"/>
      <c r="Y31" s="3360"/>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20"/>
      <c r="M32" s="2914"/>
      <c r="N32" s="2914"/>
      <c r="O32" s="2914"/>
      <c r="P32" s="3524" t="s">
        <v>2326</v>
      </c>
      <c r="Q32" s="1505" t="str">
        <f t="shared" si="11"/>
        <v>建筑类型</v>
      </c>
      <c r="R32" s="713" t="s">
        <v>21</v>
      </c>
      <c r="S32" s="714">
        <f t="shared" si="12"/>
        <v>100</v>
      </c>
      <c r="T32" s="713" t="s">
        <v>21</v>
      </c>
      <c r="U32" s="714">
        <f t="shared" si="13"/>
        <v>100</v>
      </c>
      <c r="V32" s="713" t="s">
        <v>21</v>
      </c>
      <c r="W32" s="714">
        <f t="shared" si="14"/>
        <v>100</v>
      </c>
      <c r="X32" s="1508"/>
      <c r="Y32" s="3362"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9"/>
      <c r="M33" s="2921"/>
      <c r="N33" s="2921"/>
      <c r="O33" s="2921"/>
      <c r="P33" s="3525"/>
      <c r="Q33" s="715" t="str">
        <f t="shared" si="11"/>
        <v>项目建筑规模</v>
      </c>
      <c r="R33" s="716" t="s">
        <v>21</v>
      </c>
      <c r="S33" s="717" t="e">
        <f t="shared" si="12"/>
        <v>#N/A</v>
      </c>
      <c r="T33" s="716" t="s">
        <v>21</v>
      </c>
      <c r="U33" s="717" t="e">
        <f t="shared" si="13"/>
        <v>#N/A</v>
      </c>
      <c r="V33" s="716" t="s">
        <v>21</v>
      </c>
      <c r="W33" s="717" t="e">
        <f t="shared" si="14"/>
        <v>#N/A</v>
      </c>
      <c r="X33" s="718"/>
      <c r="Y33" s="3362"/>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20"/>
      <c r="M34" s="2914"/>
      <c r="N34" s="2914"/>
      <c r="O34" s="2914"/>
      <c r="P34" s="3525"/>
      <c r="Q34" s="1505" t="str">
        <f t="shared" si="11"/>
        <v>建筑结构</v>
      </c>
      <c r="R34" s="713" t="s">
        <v>21</v>
      </c>
      <c r="S34" s="714">
        <f t="shared" si="12"/>
        <v>100</v>
      </c>
      <c r="T34" s="713" t="s">
        <v>21</v>
      </c>
      <c r="U34" s="714">
        <f t="shared" si="13"/>
        <v>100</v>
      </c>
      <c r="V34" s="713" t="s">
        <v>21</v>
      </c>
      <c r="W34" s="714">
        <f t="shared" si="14"/>
        <v>100</v>
      </c>
      <c r="X34" s="1508"/>
      <c r="Y34" s="3362"/>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20"/>
      <c r="M35" s="2914"/>
      <c r="N35" s="2914"/>
      <c r="O35" s="2914"/>
      <c r="P35" s="3525"/>
      <c r="Q35" s="1505" t="str">
        <f t="shared" si="11"/>
        <v>建筑品质</v>
      </c>
      <c r="R35" s="713" t="s">
        <v>21</v>
      </c>
      <c r="S35" s="714">
        <f t="shared" si="12"/>
        <v>100</v>
      </c>
      <c r="T35" s="713" t="s">
        <v>21</v>
      </c>
      <c r="U35" s="714">
        <f t="shared" si="13"/>
        <v>100</v>
      </c>
      <c r="V35" s="713" t="s">
        <v>21</v>
      </c>
      <c r="W35" s="714">
        <f t="shared" si="14"/>
        <v>100</v>
      </c>
      <c r="X35" s="1508"/>
      <c r="Y35" s="3362"/>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20"/>
      <c r="M36" s="2914"/>
      <c r="N36" s="2914"/>
      <c r="O36" s="2914"/>
      <c r="P36" s="3525"/>
      <c r="Q36" s="1505" t="str">
        <f t="shared" si="11"/>
        <v>公共部分装修</v>
      </c>
      <c r="R36" s="713" t="s">
        <v>21</v>
      </c>
      <c r="S36" s="714">
        <f t="shared" si="12"/>
        <v>100</v>
      </c>
      <c r="T36" s="713" t="s">
        <v>21</v>
      </c>
      <c r="U36" s="714">
        <f t="shared" si="13"/>
        <v>100</v>
      </c>
      <c r="V36" s="713" t="s">
        <v>21</v>
      </c>
      <c r="W36" s="714">
        <f t="shared" si="14"/>
        <v>100</v>
      </c>
      <c r="X36" s="1508"/>
      <c r="Y36" s="3362"/>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5"/>
      <c r="M37" s="2916"/>
      <c r="N37" s="2916"/>
      <c r="O37" s="2916"/>
      <c r="P37" s="3525"/>
      <c r="Q37" s="1496" t="str">
        <f t="shared" si="11"/>
        <v>成新度</v>
      </c>
      <c r="R37" s="709" t="s">
        <v>21</v>
      </c>
      <c r="S37" s="710" t="e">
        <f t="shared" si="12"/>
        <v>#N/A</v>
      </c>
      <c r="T37" s="709" t="s">
        <v>21</v>
      </c>
      <c r="U37" s="710" t="e">
        <f t="shared" si="13"/>
        <v>#N/A</v>
      </c>
      <c r="V37" s="709" t="s">
        <v>21</v>
      </c>
      <c r="W37" s="710" t="e">
        <f t="shared" si="14"/>
        <v>#N/A</v>
      </c>
      <c r="X37" s="711"/>
      <c r="Y37" s="3362"/>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20"/>
      <c r="M38" s="2914"/>
      <c r="N38" s="2914"/>
      <c r="O38" s="2914"/>
      <c r="P38" s="3525" t="s">
        <v>2326</v>
      </c>
      <c r="Q38" s="1505" t="str">
        <f t="shared" si="11"/>
        <v>物业管理</v>
      </c>
      <c r="R38" s="713" t="s">
        <v>21</v>
      </c>
      <c r="S38" s="714">
        <f t="shared" si="12"/>
        <v>100</v>
      </c>
      <c r="T38" s="713" t="s">
        <v>21</v>
      </c>
      <c r="U38" s="714">
        <f t="shared" si="13"/>
        <v>100</v>
      </c>
      <c r="V38" s="713" t="s">
        <v>21</v>
      </c>
      <c r="W38" s="714">
        <f t="shared" si="14"/>
        <v>100</v>
      </c>
      <c r="X38" s="1508"/>
      <c r="Y38" s="3362"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20"/>
      <c r="M39" s="2914"/>
      <c r="N39" s="2914"/>
      <c r="O39" s="2914"/>
      <c r="P39" s="3525"/>
      <c r="Q39" s="1505" t="str">
        <f t="shared" si="11"/>
        <v>市政基础设施</v>
      </c>
      <c r="R39" s="713" t="s">
        <v>21</v>
      </c>
      <c r="S39" s="714">
        <f t="shared" si="12"/>
        <v>100</v>
      </c>
      <c r="T39" s="713" t="s">
        <v>21</v>
      </c>
      <c r="U39" s="714">
        <f t="shared" si="13"/>
        <v>100</v>
      </c>
      <c r="V39" s="713" t="s">
        <v>21</v>
      </c>
      <c r="W39" s="714">
        <f t="shared" si="14"/>
        <v>100</v>
      </c>
      <c r="X39" s="1508"/>
      <c r="Y39" s="3362"/>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20"/>
      <c r="M40" s="2914"/>
      <c r="N40" s="2914"/>
      <c r="O40" s="2914"/>
      <c r="P40" s="3525"/>
      <c r="Q40" s="1505" t="str">
        <f t="shared" si="11"/>
        <v>房型</v>
      </c>
      <c r="R40" s="713" t="s">
        <v>21</v>
      </c>
      <c r="S40" s="714">
        <f t="shared" si="12"/>
        <v>100</v>
      </c>
      <c r="T40" s="713" t="s">
        <v>21</v>
      </c>
      <c r="U40" s="714">
        <f t="shared" si="13"/>
        <v>100</v>
      </c>
      <c r="V40" s="713" t="s">
        <v>21</v>
      </c>
      <c r="W40" s="714">
        <f t="shared" si="14"/>
        <v>100</v>
      </c>
      <c r="X40" s="1508"/>
      <c r="Y40" s="3362"/>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9"/>
      <c r="M41" s="2921"/>
      <c r="N41" s="2921"/>
      <c r="O41" s="2921"/>
      <c r="P41" s="3525"/>
      <c r="Q41" s="715" t="str">
        <f t="shared" si="11"/>
        <v>单套/主力户型建筑面积</v>
      </c>
      <c r="R41" s="716" t="s">
        <v>21</v>
      </c>
      <c r="S41" s="717">
        <f t="shared" si="12"/>
        <v>100</v>
      </c>
      <c r="T41" s="716" t="s">
        <v>21</v>
      </c>
      <c r="U41" s="717">
        <f t="shared" si="13"/>
        <v>100</v>
      </c>
      <c r="V41" s="716" t="s">
        <v>21</v>
      </c>
      <c r="W41" s="717">
        <f t="shared" si="14"/>
        <v>100</v>
      </c>
      <c r="X41" s="718"/>
      <c r="Y41" s="3362"/>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20"/>
      <c r="M42" s="2914"/>
      <c r="N42" s="2914"/>
      <c r="O42" s="2914"/>
      <c r="P42" s="3525"/>
      <c r="Q42" s="1505" t="str">
        <f t="shared" si="11"/>
        <v>内部装修</v>
      </c>
      <c r="R42" s="713" t="s">
        <v>21</v>
      </c>
      <c r="S42" s="714">
        <f t="shared" si="12"/>
        <v>100</v>
      </c>
      <c r="T42" s="713" t="s">
        <v>21</v>
      </c>
      <c r="U42" s="714">
        <f t="shared" si="13"/>
        <v>100</v>
      </c>
      <c r="V42" s="713" t="s">
        <v>21</v>
      </c>
      <c r="W42" s="714">
        <f t="shared" si="14"/>
        <v>100</v>
      </c>
      <c r="X42" s="1508"/>
      <c r="Y42" s="3362"/>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20"/>
      <c r="M43" s="2914"/>
      <c r="N43" s="2914"/>
      <c r="O43" s="2914"/>
      <c r="P43" s="3525"/>
      <c r="Q43" s="1505" t="str">
        <f t="shared" si="11"/>
        <v>内部装修维护情况</v>
      </c>
      <c r="R43" s="713" t="s">
        <v>21</v>
      </c>
      <c r="S43" s="714">
        <f t="shared" si="12"/>
        <v>100</v>
      </c>
      <c r="T43" s="713" t="s">
        <v>21</v>
      </c>
      <c r="U43" s="714">
        <f t="shared" si="13"/>
        <v>100</v>
      </c>
      <c r="V43" s="713" t="s">
        <v>21</v>
      </c>
      <c r="W43" s="714">
        <f t="shared" si="14"/>
        <v>100</v>
      </c>
      <c r="X43" s="1508"/>
      <c r="Y43" s="3362"/>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5"/>
      <c r="M44" s="2916"/>
      <c r="N44" s="2916"/>
      <c r="O44" s="2916"/>
      <c r="P44" s="3525"/>
      <c r="Q44" s="1496">
        <f t="shared" si="11"/>
        <v>111</v>
      </c>
      <c r="R44" s="709" t="s">
        <v>21</v>
      </c>
      <c r="S44" s="710">
        <f t="shared" si="12"/>
        <v>100</v>
      </c>
      <c r="T44" s="709" t="s">
        <v>21</v>
      </c>
      <c r="U44" s="710">
        <f t="shared" si="13"/>
        <v>100</v>
      </c>
      <c r="V44" s="709" t="s">
        <v>21</v>
      </c>
      <c r="W44" s="710">
        <f t="shared" si="14"/>
        <v>100</v>
      </c>
      <c r="X44" s="711"/>
      <c r="Y44" s="3362"/>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25"/>
      <c r="Q45" s="1505">
        <f t="shared" si="11"/>
        <v>111</v>
      </c>
      <c r="R45" s="713" t="s">
        <v>21</v>
      </c>
      <c r="S45" s="714">
        <f t="shared" si="12"/>
        <v>100</v>
      </c>
      <c r="T45" s="713" t="s">
        <v>21</v>
      </c>
      <c r="U45" s="714">
        <f t="shared" si="13"/>
        <v>100</v>
      </c>
      <c r="V45" s="713" t="s">
        <v>21</v>
      </c>
      <c r="W45" s="714">
        <f t="shared" si="14"/>
        <v>100</v>
      </c>
      <c r="X45" s="1508"/>
      <c r="Y45" s="3362"/>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26"/>
      <c r="Q46" s="1505">
        <f t="shared" si="11"/>
        <v>111</v>
      </c>
      <c r="R46" s="713" t="s">
        <v>20</v>
      </c>
      <c r="S46" s="714">
        <f t="shared" si="12"/>
        <v>100</v>
      </c>
      <c r="T46" s="713" t="s">
        <v>20</v>
      </c>
      <c r="U46" s="714">
        <f t="shared" si="13"/>
        <v>100</v>
      </c>
      <c r="V46" s="713" t="s">
        <v>20</v>
      </c>
      <c r="W46" s="714">
        <f t="shared" si="14"/>
        <v>100</v>
      </c>
      <c r="X46" s="1508"/>
      <c r="Y46" s="3527"/>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2"/>
      <c r="M47" s="2923"/>
      <c r="N47" s="2914"/>
      <c r="O47" s="2923"/>
      <c r="P47" s="3354" t="str">
        <f>A47</f>
        <v>成交单价（元/平方米）</v>
      </c>
      <c r="Q47" s="3354"/>
      <c r="R47" s="3355">
        <f>E47</f>
        <v>0</v>
      </c>
      <c r="S47" s="3355"/>
      <c r="T47" s="3355">
        <f>G47</f>
        <v>0</v>
      </c>
      <c r="U47" s="3355"/>
      <c r="V47" s="3355">
        <f>I47</f>
        <v>0</v>
      </c>
      <c r="W47" s="3355"/>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2"/>
      <c r="M48" s="2923"/>
      <c r="N48" s="2923"/>
      <c r="O48" s="2923"/>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2"/>
      <c r="M49" s="2923"/>
      <c r="N49" s="2923"/>
      <c r="O49" s="2923"/>
      <c r="P49" s="3356" t="str">
        <f>A49</f>
        <v>估价对象XX用房的比较价值（楼面单价，元/平方米）</v>
      </c>
      <c r="Q49" s="3357"/>
      <c r="R49" s="3523" t="e">
        <f>IF(F1="售价",ROUND(IF(D48="简单平均",AVERAGE(R48:V48),R48*F48+T48*H48+V48*J48),0),ROUND(IF(D48="简单平均",AVERAGE(R48:V48),R48*F48+T48*H48+V48*J48),1))</f>
        <v>#DIV/0!</v>
      </c>
      <c r="S49" s="3523"/>
      <c r="T49" s="3523"/>
      <c r="U49" s="3523"/>
      <c r="V49" s="3523"/>
      <c r="W49" s="3523"/>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row>
    <row r="53" spans="1:29" ht="13.5" customHeight="1">
      <c r="A53" s="2923"/>
      <c r="B53" s="2923"/>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row>
    <row r="54" spans="1:29" s="458" customFormat="1" ht="13.5" customHeight="1">
      <c r="A54" s="2926"/>
      <c r="B54" s="2926"/>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83" t="s">
        <v>2409</v>
      </c>
      <c r="AC4" s="3364" t="s">
        <v>2410</v>
      </c>
    </row>
    <row r="5" spans="1:29"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83"/>
      <c r="AC5" s="3365"/>
    </row>
    <row r="6" spans="1:29" ht="15.75" thickBot="1">
      <c r="A6" s="365"/>
      <c r="B6" s="366"/>
      <c r="C6" s="3384" t="s">
        <v>2307</v>
      </c>
      <c r="D6" s="3385"/>
      <c r="E6" s="3392" t="s">
        <v>2307</v>
      </c>
      <c r="F6" s="3393"/>
      <c r="G6" s="3384" t="s">
        <v>2307</v>
      </c>
      <c r="H6" s="3385"/>
      <c r="I6" s="3384" t="s">
        <v>2307</v>
      </c>
      <c r="J6" s="3385"/>
      <c r="K6" s="566" t="s">
        <v>2308</v>
      </c>
      <c r="L6" s="2913"/>
      <c r="M6" s="2914"/>
      <c r="N6" s="2914"/>
      <c r="O6" s="2914"/>
      <c r="P6" s="3375"/>
      <c r="Q6" s="3376"/>
      <c r="R6" s="3379"/>
      <c r="S6" s="3380"/>
      <c r="T6" s="3381"/>
      <c r="U6" s="3382"/>
      <c r="V6" s="3383"/>
      <c r="W6" s="3383"/>
      <c r="X6" s="1508"/>
      <c r="Y6" s="3381"/>
      <c r="Z6" s="3382"/>
      <c r="AA6" s="3366"/>
      <c r="AB6" s="3383"/>
      <c r="AC6" s="3366"/>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5"/>
      <c r="M7" s="2916"/>
      <c r="N7" s="2916"/>
      <c r="O7" s="291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5"/>
      <c r="M9" s="2916"/>
      <c r="N9" s="2916"/>
      <c r="O9" s="2916"/>
      <c r="P9" s="3530"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7"/>
      <c r="M10" s="2918"/>
      <c r="N10" s="2918"/>
      <c r="O10" s="2918"/>
      <c r="P10" s="3530"/>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9"/>
      <c r="M11" s="2914"/>
      <c r="N11" s="2914"/>
      <c r="O11" s="2914"/>
      <c r="P11" s="3530"/>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5"/>
      <c r="M12" s="2916"/>
      <c r="N12" s="2916"/>
      <c r="O12" s="2916"/>
      <c r="P12" s="3530"/>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530"/>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530"/>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28" t="s">
        <v>2321</v>
      </c>
      <c r="Q15" s="1505" t="str">
        <f t="shared" si="6"/>
        <v>商业繁华度</v>
      </c>
      <c r="R15" s="713" t="s">
        <v>17</v>
      </c>
      <c r="S15" s="714">
        <f t="shared" si="0"/>
        <v>100</v>
      </c>
      <c r="T15" s="713" t="s">
        <v>17</v>
      </c>
      <c r="U15" s="714">
        <f t="shared" si="1"/>
        <v>100</v>
      </c>
      <c r="V15" s="713" t="s">
        <v>17</v>
      </c>
      <c r="W15" s="714">
        <f t="shared" si="2"/>
        <v>100</v>
      </c>
      <c r="X15" s="1508"/>
      <c r="Y15" s="3359"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29"/>
      <c r="Q16" s="1505"/>
      <c r="R16" s="713"/>
      <c r="S16" s="714"/>
      <c r="T16" s="713"/>
      <c r="U16" s="714"/>
      <c r="V16" s="713"/>
      <c r="W16" s="714"/>
      <c r="X16" s="1508"/>
      <c r="Y16" s="3360"/>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29"/>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29"/>
      <c r="Q18" s="1505"/>
      <c r="R18" s="713"/>
      <c r="S18" s="714"/>
      <c r="T18" s="713"/>
      <c r="U18" s="714"/>
      <c r="V18" s="713"/>
      <c r="W18" s="714"/>
      <c r="X18" s="1508"/>
      <c r="Y18" s="3360"/>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29"/>
      <c r="Q19" s="1505" t="str">
        <f>B19</f>
        <v>公共配套设施</v>
      </c>
      <c r="R19" s="713" t="s">
        <v>17</v>
      </c>
      <c r="S19" s="714">
        <f>F19</f>
        <v>100</v>
      </c>
      <c r="T19" s="713" t="s">
        <v>17</v>
      </c>
      <c r="U19" s="714">
        <f>H19</f>
        <v>100</v>
      </c>
      <c r="V19" s="713" t="s">
        <v>17</v>
      </c>
      <c r="W19" s="714">
        <f>J19</f>
        <v>100</v>
      </c>
      <c r="X19" s="1508"/>
      <c r="Y19" s="336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29"/>
      <c r="Q20" s="1505"/>
      <c r="R20" s="713"/>
      <c r="S20" s="714"/>
      <c r="T20" s="713"/>
      <c r="U20" s="714"/>
      <c r="V20" s="713"/>
      <c r="W20" s="714"/>
      <c r="X20" s="1508"/>
      <c r="Y20" s="3360"/>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29"/>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29"/>
      <c r="Q22" s="1505"/>
      <c r="R22" s="713"/>
      <c r="S22" s="714"/>
      <c r="T22" s="713"/>
      <c r="U22" s="714"/>
      <c r="V22" s="713"/>
      <c r="W22" s="714"/>
      <c r="X22" s="1508"/>
      <c r="Y22" s="3360"/>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29"/>
      <c r="Q23" s="1505" t="str">
        <f>B23</f>
        <v>自然及人文环境</v>
      </c>
      <c r="R23" s="713" t="s">
        <v>17</v>
      </c>
      <c r="S23" s="714">
        <f>F23</f>
        <v>100</v>
      </c>
      <c r="T23" s="713" t="s">
        <v>17</v>
      </c>
      <c r="U23" s="714">
        <f>H23</f>
        <v>100</v>
      </c>
      <c r="V23" s="713" t="s">
        <v>17</v>
      </c>
      <c r="W23" s="714">
        <f>J23</f>
        <v>100</v>
      </c>
      <c r="X23" s="1508"/>
      <c r="Y23" s="3360"/>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29"/>
      <c r="Q24" s="1505"/>
      <c r="R24" s="713"/>
      <c r="S24" s="714"/>
      <c r="T24" s="713"/>
      <c r="U24" s="714"/>
      <c r="V24" s="713"/>
      <c r="W24" s="714"/>
      <c r="X24" s="1508"/>
      <c r="Y24" s="3360"/>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29"/>
      <c r="Q25" s="1505" t="str">
        <f t="shared" ref="Q25:Q46" si="11">B25</f>
        <v>临街状况</v>
      </c>
      <c r="R25" s="713" t="s">
        <v>17</v>
      </c>
      <c r="S25" s="714">
        <f>F25</f>
        <v>100</v>
      </c>
      <c r="T25" s="713" t="s">
        <v>17</v>
      </c>
      <c r="U25" s="714">
        <f>H25</f>
        <v>100</v>
      </c>
      <c r="V25" s="713" t="s">
        <v>17</v>
      </c>
      <c r="W25" s="714">
        <f>J25</f>
        <v>100</v>
      </c>
      <c r="X25" s="1508"/>
      <c r="Y25" s="3360"/>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29"/>
      <c r="Q26" s="1505" t="str">
        <f t="shared" si="11"/>
        <v>平面位置/可视性</v>
      </c>
      <c r="R26" s="713" t="s">
        <v>17</v>
      </c>
      <c r="S26" s="714">
        <f>F26</f>
        <v>100</v>
      </c>
      <c r="T26" s="713" t="s">
        <v>17</v>
      </c>
      <c r="U26" s="714">
        <f>H26</f>
        <v>100</v>
      </c>
      <c r="V26" s="713" t="s">
        <v>17</v>
      </c>
      <c r="W26" s="714">
        <f>J26</f>
        <v>100</v>
      </c>
      <c r="X26" s="1508"/>
      <c r="Y26" s="3360"/>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29"/>
      <c r="Q27" s="1496" t="str">
        <f t="shared" si="11"/>
        <v>人流量</v>
      </c>
      <c r="R27" s="709" t="s">
        <v>17</v>
      </c>
      <c r="S27" s="710">
        <f>F27</f>
        <v>100</v>
      </c>
      <c r="T27" s="709" t="s">
        <v>17</v>
      </c>
      <c r="U27" s="710">
        <f>H27</f>
        <v>100</v>
      </c>
      <c r="V27" s="709" t="s">
        <v>17</v>
      </c>
      <c r="W27" s="710">
        <f>J27</f>
        <v>100</v>
      </c>
      <c r="X27" s="711"/>
      <c r="Y27" s="3360"/>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29"/>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360"/>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29"/>
      <c r="Q29" s="1505">
        <f t="shared" si="11"/>
        <v>111</v>
      </c>
      <c r="R29" s="713" t="s">
        <v>17</v>
      </c>
      <c r="S29" s="714">
        <f t="shared" si="12"/>
        <v>100</v>
      </c>
      <c r="T29" s="713" t="s">
        <v>17</v>
      </c>
      <c r="U29" s="714">
        <f t="shared" si="13"/>
        <v>100</v>
      </c>
      <c r="V29" s="713" t="s">
        <v>17</v>
      </c>
      <c r="W29" s="714">
        <f t="shared" si="14"/>
        <v>100</v>
      </c>
      <c r="X29" s="1508"/>
      <c r="Y29" s="3360"/>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29"/>
      <c r="Q30" s="1505">
        <f t="shared" si="11"/>
        <v>111</v>
      </c>
      <c r="R30" s="713" t="s">
        <v>17</v>
      </c>
      <c r="S30" s="714">
        <f t="shared" si="12"/>
        <v>100</v>
      </c>
      <c r="T30" s="713" t="s">
        <v>17</v>
      </c>
      <c r="U30" s="714">
        <f t="shared" si="13"/>
        <v>100</v>
      </c>
      <c r="V30" s="713" t="s">
        <v>17</v>
      </c>
      <c r="W30" s="714">
        <f t="shared" si="14"/>
        <v>100</v>
      </c>
      <c r="X30" s="1508"/>
      <c r="Y30" s="3360"/>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29"/>
      <c r="Q31" s="1505">
        <f t="shared" si="11"/>
        <v>111</v>
      </c>
      <c r="R31" s="713" t="s">
        <v>17</v>
      </c>
      <c r="S31" s="714">
        <f t="shared" si="12"/>
        <v>100</v>
      </c>
      <c r="T31" s="713" t="s">
        <v>17</v>
      </c>
      <c r="U31" s="714">
        <f t="shared" si="13"/>
        <v>100</v>
      </c>
      <c r="V31" s="713" t="s">
        <v>17</v>
      </c>
      <c r="W31" s="714">
        <f t="shared" si="14"/>
        <v>100</v>
      </c>
      <c r="X31" s="1508"/>
      <c r="Y31" s="3360"/>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24" t="s">
        <v>2326</v>
      </c>
      <c r="Q32" s="1505" t="str">
        <f t="shared" si="11"/>
        <v>商业类型</v>
      </c>
      <c r="R32" s="713" t="s">
        <v>17</v>
      </c>
      <c r="S32" s="714">
        <f t="shared" si="12"/>
        <v>100</v>
      </c>
      <c r="T32" s="713" t="s">
        <v>17</v>
      </c>
      <c r="U32" s="714">
        <f t="shared" si="13"/>
        <v>100</v>
      </c>
      <c r="V32" s="713" t="s">
        <v>17</v>
      </c>
      <c r="W32" s="714">
        <f t="shared" si="14"/>
        <v>100</v>
      </c>
      <c r="X32" s="1508"/>
      <c r="Y32" s="3362"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9"/>
      <c r="M33" s="2921"/>
      <c r="N33" s="2921"/>
      <c r="O33" s="2921"/>
      <c r="P33" s="3525"/>
      <c r="Q33" s="715" t="str">
        <f t="shared" si="11"/>
        <v>项目建筑规模</v>
      </c>
      <c r="R33" s="716" t="s">
        <v>17</v>
      </c>
      <c r="S33" s="717" t="e">
        <f t="shared" si="12"/>
        <v>#N/A</v>
      </c>
      <c r="T33" s="716" t="s">
        <v>17</v>
      </c>
      <c r="U33" s="717" t="e">
        <f t="shared" si="13"/>
        <v>#N/A</v>
      </c>
      <c r="V33" s="716" t="s">
        <v>17</v>
      </c>
      <c r="W33" s="717" t="e">
        <f t="shared" si="14"/>
        <v>#N/A</v>
      </c>
      <c r="X33" s="718"/>
      <c r="Y33" s="3362"/>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25"/>
      <c r="Q34" s="1505" t="str">
        <f t="shared" si="11"/>
        <v>建筑结构</v>
      </c>
      <c r="R34" s="713" t="s">
        <v>17</v>
      </c>
      <c r="S34" s="714">
        <f t="shared" si="12"/>
        <v>100</v>
      </c>
      <c r="T34" s="713" t="s">
        <v>17</v>
      </c>
      <c r="U34" s="714">
        <f t="shared" si="13"/>
        <v>100</v>
      </c>
      <c r="V34" s="713" t="s">
        <v>17</v>
      </c>
      <c r="W34" s="714">
        <f t="shared" si="14"/>
        <v>100</v>
      </c>
      <c r="X34" s="1508"/>
      <c r="Y34" s="3362"/>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25"/>
      <c r="Q35" s="1505" t="str">
        <f t="shared" si="11"/>
        <v>公共部分装修</v>
      </c>
      <c r="R35" s="713" t="s">
        <v>17</v>
      </c>
      <c r="S35" s="714">
        <f t="shared" si="12"/>
        <v>100</v>
      </c>
      <c r="T35" s="713" t="s">
        <v>17</v>
      </c>
      <c r="U35" s="714">
        <f t="shared" si="13"/>
        <v>100</v>
      </c>
      <c r="V35" s="713" t="s">
        <v>17</v>
      </c>
      <c r="W35" s="714">
        <f t="shared" si="14"/>
        <v>100</v>
      </c>
      <c r="X35" s="1508"/>
      <c r="Y35" s="3362"/>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25"/>
      <c r="Q36" s="1505" t="str">
        <f t="shared" si="11"/>
        <v>成新度</v>
      </c>
      <c r="R36" s="713" t="s">
        <v>17</v>
      </c>
      <c r="S36" s="714" t="e">
        <f t="shared" si="12"/>
        <v>#N/A</v>
      </c>
      <c r="T36" s="713" t="s">
        <v>17</v>
      </c>
      <c r="U36" s="714" t="e">
        <f t="shared" si="13"/>
        <v>#N/A</v>
      </c>
      <c r="V36" s="713" t="s">
        <v>17</v>
      </c>
      <c r="W36" s="714" t="e">
        <f t="shared" si="14"/>
        <v>#N/A</v>
      </c>
      <c r="X36" s="1508"/>
      <c r="Y36" s="3362"/>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25"/>
      <c r="Q37" s="1496" t="str">
        <f t="shared" si="11"/>
        <v>市政基础设施</v>
      </c>
      <c r="R37" s="709" t="s">
        <v>17</v>
      </c>
      <c r="S37" s="710">
        <f t="shared" si="12"/>
        <v>100</v>
      </c>
      <c r="T37" s="709" t="s">
        <v>17</v>
      </c>
      <c r="U37" s="710">
        <f t="shared" si="13"/>
        <v>100</v>
      </c>
      <c r="V37" s="709" t="s">
        <v>17</v>
      </c>
      <c r="W37" s="710">
        <f t="shared" si="14"/>
        <v>100</v>
      </c>
      <c r="X37" s="711"/>
      <c r="Y37" s="3362"/>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25" t="s">
        <v>2326</v>
      </c>
      <c r="Q38" s="1505" t="str">
        <f t="shared" si="11"/>
        <v>业态</v>
      </c>
      <c r="R38" s="713" t="s">
        <v>17</v>
      </c>
      <c r="S38" s="714">
        <f t="shared" si="12"/>
        <v>100</v>
      </c>
      <c r="T38" s="713" t="s">
        <v>17</v>
      </c>
      <c r="U38" s="714">
        <f t="shared" si="13"/>
        <v>100</v>
      </c>
      <c r="V38" s="713" t="s">
        <v>17</v>
      </c>
      <c r="W38" s="714">
        <f t="shared" si="14"/>
        <v>100</v>
      </c>
      <c r="X38" s="1508"/>
      <c r="Y38" s="3362"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25"/>
      <c r="Q39" s="1505" t="str">
        <f t="shared" si="11"/>
        <v>层高</v>
      </c>
      <c r="R39" s="713" t="s">
        <v>17</v>
      </c>
      <c r="S39" s="714">
        <f t="shared" si="12"/>
        <v>100</v>
      </c>
      <c r="T39" s="713" t="s">
        <v>17</v>
      </c>
      <c r="U39" s="714">
        <f t="shared" si="13"/>
        <v>100</v>
      </c>
      <c r="V39" s="713" t="s">
        <v>17</v>
      </c>
      <c r="W39" s="714">
        <f t="shared" si="14"/>
        <v>100</v>
      </c>
      <c r="X39" s="1508"/>
      <c r="Y39" s="3362"/>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25"/>
      <c r="Q40" s="1505" t="str">
        <f t="shared" si="11"/>
        <v>单套建筑面积</v>
      </c>
      <c r="R40" s="713" t="s">
        <v>17</v>
      </c>
      <c r="S40" s="714">
        <f t="shared" si="12"/>
        <v>100</v>
      </c>
      <c r="T40" s="713" t="s">
        <v>17</v>
      </c>
      <c r="U40" s="714">
        <f t="shared" si="13"/>
        <v>100</v>
      </c>
      <c r="V40" s="713" t="s">
        <v>17</v>
      </c>
      <c r="W40" s="714">
        <f t="shared" si="14"/>
        <v>100</v>
      </c>
      <c r="X40" s="1508"/>
      <c r="Y40" s="3362"/>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25"/>
      <c r="Q41" s="715" t="str">
        <f t="shared" si="11"/>
        <v>进深比</v>
      </c>
      <c r="R41" s="716" t="s">
        <v>17</v>
      </c>
      <c r="S41" s="717">
        <f t="shared" si="12"/>
        <v>100</v>
      </c>
      <c r="T41" s="716" t="s">
        <v>17</v>
      </c>
      <c r="U41" s="717">
        <f t="shared" si="13"/>
        <v>100</v>
      </c>
      <c r="V41" s="716" t="s">
        <v>17</v>
      </c>
      <c r="W41" s="717">
        <f t="shared" si="14"/>
        <v>100</v>
      </c>
      <c r="X41" s="718"/>
      <c r="Y41" s="3362"/>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25"/>
      <c r="Q42" s="1505" t="str">
        <f t="shared" si="11"/>
        <v>内部装修</v>
      </c>
      <c r="R42" s="713" t="s">
        <v>17</v>
      </c>
      <c r="S42" s="714">
        <f t="shared" si="12"/>
        <v>100</v>
      </c>
      <c r="T42" s="713" t="s">
        <v>17</v>
      </c>
      <c r="U42" s="714">
        <f t="shared" si="13"/>
        <v>100</v>
      </c>
      <c r="V42" s="713" t="s">
        <v>17</v>
      </c>
      <c r="W42" s="714">
        <f t="shared" si="14"/>
        <v>100</v>
      </c>
      <c r="X42" s="1508"/>
      <c r="Y42" s="3362"/>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25"/>
      <c r="Q43" s="1505" t="str">
        <f t="shared" si="11"/>
        <v>内部装修维护情况</v>
      </c>
      <c r="R43" s="713" t="s">
        <v>17</v>
      </c>
      <c r="S43" s="714">
        <f t="shared" si="12"/>
        <v>100</v>
      </c>
      <c r="T43" s="713" t="s">
        <v>17</v>
      </c>
      <c r="U43" s="714">
        <f t="shared" si="13"/>
        <v>100</v>
      </c>
      <c r="V43" s="713" t="s">
        <v>17</v>
      </c>
      <c r="W43" s="714">
        <f t="shared" si="14"/>
        <v>100</v>
      </c>
      <c r="X43" s="1508"/>
      <c r="Y43" s="3362"/>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5"/>
      <c r="M44" s="2916"/>
      <c r="N44" s="2916"/>
      <c r="O44" s="2916"/>
      <c r="P44" s="3525"/>
      <c r="Q44" s="1496">
        <f t="shared" si="11"/>
        <v>111</v>
      </c>
      <c r="R44" s="709" t="s">
        <v>17</v>
      </c>
      <c r="S44" s="710">
        <f t="shared" si="12"/>
        <v>100</v>
      </c>
      <c r="T44" s="709" t="s">
        <v>17</v>
      </c>
      <c r="U44" s="710">
        <f t="shared" si="13"/>
        <v>100</v>
      </c>
      <c r="V44" s="709" t="s">
        <v>17</v>
      </c>
      <c r="W44" s="710">
        <f t="shared" si="14"/>
        <v>100</v>
      </c>
      <c r="X44" s="711"/>
      <c r="Y44" s="3362"/>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25"/>
      <c r="Q45" s="1505">
        <f t="shared" si="11"/>
        <v>111</v>
      </c>
      <c r="R45" s="713" t="s">
        <v>17</v>
      </c>
      <c r="S45" s="714">
        <f t="shared" si="12"/>
        <v>100</v>
      </c>
      <c r="T45" s="713" t="s">
        <v>17</v>
      </c>
      <c r="U45" s="714">
        <f t="shared" si="13"/>
        <v>100</v>
      </c>
      <c r="V45" s="713" t="s">
        <v>17</v>
      </c>
      <c r="W45" s="714">
        <f t="shared" si="14"/>
        <v>100</v>
      </c>
      <c r="X45" s="1508"/>
      <c r="Y45" s="3362"/>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26"/>
      <c r="Q46" s="1505">
        <f t="shared" si="11"/>
        <v>111</v>
      </c>
      <c r="R46" s="713" t="s">
        <v>17</v>
      </c>
      <c r="S46" s="714">
        <f t="shared" si="12"/>
        <v>100</v>
      </c>
      <c r="T46" s="713" t="s">
        <v>17</v>
      </c>
      <c r="U46" s="714">
        <f t="shared" si="13"/>
        <v>100</v>
      </c>
      <c r="V46" s="713" t="s">
        <v>17</v>
      </c>
      <c r="W46" s="714">
        <f t="shared" si="14"/>
        <v>100</v>
      </c>
      <c r="X46" s="1508"/>
      <c r="Y46" s="3527"/>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2"/>
      <c r="M47" s="2923"/>
      <c r="N47" s="2914"/>
      <c r="O47" s="2923"/>
      <c r="P47" s="3354" t="str">
        <f>A47</f>
        <v>成交单价（元/平方米）</v>
      </c>
      <c r="Q47" s="3354"/>
      <c r="R47" s="3383">
        <f>E47</f>
        <v>0</v>
      </c>
      <c r="S47" s="3383"/>
      <c r="T47" s="3383">
        <f>G47</f>
        <v>0</v>
      </c>
      <c r="U47" s="3383"/>
      <c r="V47" s="3383">
        <f>I47</f>
        <v>0</v>
      </c>
      <c r="W47" s="3383"/>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2"/>
      <c r="M48" s="2923"/>
      <c r="N48" s="2914"/>
      <c r="O48" s="2923"/>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2"/>
      <c r="M49" s="2923"/>
      <c r="N49" s="2914"/>
      <c r="O49" s="2923"/>
      <c r="P49" s="3356" t="str">
        <f>A49</f>
        <v>估价对象XX用房的比较价值（楼面单价，元/平方米）</v>
      </c>
      <c r="Q49" s="3357"/>
      <c r="R49" s="3523" t="e">
        <f>IF(F1="售价",ROUND(IF(D48="简单平均",AVERAGE(R48:V48),R48*F48+T48*H48+V48*J48),0),ROUND(IF(D48="简单平均",AVERAGE(R48:V48),R48*F48+T48*H48+V48*J48),1))</f>
        <v>#DIV/0!</v>
      </c>
      <c r="S49" s="3523"/>
      <c r="T49" s="3523"/>
      <c r="U49" s="3523"/>
      <c r="V49" s="3523"/>
      <c r="W49" s="3523"/>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2435</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2346</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2311</v>
      </c>
      <c r="B61" s="466"/>
      <c r="C61" s="478" t="s">
        <v>2413</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2349</v>
      </c>
      <c r="B63" s="484" t="s">
        <v>2315</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2320</v>
      </c>
      <c r="B76" s="484" t="s">
        <v>2357</v>
      </c>
      <c r="C76" s="529" t="s">
        <v>2358</v>
      </c>
      <c r="D76" s="529" t="s">
        <v>2359</v>
      </c>
      <c r="E76" s="529" t="s">
        <v>2360</v>
      </c>
      <c r="F76" s="529" t="s">
        <v>2361</v>
      </c>
      <c r="G76" s="529" t="s">
        <v>2362</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2363</v>
      </c>
      <c r="C78" s="534" t="s">
        <v>2358</v>
      </c>
      <c r="D78" s="534" t="s">
        <v>2359</v>
      </c>
      <c r="E78" s="534" t="s">
        <v>2360</v>
      </c>
      <c r="F78" s="534" t="s">
        <v>2361</v>
      </c>
      <c r="G78" s="534" t="s">
        <v>2362</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2364</v>
      </c>
      <c r="C80" s="534" t="s">
        <v>2358</v>
      </c>
      <c r="D80" s="534" t="s">
        <v>2359</v>
      </c>
      <c r="E80" s="534" t="s">
        <v>2360</v>
      </c>
      <c r="F80" s="534" t="s">
        <v>2361</v>
      </c>
      <c r="G80" s="534" t="s">
        <v>2362</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2416</v>
      </c>
      <c r="C82" s="615" t="s">
        <v>2436</v>
      </c>
      <c r="D82" s="615" t="s">
        <v>2437</v>
      </c>
      <c r="E82" s="615" t="s">
        <v>2438</v>
      </c>
      <c r="F82" s="615" t="s">
        <v>2439</v>
      </c>
      <c r="G82" s="615" t="s">
        <v>2440</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2370</v>
      </c>
      <c r="C84" s="534" t="s">
        <v>2358</v>
      </c>
      <c r="D84" s="534" t="s">
        <v>2359</v>
      </c>
      <c r="E84" s="534" t="s">
        <v>2360</v>
      </c>
      <c r="F84" s="534" t="s">
        <v>2361</v>
      </c>
      <c r="G84" s="534" t="s">
        <v>2362</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2441</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2324</v>
      </c>
      <c r="B100" s="484" t="s">
        <v>2442</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2375</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2377</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2379</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2443</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2444</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2445</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2446</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2381</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8"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537" t="s">
        <v>2412</v>
      </c>
      <c r="Q4" s="3538"/>
      <c r="R4" s="3541" t="s">
        <v>2408</v>
      </c>
      <c r="S4" s="3542"/>
      <c r="T4" s="3541" t="s">
        <v>2409</v>
      </c>
      <c r="U4" s="3542"/>
      <c r="V4" s="3543" t="s">
        <v>2410</v>
      </c>
      <c r="W4" s="3543"/>
      <c r="X4" s="2113"/>
      <c r="Y4" s="3541" t="s">
        <v>2412</v>
      </c>
      <c r="Z4" s="3542"/>
      <c r="AA4" s="3545" t="s">
        <v>2408</v>
      </c>
      <c r="AB4" s="3545" t="s">
        <v>2409</v>
      </c>
      <c r="AC4" s="3534" t="s">
        <v>2410</v>
      </c>
    </row>
    <row r="5" spans="1:29" ht="15">
      <c r="A5" s="363"/>
      <c r="B5" s="364"/>
      <c r="C5" s="3497" t="s">
        <v>2303</v>
      </c>
      <c r="D5" s="3387"/>
      <c r="E5" s="3498" t="s">
        <v>2304</v>
      </c>
      <c r="F5" s="3395"/>
      <c r="G5" s="3497" t="s">
        <v>2305</v>
      </c>
      <c r="H5" s="3387"/>
      <c r="I5" s="3497" t="s">
        <v>2306</v>
      </c>
      <c r="J5" s="3387"/>
      <c r="K5" s="566"/>
      <c r="L5" s="2913"/>
      <c r="M5" s="2914"/>
      <c r="N5" s="2914"/>
      <c r="O5" s="2914"/>
      <c r="P5" s="3539"/>
      <c r="Q5" s="3374"/>
      <c r="R5" s="3379"/>
      <c r="S5" s="3380"/>
      <c r="T5" s="3379"/>
      <c r="U5" s="3380"/>
      <c r="V5" s="3383"/>
      <c r="W5" s="3383"/>
      <c r="X5" s="1508"/>
      <c r="Y5" s="3379"/>
      <c r="Z5" s="3380"/>
      <c r="AA5" s="3365"/>
      <c r="AB5" s="3365"/>
      <c r="AC5" s="3535"/>
    </row>
    <row r="6" spans="1:29" ht="15.75" thickBot="1">
      <c r="A6" s="365"/>
      <c r="B6" s="366"/>
      <c r="C6" s="3384" t="s">
        <v>2307</v>
      </c>
      <c r="D6" s="3385"/>
      <c r="E6" s="3392" t="s">
        <v>2307</v>
      </c>
      <c r="F6" s="3393"/>
      <c r="G6" s="3384" t="s">
        <v>2307</v>
      </c>
      <c r="H6" s="3385"/>
      <c r="I6" s="3384" t="s">
        <v>2307</v>
      </c>
      <c r="J6" s="3385"/>
      <c r="K6" s="566" t="s">
        <v>2308</v>
      </c>
      <c r="L6" s="2913"/>
      <c r="M6" s="2914"/>
      <c r="N6" s="2914"/>
      <c r="O6" s="2914"/>
      <c r="P6" s="3540"/>
      <c r="Q6" s="3376"/>
      <c r="R6" s="3379"/>
      <c r="S6" s="3380"/>
      <c r="T6" s="3381"/>
      <c r="U6" s="3382"/>
      <c r="V6" s="3383"/>
      <c r="W6" s="3383"/>
      <c r="X6" s="1508"/>
      <c r="Y6" s="3381"/>
      <c r="Z6" s="3382"/>
      <c r="AA6" s="3366"/>
      <c r="AB6" s="3366"/>
      <c r="AC6" s="3536"/>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44"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44" t="s">
        <v>2313</v>
      </c>
      <c r="Q8" s="3389"/>
      <c r="R8" s="709" t="s">
        <v>17</v>
      </c>
      <c r="S8" s="710">
        <f t="shared" si="0"/>
        <v>0</v>
      </c>
      <c r="T8" s="709" t="s">
        <v>17</v>
      </c>
      <c r="U8" s="710">
        <f t="shared" si="1"/>
        <v>0</v>
      </c>
      <c r="V8" s="709" t="s">
        <v>17</v>
      </c>
      <c r="W8" s="710">
        <f t="shared" si="2"/>
        <v>0</v>
      </c>
      <c r="X8" s="711"/>
      <c r="Y8" s="3388" t="s">
        <v>2313</v>
      </c>
      <c r="Z8" s="3389"/>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5"/>
      <c r="M9" s="2916"/>
      <c r="N9" s="2916"/>
      <c r="O9" s="2916"/>
      <c r="P9" s="3530"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7"/>
      <c r="M10" s="2918"/>
      <c r="N10" s="2918"/>
      <c r="O10" s="2918"/>
      <c r="P10" s="3530"/>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9"/>
      <c r="M11" s="2914"/>
      <c r="N11" s="2914"/>
      <c r="O11" s="2914"/>
      <c r="P11" s="3530"/>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5"/>
      <c r="M12" s="2916"/>
      <c r="N12" s="2916"/>
      <c r="O12" s="2916"/>
      <c r="P12" s="3530"/>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20"/>
      <c r="M13" s="2914"/>
      <c r="N13" s="2914"/>
      <c r="O13" s="2914"/>
      <c r="P13" s="3530"/>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530"/>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28" t="s">
        <v>2321</v>
      </c>
      <c r="Q15" s="1505" t="str">
        <f t="shared" si="6"/>
        <v>办公集聚程度</v>
      </c>
      <c r="R15" s="713" t="s">
        <v>17</v>
      </c>
      <c r="S15" s="714">
        <f t="shared" si="0"/>
        <v>100</v>
      </c>
      <c r="T15" s="713" t="s">
        <v>17</v>
      </c>
      <c r="U15" s="714">
        <f t="shared" si="1"/>
        <v>100</v>
      </c>
      <c r="V15" s="713" t="s">
        <v>17</v>
      </c>
      <c r="W15" s="714">
        <f t="shared" si="2"/>
        <v>100</v>
      </c>
      <c r="X15" s="1508"/>
      <c r="Y15" s="3359"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29"/>
      <c r="Q16" s="1505"/>
      <c r="R16" s="713"/>
      <c r="S16" s="714"/>
      <c r="T16" s="713"/>
      <c r="U16" s="714"/>
      <c r="V16" s="713"/>
      <c r="W16" s="714"/>
      <c r="X16" s="1508"/>
      <c r="Y16" s="3360"/>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29"/>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29"/>
      <c r="Q18" s="1505"/>
      <c r="R18" s="713"/>
      <c r="S18" s="714"/>
      <c r="T18" s="713"/>
      <c r="U18" s="714"/>
      <c r="V18" s="713"/>
      <c r="W18" s="714"/>
      <c r="X18" s="1508"/>
      <c r="Y18" s="3360"/>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29"/>
      <c r="Q19" s="1505" t="str">
        <f>B19</f>
        <v>公共配套设施</v>
      </c>
      <c r="R19" s="713" t="s">
        <v>17</v>
      </c>
      <c r="S19" s="714">
        <f>F19</f>
        <v>100</v>
      </c>
      <c r="T19" s="713" t="s">
        <v>17</v>
      </c>
      <c r="U19" s="714">
        <f>H19</f>
        <v>100</v>
      </c>
      <c r="V19" s="713" t="s">
        <v>17</v>
      </c>
      <c r="W19" s="714">
        <f>J19</f>
        <v>100</v>
      </c>
      <c r="X19" s="1508"/>
      <c r="Y19" s="3360"/>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29"/>
      <c r="Q20" s="1505"/>
      <c r="R20" s="713"/>
      <c r="S20" s="714"/>
      <c r="T20" s="713"/>
      <c r="U20" s="714"/>
      <c r="V20" s="713"/>
      <c r="W20" s="714"/>
      <c r="X20" s="1508"/>
      <c r="Y20" s="3360"/>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29"/>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29"/>
      <c r="Q22" s="1505"/>
      <c r="R22" s="713"/>
      <c r="S22" s="714"/>
      <c r="T22" s="713"/>
      <c r="U22" s="714"/>
      <c r="V22" s="713"/>
      <c r="W22" s="714"/>
      <c r="X22" s="1508"/>
      <c r="Y22" s="3360"/>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29"/>
      <c r="Q23" s="1505" t="str">
        <f>B23</f>
        <v>环境质量</v>
      </c>
      <c r="R23" s="713" t="s">
        <v>17</v>
      </c>
      <c r="S23" s="714">
        <f>F23</f>
        <v>100</v>
      </c>
      <c r="T23" s="713" t="s">
        <v>17</v>
      </c>
      <c r="U23" s="714">
        <f>H23</f>
        <v>100</v>
      </c>
      <c r="V23" s="713" t="s">
        <v>17</v>
      </c>
      <c r="W23" s="714">
        <f>J23</f>
        <v>100</v>
      </c>
      <c r="X23" s="1508"/>
      <c r="Y23" s="3360"/>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29"/>
      <c r="Q24" s="1505"/>
      <c r="R24" s="713"/>
      <c r="S24" s="714"/>
      <c r="T24" s="713"/>
      <c r="U24" s="714"/>
      <c r="V24" s="713"/>
      <c r="W24" s="714"/>
      <c r="X24" s="1508"/>
      <c r="Y24" s="3360"/>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29"/>
      <c r="Q25" s="1505" t="str">
        <f>B25</f>
        <v>毗邻道路的类型与等级</v>
      </c>
      <c r="R25" s="713" t="s">
        <v>17</v>
      </c>
      <c r="S25" s="714">
        <f>F25</f>
        <v>100</v>
      </c>
      <c r="T25" s="713" t="s">
        <v>17</v>
      </c>
      <c r="U25" s="714">
        <f>H25</f>
        <v>100</v>
      </c>
      <c r="V25" s="713" t="s">
        <v>17</v>
      </c>
      <c r="W25" s="714">
        <f>J25</f>
        <v>100</v>
      </c>
      <c r="X25" s="1508"/>
      <c r="Y25" s="3360"/>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29"/>
      <c r="Q26" s="1505"/>
      <c r="R26" s="713"/>
      <c r="S26" s="714"/>
      <c r="T26" s="713"/>
      <c r="U26" s="714"/>
      <c r="V26" s="713"/>
      <c r="W26" s="714"/>
      <c r="X26" s="1508"/>
      <c r="Y26" s="3360"/>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29"/>
      <c r="Q27" s="1505" t="str">
        <f t="shared" ref="Q27:Q47" si="11">B27</f>
        <v>楼层</v>
      </c>
      <c r="R27" s="713" t="s">
        <v>17</v>
      </c>
      <c r="S27" s="714">
        <f>F27</f>
        <v>100</v>
      </c>
      <c r="T27" s="713" t="s">
        <v>17</v>
      </c>
      <c r="U27" s="714">
        <f>H27</f>
        <v>100</v>
      </c>
      <c r="V27" s="713" t="s">
        <v>17</v>
      </c>
      <c r="W27" s="714">
        <f>J27</f>
        <v>100</v>
      </c>
      <c r="X27" s="1508"/>
      <c r="Y27" s="3360"/>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29"/>
      <c r="Q28" s="1496" t="str">
        <f t="shared" si="11"/>
        <v>朝向</v>
      </c>
      <c r="R28" s="709" t="s">
        <v>17</v>
      </c>
      <c r="S28" s="710">
        <f>F28</f>
        <v>100</v>
      </c>
      <c r="T28" s="709" t="s">
        <v>17</v>
      </c>
      <c r="U28" s="710">
        <f>H28</f>
        <v>100</v>
      </c>
      <c r="V28" s="709" t="s">
        <v>17</v>
      </c>
      <c r="W28" s="710">
        <f>J28</f>
        <v>100</v>
      </c>
      <c r="X28" s="711"/>
      <c r="Y28" s="3360"/>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29"/>
      <c r="Q29" s="1505">
        <f t="shared" si="11"/>
        <v>111</v>
      </c>
      <c r="R29" s="713" t="s">
        <v>17</v>
      </c>
      <c r="S29" s="714">
        <f t="shared" ref="S29:S47" si="12">F29</f>
        <v>100</v>
      </c>
      <c r="T29" s="713" t="s">
        <v>17</v>
      </c>
      <c r="U29" s="714">
        <f t="shared" ref="U29:U47" si="13">H29</f>
        <v>100</v>
      </c>
      <c r="V29" s="713" t="s">
        <v>17</v>
      </c>
      <c r="W29" s="714">
        <f t="shared" ref="W29:W47" si="14">J29</f>
        <v>100</v>
      </c>
      <c r="X29" s="1508"/>
      <c r="Y29" s="3360"/>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29"/>
      <c r="Q30" s="1505">
        <f t="shared" si="11"/>
        <v>111</v>
      </c>
      <c r="R30" s="713" t="s">
        <v>17</v>
      </c>
      <c r="S30" s="714">
        <f t="shared" si="12"/>
        <v>100</v>
      </c>
      <c r="T30" s="713" t="s">
        <v>17</v>
      </c>
      <c r="U30" s="714">
        <f t="shared" si="13"/>
        <v>100</v>
      </c>
      <c r="V30" s="713" t="s">
        <v>17</v>
      </c>
      <c r="W30" s="714">
        <f t="shared" si="14"/>
        <v>100</v>
      </c>
      <c r="X30" s="1508"/>
      <c r="Y30" s="3360"/>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29"/>
      <c r="Q31" s="1505">
        <f t="shared" si="11"/>
        <v>111</v>
      </c>
      <c r="R31" s="713" t="s">
        <v>17</v>
      </c>
      <c r="S31" s="714">
        <f t="shared" si="12"/>
        <v>100</v>
      </c>
      <c r="T31" s="713" t="s">
        <v>17</v>
      </c>
      <c r="U31" s="714">
        <f t="shared" si="13"/>
        <v>100</v>
      </c>
      <c r="V31" s="713" t="s">
        <v>17</v>
      </c>
      <c r="W31" s="714">
        <f t="shared" si="14"/>
        <v>100</v>
      </c>
      <c r="X31" s="1508"/>
      <c r="Y31" s="3360"/>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29"/>
      <c r="Q32" s="1505">
        <f t="shared" si="11"/>
        <v>111</v>
      </c>
      <c r="R32" s="713" t="s">
        <v>17</v>
      </c>
      <c r="S32" s="714">
        <f t="shared" si="12"/>
        <v>100</v>
      </c>
      <c r="T32" s="713" t="s">
        <v>17</v>
      </c>
      <c r="U32" s="714">
        <f t="shared" si="13"/>
        <v>100</v>
      </c>
      <c r="V32" s="713" t="s">
        <v>17</v>
      </c>
      <c r="W32" s="714">
        <f t="shared" si="14"/>
        <v>100</v>
      </c>
      <c r="X32" s="1508"/>
      <c r="Y32" s="3360"/>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24" t="s">
        <v>2326</v>
      </c>
      <c r="Q33" s="1505" t="str">
        <f t="shared" si="11"/>
        <v>建筑类型</v>
      </c>
      <c r="R33" s="713" t="s">
        <v>17</v>
      </c>
      <c r="S33" s="714">
        <f t="shared" si="12"/>
        <v>100</v>
      </c>
      <c r="T33" s="713" t="s">
        <v>17</v>
      </c>
      <c r="U33" s="714">
        <f t="shared" si="13"/>
        <v>100</v>
      </c>
      <c r="V33" s="713" t="s">
        <v>17</v>
      </c>
      <c r="W33" s="714">
        <f t="shared" si="14"/>
        <v>100</v>
      </c>
      <c r="X33" s="1508"/>
      <c r="Y33" s="3362"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9"/>
      <c r="M34" s="2921"/>
      <c r="N34" s="2921"/>
      <c r="O34" s="2921"/>
      <c r="P34" s="3525"/>
      <c r="Q34" s="715" t="str">
        <f t="shared" si="11"/>
        <v>项目建筑规模</v>
      </c>
      <c r="R34" s="716" t="s">
        <v>17</v>
      </c>
      <c r="S34" s="717" t="e">
        <f t="shared" si="12"/>
        <v>#N/A</v>
      </c>
      <c r="T34" s="716" t="s">
        <v>17</v>
      </c>
      <c r="U34" s="717" t="e">
        <f t="shared" si="13"/>
        <v>#N/A</v>
      </c>
      <c r="V34" s="716" t="s">
        <v>17</v>
      </c>
      <c r="W34" s="717" t="e">
        <f t="shared" si="14"/>
        <v>#N/A</v>
      </c>
      <c r="X34" s="718"/>
      <c r="Y34" s="3362"/>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25"/>
      <c r="Q35" s="1505" t="str">
        <f t="shared" si="11"/>
        <v>建筑结构</v>
      </c>
      <c r="R35" s="713" t="s">
        <v>17</v>
      </c>
      <c r="S35" s="714">
        <f t="shared" si="12"/>
        <v>100</v>
      </c>
      <c r="T35" s="713" t="s">
        <v>17</v>
      </c>
      <c r="U35" s="714">
        <f t="shared" si="13"/>
        <v>100</v>
      </c>
      <c r="V35" s="713" t="s">
        <v>17</v>
      </c>
      <c r="W35" s="714">
        <f t="shared" si="14"/>
        <v>100</v>
      </c>
      <c r="X35" s="1508"/>
      <c r="Y35" s="3362"/>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25"/>
      <c r="Q36" s="1505" t="str">
        <f t="shared" si="11"/>
        <v>公共部分装修</v>
      </c>
      <c r="R36" s="713" t="s">
        <v>17</v>
      </c>
      <c r="S36" s="714">
        <f t="shared" si="12"/>
        <v>100</v>
      </c>
      <c r="T36" s="713" t="s">
        <v>17</v>
      </c>
      <c r="U36" s="714">
        <f t="shared" si="13"/>
        <v>100</v>
      </c>
      <c r="V36" s="713" t="s">
        <v>17</v>
      </c>
      <c r="W36" s="714">
        <f t="shared" si="14"/>
        <v>100</v>
      </c>
      <c r="X36" s="1508"/>
      <c r="Y36" s="3362"/>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25"/>
      <c r="Q37" s="1505" t="str">
        <f t="shared" si="11"/>
        <v>成新度</v>
      </c>
      <c r="R37" s="713" t="s">
        <v>17</v>
      </c>
      <c r="S37" s="714" t="e">
        <f t="shared" si="12"/>
        <v>#N/A</v>
      </c>
      <c r="T37" s="713" t="s">
        <v>17</v>
      </c>
      <c r="U37" s="714" t="e">
        <f t="shared" si="13"/>
        <v>#N/A</v>
      </c>
      <c r="V37" s="713" t="s">
        <v>17</v>
      </c>
      <c r="W37" s="714" t="e">
        <f t="shared" si="14"/>
        <v>#N/A</v>
      </c>
      <c r="X37" s="1508"/>
      <c r="Y37" s="3362"/>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25"/>
      <c r="Q38" s="1496" t="str">
        <f t="shared" si="11"/>
        <v>写字楼等级</v>
      </c>
      <c r="R38" s="709" t="s">
        <v>17</v>
      </c>
      <c r="S38" s="710">
        <f t="shared" si="12"/>
        <v>100</v>
      </c>
      <c r="T38" s="709" t="s">
        <v>17</v>
      </c>
      <c r="U38" s="710">
        <f t="shared" si="13"/>
        <v>100</v>
      </c>
      <c r="V38" s="709" t="s">
        <v>17</v>
      </c>
      <c r="W38" s="710">
        <f t="shared" si="14"/>
        <v>100</v>
      </c>
      <c r="X38" s="711"/>
      <c r="Y38" s="3362"/>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25" t="s">
        <v>2326</v>
      </c>
      <c r="Q39" s="1505" t="str">
        <f t="shared" si="11"/>
        <v>物业管理</v>
      </c>
      <c r="R39" s="713" t="s">
        <v>17</v>
      </c>
      <c r="S39" s="714">
        <f t="shared" si="12"/>
        <v>100</v>
      </c>
      <c r="T39" s="713" t="s">
        <v>17</v>
      </c>
      <c r="U39" s="714">
        <f t="shared" si="13"/>
        <v>100</v>
      </c>
      <c r="V39" s="713" t="s">
        <v>17</v>
      </c>
      <c r="W39" s="714">
        <f t="shared" si="14"/>
        <v>100</v>
      </c>
      <c r="X39" s="1508"/>
      <c r="Y39" s="3362"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25"/>
      <c r="Q40" s="1505" t="str">
        <f t="shared" si="11"/>
        <v>市政基础设施</v>
      </c>
      <c r="R40" s="713" t="s">
        <v>17</v>
      </c>
      <c r="S40" s="714">
        <f t="shared" si="12"/>
        <v>100</v>
      </c>
      <c r="T40" s="713" t="s">
        <v>17</v>
      </c>
      <c r="U40" s="714">
        <f t="shared" si="13"/>
        <v>100</v>
      </c>
      <c r="V40" s="713" t="s">
        <v>17</v>
      </c>
      <c r="W40" s="714">
        <f t="shared" si="14"/>
        <v>100</v>
      </c>
      <c r="X40" s="1508"/>
      <c r="Y40" s="3362"/>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25"/>
      <c r="Q41" s="1505" t="str">
        <f t="shared" si="11"/>
        <v>层高</v>
      </c>
      <c r="R41" s="713" t="s">
        <v>17</v>
      </c>
      <c r="S41" s="714">
        <f t="shared" si="12"/>
        <v>100</v>
      </c>
      <c r="T41" s="713" t="s">
        <v>17</v>
      </c>
      <c r="U41" s="714">
        <f t="shared" si="13"/>
        <v>100</v>
      </c>
      <c r="V41" s="713" t="s">
        <v>17</v>
      </c>
      <c r="W41" s="714">
        <f t="shared" si="14"/>
        <v>100</v>
      </c>
      <c r="X41" s="1508"/>
      <c r="Y41" s="3362"/>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25"/>
      <c r="Q42" s="715" t="str">
        <f t="shared" si="11"/>
        <v>单套建筑面积</v>
      </c>
      <c r="R42" s="716" t="s">
        <v>17</v>
      </c>
      <c r="S42" s="717">
        <f t="shared" si="12"/>
        <v>100</v>
      </c>
      <c r="T42" s="716" t="s">
        <v>17</v>
      </c>
      <c r="U42" s="717">
        <f t="shared" si="13"/>
        <v>100</v>
      </c>
      <c r="V42" s="716" t="s">
        <v>17</v>
      </c>
      <c r="W42" s="717">
        <f t="shared" si="14"/>
        <v>100</v>
      </c>
      <c r="X42" s="718"/>
      <c r="Y42" s="3362"/>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25"/>
      <c r="Q43" s="1505" t="str">
        <f t="shared" si="11"/>
        <v>内部装修</v>
      </c>
      <c r="R43" s="713" t="s">
        <v>17</v>
      </c>
      <c r="S43" s="714">
        <f t="shared" si="12"/>
        <v>100</v>
      </c>
      <c r="T43" s="713" t="s">
        <v>17</v>
      </c>
      <c r="U43" s="714">
        <f t="shared" si="13"/>
        <v>100</v>
      </c>
      <c r="V43" s="713" t="s">
        <v>17</v>
      </c>
      <c r="W43" s="714">
        <f t="shared" si="14"/>
        <v>100</v>
      </c>
      <c r="X43" s="1508"/>
      <c r="Y43" s="3362"/>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25"/>
      <c r="Q44" s="1505" t="str">
        <f t="shared" si="11"/>
        <v>内部装修维护情况</v>
      </c>
      <c r="R44" s="713" t="s">
        <v>17</v>
      </c>
      <c r="S44" s="714">
        <f t="shared" si="12"/>
        <v>100</v>
      </c>
      <c r="T44" s="713" t="s">
        <v>17</v>
      </c>
      <c r="U44" s="714">
        <f t="shared" si="13"/>
        <v>100</v>
      </c>
      <c r="V44" s="713" t="s">
        <v>17</v>
      </c>
      <c r="W44" s="714">
        <f t="shared" si="14"/>
        <v>100</v>
      </c>
      <c r="X44" s="1508"/>
      <c r="Y44" s="3362"/>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5"/>
      <c r="M45" s="2916"/>
      <c r="N45" s="2916"/>
      <c r="O45" s="2916"/>
      <c r="P45" s="3525"/>
      <c r="Q45" s="1496">
        <f t="shared" si="11"/>
        <v>111</v>
      </c>
      <c r="R45" s="709" t="s">
        <v>17</v>
      </c>
      <c r="S45" s="710">
        <f t="shared" si="12"/>
        <v>100</v>
      </c>
      <c r="T45" s="709" t="s">
        <v>17</v>
      </c>
      <c r="U45" s="710">
        <f t="shared" si="13"/>
        <v>100</v>
      </c>
      <c r="V45" s="709" t="s">
        <v>17</v>
      </c>
      <c r="W45" s="710">
        <f t="shared" si="14"/>
        <v>100</v>
      </c>
      <c r="X45" s="711"/>
      <c r="Y45" s="3362"/>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25"/>
      <c r="Q46" s="1505">
        <f t="shared" si="11"/>
        <v>111</v>
      </c>
      <c r="R46" s="713" t="s">
        <v>17</v>
      </c>
      <c r="S46" s="714">
        <f t="shared" si="12"/>
        <v>100</v>
      </c>
      <c r="T46" s="713" t="s">
        <v>17</v>
      </c>
      <c r="U46" s="714">
        <f t="shared" si="13"/>
        <v>100</v>
      </c>
      <c r="V46" s="713" t="s">
        <v>17</v>
      </c>
      <c r="W46" s="714">
        <f t="shared" si="14"/>
        <v>100</v>
      </c>
      <c r="X46" s="1508"/>
      <c r="Y46" s="3362"/>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26"/>
      <c r="Q47" s="1505">
        <f t="shared" si="11"/>
        <v>111</v>
      </c>
      <c r="R47" s="713" t="s">
        <v>17</v>
      </c>
      <c r="S47" s="714">
        <f t="shared" si="12"/>
        <v>100</v>
      </c>
      <c r="T47" s="713" t="s">
        <v>17</v>
      </c>
      <c r="U47" s="714">
        <f t="shared" si="13"/>
        <v>100</v>
      </c>
      <c r="V47" s="713" t="s">
        <v>17</v>
      </c>
      <c r="W47" s="714">
        <f t="shared" si="14"/>
        <v>100</v>
      </c>
      <c r="X47" s="1508"/>
      <c r="Y47" s="3527"/>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2"/>
      <c r="M48" s="2914"/>
      <c r="N48" s="2914"/>
      <c r="O48" s="2914"/>
      <c r="P48" s="3530" t="str">
        <f>A48</f>
        <v>成交单价（元/平方米）</v>
      </c>
      <c r="Q48" s="3354"/>
      <c r="R48" s="3355">
        <f>E48</f>
        <v>0</v>
      </c>
      <c r="S48" s="3355"/>
      <c r="T48" s="3355">
        <f>G48</f>
        <v>0</v>
      </c>
      <c r="U48" s="3355"/>
      <c r="V48" s="3355">
        <f>I48</f>
        <v>0</v>
      </c>
      <c r="W48" s="3355"/>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2"/>
      <c r="M49" s="2914"/>
      <c r="N49" s="2914"/>
      <c r="O49" s="2914"/>
      <c r="P49" s="3530" t="str">
        <f>A49</f>
        <v>比较价值（元/平方米）</v>
      </c>
      <c r="Q49" s="3354"/>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2"/>
      <c r="M50" s="2914"/>
      <c r="N50" s="2914"/>
      <c r="O50" s="2914"/>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2435</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2346</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2311</v>
      </c>
      <c r="B62" s="466"/>
      <c r="C62" s="478" t="s">
        <v>2413</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2349</v>
      </c>
      <c r="B64" s="484" t="s">
        <v>2315</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2320</v>
      </c>
      <c r="B77" s="484" t="s">
        <v>2458</v>
      </c>
      <c r="C77" s="529" t="s">
        <v>2358</v>
      </c>
      <c r="D77" s="529" t="s">
        <v>2359</v>
      </c>
      <c r="E77" s="529" t="s">
        <v>2360</v>
      </c>
      <c r="F77" s="529" t="s">
        <v>2361</v>
      </c>
      <c r="G77" s="529" t="s">
        <v>2362</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2363</v>
      </c>
      <c r="C79" s="534" t="s">
        <v>2358</v>
      </c>
      <c r="D79" s="534" t="s">
        <v>2359</v>
      </c>
      <c r="E79" s="534" t="s">
        <v>2360</v>
      </c>
      <c r="F79" s="534" t="s">
        <v>2361</v>
      </c>
      <c r="G79" s="534" t="s">
        <v>2362</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2364</v>
      </c>
      <c r="C81" s="534" t="s">
        <v>2358</v>
      </c>
      <c r="D81" s="534" t="s">
        <v>2359</v>
      </c>
      <c r="E81" s="534" t="s">
        <v>2360</v>
      </c>
      <c r="F81" s="534" t="s">
        <v>2361</v>
      </c>
      <c r="G81" s="534" t="s">
        <v>2362</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2450</v>
      </c>
      <c r="C83" s="615" t="s">
        <v>2436</v>
      </c>
      <c r="D83" s="615" t="s">
        <v>2437</v>
      </c>
      <c r="E83" s="615" t="s">
        <v>2438</v>
      </c>
      <c r="F83" s="615" t="s">
        <v>2439</v>
      </c>
      <c r="G83" s="615" t="s">
        <v>2440</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2459</v>
      </c>
      <c r="C85" s="534" t="s">
        <v>2358</v>
      </c>
      <c r="D85" s="534" t="s">
        <v>2359</v>
      </c>
      <c r="E85" s="534" t="s">
        <v>2360</v>
      </c>
      <c r="F85" s="534" t="s">
        <v>2361</v>
      </c>
      <c r="G85" s="534" t="s">
        <v>2362</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2460</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2324</v>
      </c>
      <c r="B101" s="484" t="s">
        <v>2373</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2375</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2377</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2461</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2378</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2379</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2462</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2445</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2381</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1043"/>
      <c r="M4" s="1044"/>
      <c r="N4" s="1044"/>
      <c r="O4" s="104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5">
      <c r="A5" s="363"/>
      <c r="B5" s="364"/>
      <c r="C5" s="3497" t="s">
        <v>2303</v>
      </c>
      <c r="D5" s="3387"/>
      <c r="E5" s="3498" t="s">
        <v>2304</v>
      </c>
      <c r="F5" s="3395"/>
      <c r="G5" s="3497" t="s">
        <v>2305</v>
      </c>
      <c r="H5" s="3387"/>
      <c r="I5" s="3497" t="s">
        <v>2306</v>
      </c>
      <c r="J5" s="3387"/>
      <c r="K5" s="566"/>
      <c r="L5" s="1043"/>
      <c r="M5" s="1044"/>
      <c r="N5" s="1044"/>
      <c r="O5" s="1044"/>
      <c r="P5" s="3373"/>
      <c r="Q5" s="3374"/>
      <c r="R5" s="3379"/>
      <c r="S5" s="3380"/>
      <c r="T5" s="3379"/>
      <c r="U5" s="3380"/>
      <c r="V5" s="3383"/>
      <c r="W5" s="3383"/>
      <c r="X5" s="1508"/>
      <c r="Y5" s="3379"/>
      <c r="Z5" s="3380"/>
      <c r="AA5" s="3365"/>
      <c r="AB5" s="3365"/>
      <c r="AC5" s="3365"/>
    </row>
    <row r="6" spans="1:29" ht="15.75" thickBot="1">
      <c r="A6" s="365"/>
      <c r="B6" s="366"/>
      <c r="C6" s="3384" t="s">
        <v>2307</v>
      </c>
      <c r="D6" s="3385"/>
      <c r="E6" s="3392" t="s">
        <v>2307</v>
      </c>
      <c r="F6" s="3393"/>
      <c r="G6" s="3384" t="s">
        <v>2307</v>
      </c>
      <c r="H6" s="3385"/>
      <c r="I6" s="3384" t="s">
        <v>2307</v>
      </c>
      <c r="J6" s="3385"/>
      <c r="K6" s="566" t="s">
        <v>2308</v>
      </c>
      <c r="L6" s="1043"/>
      <c r="M6" s="1044"/>
      <c r="N6" s="1044"/>
      <c r="O6" s="104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88" t="s">
        <v>2313</v>
      </c>
      <c r="Q8" s="3389"/>
      <c r="R8" s="709" t="s">
        <v>17</v>
      </c>
      <c r="S8" s="710">
        <f t="shared" si="0"/>
        <v>0</v>
      </c>
      <c r="T8" s="709" t="s">
        <v>17</v>
      </c>
      <c r="U8" s="710">
        <f t="shared" si="1"/>
        <v>0</v>
      </c>
      <c r="V8" s="709" t="s">
        <v>17</v>
      </c>
      <c r="W8" s="710">
        <f t="shared" si="2"/>
        <v>0</v>
      </c>
      <c r="X8" s="711"/>
      <c r="Y8" s="3388" t="s">
        <v>2313</v>
      </c>
      <c r="Z8" s="3389"/>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354"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354"/>
      <c r="Q10" s="1496" t="str">
        <f t="shared" si="6"/>
        <v>土地使用年限（年）</v>
      </c>
      <c r="R10" s="709" t="s">
        <v>17</v>
      </c>
      <c r="S10" s="710">
        <f t="shared" si="0"/>
        <v>100</v>
      </c>
      <c r="T10" s="709" t="s">
        <v>17</v>
      </c>
      <c r="U10" s="710">
        <f t="shared" si="1"/>
        <v>100</v>
      </c>
      <c r="V10" s="709" t="s">
        <v>17</v>
      </c>
      <c r="W10" s="710">
        <f t="shared" si="2"/>
        <v>100</v>
      </c>
      <c r="X10" s="711"/>
      <c r="Y10" s="3363"/>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354"/>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354"/>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59" t="s">
        <v>2321</v>
      </c>
      <c r="Q15" s="1505" t="str">
        <f t="shared" si="6"/>
        <v>产业集聚程度</v>
      </c>
      <c r="R15" s="713" t="s">
        <v>17</v>
      </c>
      <c r="S15" s="714">
        <f t="shared" si="0"/>
        <v>100</v>
      </c>
      <c r="T15" s="713" t="s">
        <v>17</v>
      </c>
      <c r="U15" s="714">
        <f t="shared" si="1"/>
        <v>100</v>
      </c>
      <c r="V15" s="713" t="s">
        <v>17</v>
      </c>
      <c r="W15" s="714">
        <f t="shared" si="2"/>
        <v>100</v>
      </c>
      <c r="X15" s="1508"/>
      <c r="Y15" s="3359"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360"/>
      <c r="Q16" s="1505"/>
      <c r="R16" s="713"/>
      <c r="S16" s="714"/>
      <c r="T16" s="713"/>
      <c r="U16" s="714"/>
      <c r="V16" s="713"/>
      <c r="W16" s="714"/>
      <c r="X16" s="1508"/>
      <c r="Y16" s="3360"/>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0"/>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360"/>
      <c r="Q18" s="1505"/>
      <c r="R18" s="713"/>
      <c r="S18" s="714"/>
      <c r="T18" s="713"/>
      <c r="U18" s="714"/>
      <c r="V18" s="713"/>
      <c r="W18" s="714"/>
      <c r="X18" s="1508"/>
      <c r="Y18" s="3360"/>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0"/>
      <c r="Q19" s="1505" t="str">
        <f>B19</f>
        <v>公共配套设施</v>
      </c>
      <c r="R19" s="713" t="s">
        <v>17</v>
      </c>
      <c r="S19" s="714">
        <f>F19</f>
        <v>100</v>
      </c>
      <c r="T19" s="713" t="s">
        <v>17</v>
      </c>
      <c r="U19" s="714">
        <f>H19</f>
        <v>100</v>
      </c>
      <c r="V19" s="713" t="s">
        <v>17</v>
      </c>
      <c r="W19" s="714">
        <f>J19</f>
        <v>100</v>
      </c>
      <c r="X19" s="1508"/>
      <c r="Y19" s="336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360"/>
      <c r="Q20" s="1505"/>
      <c r="R20" s="713"/>
      <c r="S20" s="714"/>
      <c r="T20" s="713"/>
      <c r="U20" s="714"/>
      <c r="V20" s="713"/>
      <c r="W20" s="714"/>
      <c r="X20" s="1508"/>
      <c r="Y20" s="3360"/>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0"/>
      <c r="Q21" s="1505" t="str">
        <f>B21</f>
        <v>基础设施水平</v>
      </c>
      <c r="R21" s="713" t="s">
        <v>17</v>
      </c>
      <c r="S21" s="714">
        <f>F21</f>
        <v>100</v>
      </c>
      <c r="T21" s="713" t="s">
        <v>17</v>
      </c>
      <c r="U21" s="714">
        <f>H21</f>
        <v>100</v>
      </c>
      <c r="V21" s="713" t="s">
        <v>17</v>
      </c>
      <c r="W21" s="714">
        <f>J21</f>
        <v>100</v>
      </c>
      <c r="X21" s="1508"/>
      <c r="Y21" s="336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360"/>
      <c r="Q22" s="1505"/>
      <c r="R22" s="713"/>
      <c r="S22" s="714"/>
      <c r="T22" s="713"/>
      <c r="U22" s="714"/>
      <c r="V22" s="713"/>
      <c r="W22" s="714"/>
      <c r="X22" s="1508"/>
      <c r="Y22" s="3360"/>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0"/>
      <c r="Q23" s="1505" t="str">
        <f>B23</f>
        <v>环境质量</v>
      </c>
      <c r="R23" s="713" t="s">
        <v>17</v>
      </c>
      <c r="S23" s="714">
        <f>F23</f>
        <v>100</v>
      </c>
      <c r="T23" s="713" t="s">
        <v>17</v>
      </c>
      <c r="U23" s="714">
        <f>H23</f>
        <v>100</v>
      </c>
      <c r="V23" s="713" t="s">
        <v>17</v>
      </c>
      <c r="W23" s="714">
        <f>J23</f>
        <v>100</v>
      </c>
      <c r="X23" s="1508"/>
      <c r="Y23" s="3360"/>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360"/>
      <c r="Q24" s="1505"/>
      <c r="R24" s="713"/>
      <c r="S24" s="714"/>
      <c r="T24" s="713"/>
      <c r="U24" s="714"/>
      <c r="V24" s="713"/>
      <c r="W24" s="714"/>
      <c r="X24" s="1508"/>
      <c r="Y24" s="3360"/>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0"/>
      <c r="Q25" s="1505">
        <f>B25</f>
        <v>111</v>
      </c>
      <c r="R25" s="713" t="s">
        <v>17</v>
      </c>
      <c r="S25" s="714">
        <f>F25</f>
        <v>100</v>
      </c>
      <c r="T25" s="713" t="s">
        <v>17</v>
      </c>
      <c r="U25" s="714">
        <f>H25</f>
        <v>100</v>
      </c>
      <c r="V25" s="713" t="s">
        <v>17</v>
      </c>
      <c r="W25" s="714">
        <f>J25</f>
        <v>100</v>
      </c>
      <c r="X25" s="1508"/>
      <c r="Y25" s="3360"/>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0"/>
      <c r="Q26" s="1505">
        <f t="shared" ref="Q26:Q40" si="11">B26</f>
        <v>111</v>
      </c>
      <c r="R26" s="713" t="s">
        <v>17</v>
      </c>
      <c r="S26" s="714">
        <f>F26</f>
        <v>100</v>
      </c>
      <c r="T26" s="713" t="s">
        <v>17</v>
      </c>
      <c r="U26" s="714">
        <f>H26</f>
        <v>100</v>
      </c>
      <c r="V26" s="713" t="s">
        <v>17</v>
      </c>
      <c r="W26" s="714">
        <f>J26</f>
        <v>100</v>
      </c>
      <c r="X26" s="1508"/>
      <c r="Y26" s="3360"/>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0"/>
      <c r="Q27" s="1496">
        <f t="shared" si="11"/>
        <v>111</v>
      </c>
      <c r="R27" s="709" t="s">
        <v>17</v>
      </c>
      <c r="S27" s="710">
        <f>F27</f>
        <v>100</v>
      </c>
      <c r="T27" s="709" t="s">
        <v>17</v>
      </c>
      <c r="U27" s="710">
        <f>H27</f>
        <v>100</v>
      </c>
      <c r="V27" s="709" t="s">
        <v>17</v>
      </c>
      <c r="W27" s="710">
        <f>J27</f>
        <v>100</v>
      </c>
      <c r="X27" s="711"/>
      <c r="Y27" s="3360"/>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0"/>
      <c r="Q28" s="1505">
        <f t="shared" si="11"/>
        <v>111</v>
      </c>
      <c r="R28" s="713" t="s">
        <v>17</v>
      </c>
      <c r="S28" s="714">
        <f t="shared" ref="S28:S40" si="12">F28</f>
        <v>100</v>
      </c>
      <c r="T28" s="713" t="s">
        <v>17</v>
      </c>
      <c r="U28" s="714">
        <f t="shared" ref="U28:U40" si="13">H28</f>
        <v>100</v>
      </c>
      <c r="V28" s="713" t="s">
        <v>17</v>
      </c>
      <c r="W28" s="714">
        <f t="shared" ref="W28:W40" si="14">J28</f>
        <v>100</v>
      </c>
      <c r="X28" s="1508"/>
      <c r="Y28" s="3360"/>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361" t="s">
        <v>2326</v>
      </c>
      <c r="Q29" s="1505" t="str">
        <f t="shared" si="11"/>
        <v>建筑类型</v>
      </c>
      <c r="R29" s="713" t="s">
        <v>17</v>
      </c>
      <c r="S29" s="714">
        <f t="shared" si="12"/>
        <v>100</v>
      </c>
      <c r="T29" s="713" t="s">
        <v>17</v>
      </c>
      <c r="U29" s="714">
        <f t="shared" si="13"/>
        <v>100</v>
      </c>
      <c r="V29" s="713" t="s">
        <v>17</v>
      </c>
      <c r="W29" s="714">
        <f t="shared" si="14"/>
        <v>100</v>
      </c>
      <c r="X29" s="1508"/>
      <c r="Y29" s="3362"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362"/>
      <c r="Q30" s="715" t="str">
        <f t="shared" si="11"/>
        <v>项目建筑规模</v>
      </c>
      <c r="R30" s="716" t="s">
        <v>17</v>
      </c>
      <c r="S30" s="717" t="e">
        <f t="shared" si="12"/>
        <v>#N/A</v>
      </c>
      <c r="T30" s="716" t="s">
        <v>17</v>
      </c>
      <c r="U30" s="717" t="e">
        <f t="shared" si="13"/>
        <v>#N/A</v>
      </c>
      <c r="V30" s="716" t="s">
        <v>17</v>
      </c>
      <c r="W30" s="717" t="e">
        <f t="shared" si="14"/>
        <v>#N/A</v>
      </c>
      <c r="X30" s="718"/>
      <c r="Y30" s="3362"/>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2"/>
      <c r="Q31" s="1505" t="str">
        <f t="shared" si="11"/>
        <v>建筑结构</v>
      </c>
      <c r="R31" s="713" t="s">
        <v>17</v>
      </c>
      <c r="S31" s="714">
        <f t="shared" si="12"/>
        <v>100</v>
      </c>
      <c r="T31" s="713" t="s">
        <v>17</v>
      </c>
      <c r="U31" s="714">
        <f t="shared" si="13"/>
        <v>100</v>
      </c>
      <c r="V31" s="713" t="s">
        <v>17</v>
      </c>
      <c r="W31" s="714">
        <f t="shared" si="14"/>
        <v>100</v>
      </c>
      <c r="X31" s="1508"/>
      <c r="Y31" s="3362"/>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2"/>
      <c r="Q32" s="1505" t="str">
        <f t="shared" si="11"/>
        <v>公共部分装修</v>
      </c>
      <c r="R32" s="713" t="s">
        <v>17</v>
      </c>
      <c r="S32" s="714">
        <f t="shared" si="12"/>
        <v>100</v>
      </c>
      <c r="T32" s="713" t="s">
        <v>17</v>
      </c>
      <c r="U32" s="714">
        <f t="shared" si="13"/>
        <v>100</v>
      </c>
      <c r="V32" s="713" t="s">
        <v>17</v>
      </c>
      <c r="W32" s="714">
        <f t="shared" si="14"/>
        <v>100</v>
      </c>
      <c r="X32" s="1508"/>
      <c r="Y32" s="3362"/>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2"/>
      <c r="Q33" s="1505" t="str">
        <f t="shared" si="11"/>
        <v>成新度</v>
      </c>
      <c r="R33" s="713" t="s">
        <v>17</v>
      </c>
      <c r="S33" s="714" t="e">
        <f t="shared" si="12"/>
        <v>#N/A</v>
      </c>
      <c r="T33" s="713" t="s">
        <v>17</v>
      </c>
      <c r="U33" s="714" t="e">
        <f t="shared" si="13"/>
        <v>#N/A</v>
      </c>
      <c r="V33" s="713" t="s">
        <v>17</v>
      </c>
      <c r="W33" s="714" t="e">
        <f t="shared" si="14"/>
        <v>#N/A</v>
      </c>
      <c r="X33" s="1508"/>
      <c r="Y33" s="3362"/>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2"/>
      <c r="Q34" s="1496" t="str">
        <f t="shared" si="11"/>
        <v>物业管理</v>
      </c>
      <c r="R34" s="709" t="s">
        <v>17</v>
      </c>
      <c r="S34" s="710">
        <f t="shared" si="12"/>
        <v>100</v>
      </c>
      <c r="T34" s="709" t="s">
        <v>17</v>
      </c>
      <c r="U34" s="710">
        <f t="shared" si="13"/>
        <v>100</v>
      </c>
      <c r="V34" s="709" t="s">
        <v>17</v>
      </c>
      <c r="W34" s="710">
        <f t="shared" si="14"/>
        <v>100</v>
      </c>
      <c r="X34" s="711"/>
      <c r="Y34" s="3362"/>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2" t="s">
        <v>2326</v>
      </c>
      <c r="Q35" s="1505" t="str">
        <f t="shared" si="11"/>
        <v>市政基础设施</v>
      </c>
      <c r="R35" s="713" t="s">
        <v>17</v>
      </c>
      <c r="S35" s="714">
        <f t="shared" si="12"/>
        <v>100</v>
      </c>
      <c r="T35" s="713" t="s">
        <v>17</v>
      </c>
      <c r="U35" s="714">
        <f t="shared" si="13"/>
        <v>100</v>
      </c>
      <c r="V35" s="713" t="s">
        <v>17</v>
      </c>
      <c r="W35" s="714">
        <f t="shared" si="14"/>
        <v>100</v>
      </c>
      <c r="X35" s="1508"/>
      <c r="Y35" s="3362"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2"/>
      <c r="Q36" s="1505" t="str">
        <f t="shared" si="11"/>
        <v>内部装修</v>
      </c>
      <c r="R36" s="713" t="s">
        <v>17</v>
      </c>
      <c r="S36" s="714">
        <f t="shared" si="12"/>
        <v>100</v>
      </c>
      <c r="T36" s="713" t="s">
        <v>17</v>
      </c>
      <c r="U36" s="714">
        <f t="shared" si="13"/>
        <v>100</v>
      </c>
      <c r="V36" s="713" t="s">
        <v>17</v>
      </c>
      <c r="W36" s="714">
        <f t="shared" si="14"/>
        <v>100</v>
      </c>
      <c r="X36" s="1508"/>
      <c r="Y36" s="3362"/>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2"/>
      <c r="Q37" s="1505" t="str">
        <f t="shared" si="11"/>
        <v>内部装修状况</v>
      </c>
      <c r="R37" s="713" t="s">
        <v>17</v>
      </c>
      <c r="S37" s="714">
        <f t="shared" si="12"/>
        <v>100</v>
      </c>
      <c r="T37" s="713" t="s">
        <v>17</v>
      </c>
      <c r="U37" s="714">
        <f t="shared" si="13"/>
        <v>100</v>
      </c>
      <c r="V37" s="713" t="s">
        <v>17</v>
      </c>
      <c r="W37" s="714">
        <f t="shared" si="14"/>
        <v>100</v>
      </c>
      <c r="X37" s="1508"/>
      <c r="Y37" s="3362"/>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2"/>
      <c r="Q38" s="715">
        <f t="shared" si="11"/>
        <v>111</v>
      </c>
      <c r="R38" s="716" t="s">
        <v>17</v>
      </c>
      <c r="S38" s="717">
        <f t="shared" si="12"/>
        <v>100</v>
      </c>
      <c r="T38" s="716" t="s">
        <v>17</v>
      </c>
      <c r="U38" s="717">
        <f t="shared" si="13"/>
        <v>100</v>
      </c>
      <c r="V38" s="716" t="s">
        <v>17</v>
      </c>
      <c r="W38" s="717">
        <f t="shared" si="14"/>
        <v>100</v>
      </c>
      <c r="X38" s="718"/>
      <c r="Y38" s="3362"/>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2"/>
      <c r="Q39" s="1505">
        <f t="shared" si="11"/>
        <v>111</v>
      </c>
      <c r="R39" s="713" t="s">
        <v>17</v>
      </c>
      <c r="S39" s="714">
        <f t="shared" si="12"/>
        <v>100</v>
      </c>
      <c r="T39" s="713" t="s">
        <v>17</v>
      </c>
      <c r="U39" s="714">
        <f t="shared" si="13"/>
        <v>100</v>
      </c>
      <c r="V39" s="713" t="s">
        <v>17</v>
      </c>
      <c r="W39" s="714">
        <f t="shared" si="14"/>
        <v>100</v>
      </c>
      <c r="X39" s="1508"/>
      <c r="Y39" s="3362"/>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7"/>
      <c r="Q40" s="1505">
        <f t="shared" si="11"/>
        <v>111</v>
      </c>
      <c r="R40" s="713" t="s">
        <v>17</v>
      </c>
      <c r="S40" s="714">
        <f t="shared" si="12"/>
        <v>100</v>
      </c>
      <c r="T40" s="713" t="s">
        <v>17</v>
      </c>
      <c r="U40" s="714">
        <f t="shared" si="13"/>
        <v>100</v>
      </c>
      <c r="V40" s="713" t="s">
        <v>17</v>
      </c>
      <c r="W40" s="714">
        <f t="shared" si="14"/>
        <v>100</v>
      </c>
      <c r="X40" s="1508"/>
      <c r="Y40" s="3527"/>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354" t="str">
        <f>A41</f>
        <v>成交单价（元/平方米）</v>
      </c>
      <c r="Q41" s="3354"/>
      <c r="R41" s="3355">
        <f>E41</f>
        <v>0</v>
      </c>
      <c r="S41" s="3355"/>
      <c r="T41" s="3355">
        <f>G41</f>
        <v>0</v>
      </c>
      <c r="U41" s="3355"/>
      <c r="V41" s="3355">
        <f>I41</f>
        <v>0</v>
      </c>
      <c r="W41" s="3355"/>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354" t="str">
        <f>A42</f>
        <v>比较价值（元/平方米）</v>
      </c>
      <c r="Q42" s="3354"/>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356" t="str">
        <f>A43</f>
        <v>估价对象XX用房的比较价值（楼面单价，元/平方米）</v>
      </c>
      <c r="Q43" s="3357"/>
      <c r="R43" s="3523" t="e">
        <f>IF(F1="售价",ROUND(IF(D42="简单平均",AVERAGE(R42:V42),R42*F42+T42*H42+V42*J42),0),ROUND(IF(D42="简单平均",AVERAGE(R42:V42),R42*F42+T42*H42+V42*J42),1))</f>
        <v>#DIV/0!</v>
      </c>
      <c r="S43" s="3523"/>
      <c r="T43" s="3523"/>
      <c r="U43" s="3523"/>
      <c r="V43" s="3523"/>
      <c r="W43" s="3523"/>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8"/>
      <c r="O54" s="2969"/>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30"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65"/>
      <c r="AC5" s="3365"/>
    </row>
    <row r="6" spans="1:30" ht="15.75" thickBot="1">
      <c r="A6" s="365"/>
      <c r="B6" s="366"/>
      <c r="C6" s="3384" t="s">
        <v>2307</v>
      </c>
      <c r="D6" s="3385"/>
      <c r="E6" s="3392" t="s">
        <v>2307</v>
      </c>
      <c r="F6" s="3393"/>
      <c r="G6" s="3384" t="s">
        <v>2307</v>
      </c>
      <c r="H6" s="3385"/>
      <c r="I6" s="3384" t="s">
        <v>2307</v>
      </c>
      <c r="J6" s="3385"/>
      <c r="K6" s="566" t="s">
        <v>2308</v>
      </c>
      <c r="L6" s="2913"/>
      <c r="M6" s="2914"/>
      <c r="N6" s="2914"/>
      <c r="O6" s="2914"/>
      <c r="P6" s="3375"/>
      <c r="Q6" s="3376"/>
      <c r="R6" s="3379"/>
      <c r="S6" s="3380"/>
      <c r="T6" s="3381"/>
      <c r="U6" s="3382"/>
      <c r="V6" s="3383"/>
      <c r="W6" s="3383"/>
      <c r="X6" s="1508"/>
      <c r="Y6" s="3381"/>
      <c r="Z6" s="3382"/>
      <c r="AA6" s="3366"/>
      <c r="AB6" s="3366"/>
      <c r="AC6" s="3366"/>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5"/>
      <c r="M7" s="2916"/>
      <c r="N7" s="2916"/>
      <c r="O7" s="291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5"/>
      <c r="M9" s="2916"/>
      <c r="N9" s="2916"/>
      <c r="O9" s="2970"/>
      <c r="P9" s="3354"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7"/>
      <c r="M10" s="2918"/>
      <c r="N10" s="2918"/>
      <c r="O10" s="2971"/>
      <c r="P10" s="3354"/>
      <c r="Q10" s="1496" t="str">
        <f t="shared" si="6"/>
        <v>土地使用年限（年）</v>
      </c>
      <c r="R10" s="709" t="s">
        <v>17</v>
      </c>
      <c r="S10" s="710">
        <f t="shared" si="0"/>
        <v>101</v>
      </c>
      <c r="T10" s="709" t="s">
        <v>17</v>
      </c>
      <c r="U10" s="710">
        <f t="shared" si="1"/>
        <v>101</v>
      </c>
      <c r="V10" s="709" t="s">
        <v>17</v>
      </c>
      <c r="W10" s="710">
        <f t="shared" si="2"/>
        <v>101</v>
      </c>
      <c r="X10" s="711"/>
      <c r="Y10" s="3363"/>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9"/>
      <c r="M11" s="2914"/>
      <c r="N11" s="2914"/>
      <c r="O11" s="2972"/>
      <c r="P11" s="3354"/>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5"/>
      <c r="M12" s="2916"/>
      <c r="N12" s="2916"/>
      <c r="O12" s="2970"/>
      <c r="P12" s="3354"/>
      <c r="Q12" s="1496" t="str">
        <f t="shared" si="6"/>
        <v>配建</v>
      </c>
      <c r="R12" s="709" t="s">
        <v>17</v>
      </c>
      <c r="S12" s="710">
        <f t="shared" si="0"/>
        <v>100</v>
      </c>
      <c r="T12" s="709" t="s">
        <v>17</v>
      </c>
      <c r="U12" s="710">
        <f t="shared" si="1"/>
        <v>100</v>
      </c>
      <c r="V12" s="709" t="s">
        <v>17</v>
      </c>
      <c r="W12" s="710">
        <f t="shared" si="2"/>
        <v>100</v>
      </c>
      <c r="X12" s="711"/>
      <c r="Y12" s="3363"/>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20"/>
      <c r="M13" s="2914"/>
      <c r="N13" s="2914"/>
      <c r="O13" s="297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354"/>
      <c r="Q14" s="1496">
        <f t="shared" si="6"/>
        <v>111</v>
      </c>
      <c r="R14" s="709" t="s">
        <v>17</v>
      </c>
      <c r="S14" s="710">
        <f t="shared" si="0"/>
        <v>100</v>
      </c>
      <c r="T14" s="709" t="s">
        <v>17</v>
      </c>
      <c r="U14" s="710">
        <f t="shared" si="1"/>
        <v>100</v>
      </c>
      <c r="V14" s="709" t="s">
        <v>17</v>
      </c>
      <c r="W14" s="710">
        <f t="shared" si="2"/>
        <v>100</v>
      </c>
      <c r="X14" s="711"/>
      <c r="Y14" s="3363"/>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20"/>
      <c r="M15" s="2914"/>
      <c r="N15" s="2914"/>
      <c r="O15" s="2972"/>
      <c r="P15" s="3359" t="s">
        <v>2321</v>
      </c>
      <c r="Q15" s="1505" t="str">
        <f t="shared" si="6"/>
        <v>居住社区成熟度</v>
      </c>
      <c r="R15" s="713" t="s">
        <v>17</v>
      </c>
      <c r="S15" s="714">
        <f t="shared" si="0"/>
        <v>100</v>
      </c>
      <c r="T15" s="713" t="s">
        <v>17</v>
      </c>
      <c r="U15" s="714">
        <f t="shared" si="1"/>
        <v>100</v>
      </c>
      <c r="V15" s="713" t="s">
        <v>17</v>
      </c>
      <c r="W15" s="714">
        <f t="shared" si="2"/>
        <v>100</v>
      </c>
      <c r="X15" s="1508"/>
      <c r="Y15" s="3359"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20"/>
      <c r="M16" s="2914"/>
      <c r="N16" s="2914"/>
      <c r="O16" s="2972"/>
      <c r="P16" s="3360"/>
      <c r="Q16" s="1505"/>
      <c r="R16" s="713"/>
      <c r="S16" s="714"/>
      <c r="T16" s="713"/>
      <c r="U16" s="714"/>
      <c r="V16" s="713"/>
      <c r="W16" s="714"/>
      <c r="X16" s="1508"/>
      <c r="Y16" s="3360"/>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20"/>
      <c r="M17" s="2914"/>
      <c r="N17" s="2914"/>
      <c r="O17" s="2972"/>
      <c r="P17" s="3360"/>
      <c r="Q17" s="1505" t="str">
        <f>B17</f>
        <v>商业繁华度</v>
      </c>
      <c r="R17" s="713" t="s">
        <v>17</v>
      </c>
      <c r="S17" s="714">
        <f>F17</f>
        <v>100</v>
      </c>
      <c r="T17" s="713" t="s">
        <v>17</v>
      </c>
      <c r="U17" s="714">
        <f>H17</f>
        <v>100</v>
      </c>
      <c r="V17" s="713" t="s">
        <v>17</v>
      </c>
      <c r="W17" s="714">
        <f>J17</f>
        <v>100</v>
      </c>
      <c r="X17" s="1508"/>
      <c r="Y17" s="3360"/>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20"/>
      <c r="M18" s="2914"/>
      <c r="N18" s="2914"/>
      <c r="O18" s="2972"/>
      <c r="P18" s="3360"/>
      <c r="Q18" s="1505"/>
      <c r="R18" s="713"/>
      <c r="S18" s="714"/>
      <c r="T18" s="713"/>
      <c r="U18" s="714"/>
      <c r="V18" s="713"/>
      <c r="W18" s="714"/>
      <c r="X18" s="1508"/>
      <c r="Y18" s="3360"/>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20"/>
      <c r="M19" s="2914"/>
      <c r="N19" s="2914"/>
      <c r="O19" s="2972"/>
      <c r="P19" s="3360"/>
      <c r="Q19" s="1505" t="str">
        <f>B19</f>
        <v>办公集聚程度</v>
      </c>
      <c r="R19" s="713" t="s">
        <v>17</v>
      </c>
      <c r="S19" s="714">
        <f>F19</f>
        <v>100</v>
      </c>
      <c r="T19" s="713" t="s">
        <v>17</v>
      </c>
      <c r="U19" s="714">
        <f>H19</f>
        <v>100</v>
      </c>
      <c r="V19" s="713" t="s">
        <v>17</v>
      </c>
      <c r="W19" s="714">
        <f>J19</f>
        <v>100</v>
      </c>
      <c r="X19" s="1508"/>
      <c r="Y19" s="3360"/>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20"/>
      <c r="M20" s="2914"/>
      <c r="N20" s="2914"/>
      <c r="O20" s="2972"/>
      <c r="P20" s="3360"/>
      <c r="Q20" s="1505"/>
      <c r="R20" s="713"/>
      <c r="S20" s="714"/>
      <c r="T20" s="713"/>
      <c r="U20" s="714"/>
      <c r="V20" s="713"/>
      <c r="W20" s="714"/>
      <c r="X20" s="1508"/>
      <c r="Y20" s="3360"/>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20"/>
      <c r="M21" s="2914"/>
      <c r="N21" s="2914"/>
      <c r="O21" s="2972"/>
      <c r="P21" s="3360"/>
      <c r="Q21" s="1505" t="str">
        <f>B21</f>
        <v>交通便捷度</v>
      </c>
      <c r="R21" s="713" t="s">
        <v>17</v>
      </c>
      <c r="S21" s="714">
        <f>F21</f>
        <v>100</v>
      </c>
      <c r="T21" s="713" t="s">
        <v>17</v>
      </c>
      <c r="U21" s="714">
        <f>H21</f>
        <v>100</v>
      </c>
      <c r="V21" s="713" t="s">
        <v>17</v>
      </c>
      <c r="W21" s="714">
        <f>J21</f>
        <v>100</v>
      </c>
      <c r="X21" s="1508"/>
      <c r="Y21" s="3360"/>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20"/>
      <c r="M22" s="2914"/>
      <c r="N22" s="2914"/>
      <c r="O22" s="2972"/>
      <c r="P22" s="3360"/>
      <c r="Q22" s="1505"/>
      <c r="R22" s="713"/>
      <c r="S22" s="714"/>
      <c r="T22" s="713"/>
      <c r="U22" s="714"/>
      <c r="V22" s="713"/>
      <c r="W22" s="714"/>
      <c r="X22" s="1508"/>
      <c r="Y22" s="3360"/>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20"/>
      <c r="M23" s="2914"/>
      <c r="N23" s="2914"/>
      <c r="O23" s="2972"/>
      <c r="P23" s="3360"/>
      <c r="Q23" s="1505" t="str">
        <f t="shared" ref="Q23:Q37" si="8">B23</f>
        <v>区域土地利用方向</v>
      </c>
      <c r="R23" s="713" t="s">
        <v>17</v>
      </c>
      <c r="S23" s="714">
        <f>F23</f>
        <v>100</v>
      </c>
      <c r="T23" s="713" t="s">
        <v>17</v>
      </c>
      <c r="U23" s="714">
        <f>H23</f>
        <v>100</v>
      </c>
      <c r="V23" s="713" t="s">
        <v>17</v>
      </c>
      <c r="W23" s="714">
        <f>J23</f>
        <v>100</v>
      </c>
      <c r="X23" s="1508"/>
      <c r="Y23" s="3360"/>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20"/>
      <c r="M24" s="2914"/>
      <c r="N24" s="2914"/>
      <c r="O24" s="2972"/>
      <c r="P24" s="3360"/>
      <c r="Q24" s="1505"/>
      <c r="R24" s="713"/>
      <c r="S24" s="714"/>
      <c r="T24" s="713"/>
      <c r="U24" s="714"/>
      <c r="V24" s="713"/>
      <c r="W24" s="714"/>
      <c r="X24" s="1508"/>
      <c r="Y24" s="3360"/>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20"/>
      <c r="M25" s="2914"/>
      <c r="N25" s="2914"/>
      <c r="O25" s="2972"/>
      <c r="P25" s="3360"/>
      <c r="Q25" s="1505" t="str">
        <f t="shared" si="8"/>
        <v>自然及人文环境状况</v>
      </c>
      <c r="R25" s="713" t="s">
        <v>17</v>
      </c>
      <c r="S25" s="714">
        <f>F25</f>
        <v>100</v>
      </c>
      <c r="T25" s="713" t="s">
        <v>17</v>
      </c>
      <c r="U25" s="714">
        <f>H25</f>
        <v>100</v>
      </c>
      <c r="V25" s="713" t="s">
        <v>17</v>
      </c>
      <c r="W25" s="714">
        <f>J25</f>
        <v>100</v>
      </c>
      <c r="X25" s="1508"/>
      <c r="Y25" s="3360"/>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20"/>
      <c r="M26" s="2914"/>
      <c r="N26" s="2914"/>
      <c r="O26" s="2972"/>
      <c r="P26" s="3360"/>
      <c r="Q26" s="1505"/>
      <c r="R26" s="713"/>
      <c r="S26" s="714"/>
      <c r="T26" s="713"/>
      <c r="U26" s="714"/>
      <c r="V26" s="713"/>
      <c r="W26" s="714"/>
      <c r="X26" s="1508"/>
      <c r="Y26" s="3360"/>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5"/>
      <c r="M27" s="2916"/>
      <c r="N27" s="2916"/>
      <c r="O27" s="2970"/>
      <c r="P27" s="3360"/>
      <c r="Q27" s="1496" t="str">
        <f t="shared" si="8"/>
        <v>公共配套设施</v>
      </c>
      <c r="R27" s="709" t="s">
        <v>17</v>
      </c>
      <c r="S27" s="710">
        <f>F27</f>
        <v>100</v>
      </c>
      <c r="T27" s="709" t="s">
        <v>17</v>
      </c>
      <c r="U27" s="710">
        <f>H27</f>
        <v>100</v>
      </c>
      <c r="V27" s="709" t="s">
        <v>17</v>
      </c>
      <c r="W27" s="710">
        <f>J27</f>
        <v>100</v>
      </c>
      <c r="X27" s="711"/>
      <c r="Y27" s="3360"/>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5"/>
      <c r="M28" s="2916"/>
      <c r="N28" s="2916"/>
      <c r="O28" s="2970"/>
      <c r="P28" s="3360"/>
      <c r="Q28" s="1496"/>
      <c r="R28" s="709"/>
      <c r="S28" s="710"/>
      <c r="T28" s="709"/>
      <c r="U28" s="710"/>
      <c r="V28" s="709"/>
      <c r="W28" s="710"/>
      <c r="X28" s="711"/>
      <c r="Y28" s="3360"/>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5"/>
      <c r="M29" s="2916"/>
      <c r="N29" s="2916"/>
      <c r="O29" s="2970"/>
      <c r="P29" s="3360"/>
      <c r="Q29" s="1496" t="str">
        <f t="shared" ref="Q29" si="9">B29</f>
        <v>基础设施水平</v>
      </c>
      <c r="R29" s="709" t="s">
        <v>17</v>
      </c>
      <c r="S29" s="710">
        <f>F29</f>
        <v>100</v>
      </c>
      <c r="T29" s="709" t="s">
        <v>17</v>
      </c>
      <c r="U29" s="710">
        <f>H29</f>
        <v>100</v>
      </c>
      <c r="V29" s="709" t="s">
        <v>17</v>
      </c>
      <c r="W29" s="710">
        <f>J29</f>
        <v>100</v>
      </c>
      <c r="X29" s="711"/>
      <c r="Y29" s="3360"/>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5"/>
      <c r="M30" s="2916"/>
      <c r="N30" s="2916"/>
      <c r="O30" s="2970"/>
      <c r="P30" s="3360"/>
      <c r="Q30" s="1496"/>
      <c r="R30" s="709"/>
      <c r="S30" s="710"/>
      <c r="T30" s="709"/>
      <c r="U30" s="710"/>
      <c r="V30" s="709"/>
      <c r="W30" s="710"/>
      <c r="X30" s="711"/>
      <c r="Y30" s="3360"/>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360"/>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360"/>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360"/>
      <c r="Q32" s="1505" t="str">
        <f t="shared" si="8"/>
        <v>毗邻道路的类型与等级</v>
      </c>
      <c r="R32" s="713" t="s">
        <v>17</v>
      </c>
      <c r="S32" s="714">
        <f t="shared" si="10"/>
        <v>100</v>
      </c>
      <c r="T32" s="713" t="s">
        <v>17</v>
      </c>
      <c r="U32" s="714">
        <f t="shared" si="11"/>
        <v>100</v>
      </c>
      <c r="V32" s="713" t="s">
        <v>17</v>
      </c>
      <c r="W32" s="714">
        <f t="shared" si="12"/>
        <v>100</v>
      </c>
      <c r="X32" s="1508"/>
      <c r="Y32" s="3360"/>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20"/>
      <c r="M33" s="2914"/>
      <c r="N33" s="2914"/>
      <c r="O33" s="2972"/>
      <c r="P33" s="3360"/>
      <c r="Q33" s="1505"/>
      <c r="R33" s="713"/>
      <c r="S33" s="714"/>
      <c r="T33" s="713"/>
      <c r="U33" s="714"/>
      <c r="V33" s="713"/>
      <c r="W33" s="714"/>
      <c r="X33" s="1508"/>
      <c r="Y33" s="3360"/>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20"/>
      <c r="M34" s="2914"/>
      <c r="N34" s="2914"/>
      <c r="O34" s="2972"/>
      <c r="P34" s="3360"/>
      <c r="Q34" s="1505" t="str">
        <f t="shared" si="8"/>
        <v>土地级别</v>
      </c>
      <c r="R34" s="713" t="s">
        <v>17</v>
      </c>
      <c r="S34" s="714">
        <f t="shared" si="10"/>
        <v>100</v>
      </c>
      <c r="T34" s="713" t="s">
        <v>17</v>
      </c>
      <c r="U34" s="714">
        <f t="shared" si="11"/>
        <v>100</v>
      </c>
      <c r="V34" s="713" t="s">
        <v>17</v>
      </c>
      <c r="W34" s="714">
        <f t="shared" si="12"/>
        <v>100</v>
      </c>
      <c r="X34" s="1508"/>
      <c r="Y34" s="3360"/>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360"/>
      <c r="Q35" s="1505">
        <f t="shared" si="8"/>
        <v>111</v>
      </c>
      <c r="R35" s="713" t="s">
        <v>17</v>
      </c>
      <c r="S35" s="714">
        <f t="shared" si="10"/>
        <v>100</v>
      </c>
      <c r="T35" s="713" t="s">
        <v>17</v>
      </c>
      <c r="U35" s="714">
        <f t="shared" si="11"/>
        <v>100</v>
      </c>
      <c r="V35" s="713" t="s">
        <v>17</v>
      </c>
      <c r="W35" s="714">
        <f t="shared" si="12"/>
        <v>100</v>
      </c>
      <c r="X35" s="1508"/>
      <c r="Y35" s="3360"/>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361" t="s">
        <v>2326</v>
      </c>
      <c r="Q36" s="1505">
        <f t="shared" si="8"/>
        <v>111</v>
      </c>
      <c r="R36" s="713" t="s">
        <v>17</v>
      </c>
      <c r="S36" s="714">
        <f t="shared" si="10"/>
        <v>100</v>
      </c>
      <c r="T36" s="713" t="s">
        <v>17</v>
      </c>
      <c r="U36" s="714">
        <f t="shared" si="11"/>
        <v>100</v>
      </c>
      <c r="V36" s="713" t="s">
        <v>17</v>
      </c>
      <c r="W36" s="714">
        <f t="shared" si="12"/>
        <v>100</v>
      </c>
      <c r="X36" s="1508"/>
      <c r="Y36" s="3362"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362"/>
      <c r="Q37" s="1505">
        <f t="shared" si="8"/>
        <v>111</v>
      </c>
      <c r="R37" s="716" t="s">
        <v>17</v>
      </c>
      <c r="S37" s="717">
        <f t="shared" si="10"/>
        <v>100</v>
      </c>
      <c r="T37" s="716" t="s">
        <v>17</v>
      </c>
      <c r="U37" s="717">
        <f t="shared" si="11"/>
        <v>100</v>
      </c>
      <c r="V37" s="716" t="s">
        <v>17</v>
      </c>
      <c r="W37" s="717">
        <f t="shared" si="12"/>
        <v>100</v>
      </c>
      <c r="X37" s="718"/>
      <c r="Y37" s="3362"/>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20"/>
      <c r="M38" s="2914"/>
      <c r="N38" s="2914"/>
      <c r="O38" s="2972"/>
      <c r="P38" s="3362"/>
      <c r="Q38" s="1505" t="str">
        <f>B38</f>
        <v>宗地面积</v>
      </c>
      <c r="R38" s="713" t="s">
        <v>17</v>
      </c>
      <c r="S38" s="714" t="e">
        <f t="shared" si="10"/>
        <v>#N/A</v>
      </c>
      <c r="T38" s="713" t="s">
        <v>17</v>
      </c>
      <c r="U38" s="714" t="e">
        <f t="shared" si="11"/>
        <v>#N/A</v>
      </c>
      <c r="V38" s="713" t="s">
        <v>17</v>
      </c>
      <c r="W38" s="714" t="e">
        <f t="shared" si="12"/>
        <v>#N/A</v>
      </c>
      <c r="X38" s="1508"/>
      <c r="Y38" s="3362"/>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20"/>
      <c r="M39" s="2914"/>
      <c r="N39" s="2914"/>
      <c r="O39" s="2972"/>
      <c r="P39" s="3362"/>
      <c r="Q39" s="1505" t="str">
        <f t="shared" ref="Q39:Q45" si="14">B39</f>
        <v>宗地形状</v>
      </c>
      <c r="R39" s="713" t="s">
        <v>17</v>
      </c>
      <c r="S39" s="714">
        <f t="shared" si="10"/>
        <v>100</v>
      </c>
      <c r="T39" s="713" t="s">
        <v>17</v>
      </c>
      <c r="U39" s="714">
        <f t="shared" si="11"/>
        <v>100</v>
      </c>
      <c r="V39" s="713" t="s">
        <v>17</v>
      </c>
      <c r="W39" s="714">
        <f t="shared" si="12"/>
        <v>100</v>
      </c>
      <c r="X39" s="1508"/>
      <c r="Y39" s="3362"/>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20"/>
      <c r="M40" s="2914"/>
      <c r="N40" s="2914"/>
      <c r="O40" s="2972"/>
      <c r="P40" s="3362"/>
      <c r="Q40" s="1505" t="str">
        <f t="shared" si="14"/>
        <v>临街宽度及深度</v>
      </c>
      <c r="R40" s="713" t="s">
        <v>17</v>
      </c>
      <c r="S40" s="714">
        <f t="shared" si="10"/>
        <v>100</v>
      </c>
      <c r="T40" s="713" t="s">
        <v>17</v>
      </c>
      <c r="U40" s="714">
        <f t="shared" si="11"/>
        <v>100</v>
      </c>
      <c r="V40" s="713" t="s">
        <v>17</v>
      </c>
      <c r="W40" s="714">
        <f t="shared" si="12"/>
        <v>100</v>
      </c>
      <c r="X40" s="1508"/>
      <c r="Y40" s="3362"/>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5"/>
      <c r="M41" s="2916"/>
      <c r="N41" s="2916"/>
      <c r="O41" s="2970"/>
      <c r="P41" s="3362"/>
      <c r="Q41" s="1505" t="str">
        <f t="shared" si="14"/>
        <v>宗地开发程度</v>
      </c>
      <c r="R41" s="709" t="s">
        <v>17</v>
      </c>
      <c r="S41" s="710">
        <f t="shared" si="10"/>
        <v>100</v>
      </c>
      <c r="T41" s="709" t="s">
        <v>17</v>
      </c>
      <c r="U41" s="710">
        <f t="shared" si="11"/>
        <v>100</v>
      </c>
      <c r="V41" s="709" t="s">
        <v>17</v>
      </c>
      <c r="W41" s="710">
        <f t="shared" si="12"/>
        <v>100</v>
      </c>
      <c r="X41" s="711"/>
      <c r="Y41" s="3362"/>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20"/>
      <c r="M42" s="2914"/>
      <c r="N42" s="2914"/>
      <c r="O42" s="2972"/>
      <c r="P42" s="3362" t="s">
        <v>2326</v>
      </c>
      <c r="Q42" s="1505" t="str">
        <f t="shared" si="14"/>
        <v>工程地质条件</v>
      </c>
      <c r="R42" s="713" t="s">
        <v>17</v>
      </c>
      <c r="S42" s="714">
        <f t="shared" si="10"/>
        <v>100</v>
      </c>
      <c r="T42" s="713" t="s">
        <v>17</v>
      </c>
      <c r="U42" s="714">
        <f t="shared" si="11"/>
        <v>100</v>
      </c>
      <c r="V42" s="713" t="s">
        <v>17</v>
      </c>
      <c r="W42" s="714">
        <f t="shared" si="12"/>
        <v>100</v>
      </c>
      <c r="X42" s="1508"/>
      <c r="Y42" s="3362"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362"/>
      <c r="Q43" s="1505">
        <f t="shared" si="14"/>
        <v>111</v>
      </c>
      <c r="R43" s="713" t="s">
        <v>17</v>
      </c>
      <c r="S43" s="714">
        <f t="shared" si="10"/>
        <v>100</v>
      </c>
      <c r="T43" s="713" t="s">
        <v>17</v>
      </c>
      <c r="U43" s="714">
        <f t="shared" si="11"/>
        <v>100</v>
      </c>
      <c r="V43" s="713" t="s">
        <v>17</v>
      </c>
      <c r="W43" s="714">
        <f t="shared" si="12"/>
        <v>100</v>
      </c>
      <c r="X43" s="1508"/>
      <c r="Y43" s="3362"/>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362"/>
      <c r="Q44" s="1505">
        <f t="shared" si="14"/>
        <v>111</v>
      </c>
      <c r="R44" s="713" t="s">
        <v>17</v>
      </c>
      <c r="S44" s="714">
        <f t="shared" si="10"/>
        <v>100</v>
      </c>
      <c r="T44" s="713" t="s">
        <v>17</v>
      </c>
      <c r="U44" s="714">
        <f t="shared" si="11"/>
        <v>100</v>
      </c>
      <c r="V44" s="713" t="s">
        <v>17</v>
      </c>
      <c r="W44" s="714">
        <f t="shared" si="12"/>
        <v>100</v>
      </c>
      <c r="X44" s="1508"/>
      <c r="Y44" s="3362"/>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362"/>
      <c r="Q45" s="1505">
        <f t="shared" si="14"/>
        <v>111</v>
      </c>
      <c r="R45" s="716" t="s">
        <v>17</v>
      </c>
      <c r="S45" s="717">
        <f t="shared" si="10"/>
        <v>100</v>
      </c>
      <c r="T45" s="716" t="s">
        <v>17</v>
      </c>
      <c r="U45" s="717">
        <f t="shared" si="11"/>
        <v>100</v>
      </c>
      <c r="V45" s="716" t="s">
        <v>17</v>
      </c>
      <c r="W45" s="717">
        <f t="shared" si="12"/>
        <v>100</v>
      </c>
      <c r="X45" s="718"/>
      <c r="Y45" s="3362"/>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2"/>
      <c r="M46" s="2923"/>
      <c r="N46" s="2914"/>
      <c r="O46" s="2923"/>
      <c r="P46" s="3354" t="str">
        <f>A46</f>
        <v>成交单价</v>
      </c>
      <c r="Q46" s="3354"/>
      <c r="R46" s="3383">
        <f>E46</f>
        <v>0</v>
      </c>
      <c r="S46" s="3383"/>
      <c r="T46" s="3383">
        <f>G46</f>
        <v>0</v>
      </c>
      <c r="U46" s="3383"/>
      <c r="V46" s="3383">
        <f>I46</f>
        <v>0</v>
      </c>
      <c r="W46" s="3383"/>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2"/>
      <c r="M47" s="2923"/>
      <c r="N47" s="2923"/>
      <c r="O47" s="2923"/>
      <c r="P47" s="3354" t="str">
        <f>A47</f>
        <v>比较价值（元/平方米）</v>
      </c>
      <c r="Q47" s="3354"/>
      <c r="R47" s="3546" t="e">
        <f>ROUND(PRODUCT(R46,AA7:AA45),0)</f>
        <v>#DIV/0!</v>
      </c>
      <c r="S47" s="3546"/>
      <c r="T47" s="3546" t="e">
        <f>ROUND(PRODUCT(T46,AB7:AB45),0)</f>
        <v>#DIV/0!</v>
      </c>
      <c r="U47" s="3546"/>
      <c r="V47" s="3546" t="e">
        <f>ROUND(PRODUCT(V46,AC7:AC45),0)</f>
        <v>#DIV/0!</v>
      </c>
      <c r="W47" s="3546"/>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2"/>
      <c r="M48" s="2923"/>
      <c r="N48" s="2923"/>
      <c r="O48" s="2923"/>
      <c r="P48" s="3356" t="str">
        <f>A48</f>
        <v>估价对象XX用房的比较价值（楼面单价，元/平方米）</v>
      </c>
      <c r="Q48" s="3357"/>
      <c r="R48" s="3547" t="e">
        <f>ROUND(IF(D47="简单平均",AVERAGE(R47:W47),R47*F47+T47*H47+V47*J47),0)</f>
        <v>#DIV/0!</v>
      </c>
      <c r="S48" s="3547"/>
      <c r="T48" s="3547"/>
      <c r="U48" s="3547"/>
      <c r="V48" s="3547"/>
      <c r="W48" s="3547"/>
      <c r="X48" s="698"/>
      <c r="Y48" s="698"/>
      <c r="Z48" s="698"/>
      <c r="AA48" s="698"/>
      <c r="AB48" s="698"/>
      <c r="AC48" s="698"/>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2518</v>
      </c>
      <c r="B55" s="640" t="s">
        <v>2519</v>
      </c>
      <c r="C55" s="2138" t="s">
        <v>2520</v>
      </c>
      <c r="D55" s="2139" t="s">
        <v>2521</v>
      </c>
      <c r="E55" s="641" t="s">
        <v>2522</v>
      </c>
      <c r="F55" s="1020" t="s">
        <v>2523</v>
      </c>
      <c r="G55" s="3367" t="s">
        <v>2524</v>
      </c>
      <c r="H55" s="3548"/>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2527</v>
      </c>
      <c r="B56" s="644" t="e">
        <f>C48</f>
        <v>#DIV/0!</v>
      </c>
      <c r="C56" s="645">
        <v>1</v>
      </c>
      <c r="D56" s="1074">
        <v>1</v>
      </c>
      <c r="E56" s="645">
        <f>'数据-汇总表'!E8+'数据-汇总表'!E9</f>
        <v>0</v>
      </c>
      <c r="F56" s="1016" t="e">
        <f t="shared" ref="F56:F65" si="15">ROUND(B56*E56/10000,0)</f>
        <v>#DIV/0!</v>
      </c>
      <c r="G56" s="3530"/>
      <c r="H56" s="3354"/>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2528</v>
      </c>
      <c r="B57" s="223" t="e">
        <f>ROUND($C$48*C57*D57,0)</f>
        <v>#DIV/0!</v>
      </c>
      <c r="C57" s="175">
        <f t="shared" ref="C57:C65" si="16">IF($C$55="北京市系数",I57,J57)</f>
        <v>0.7</v>
      </c>
      <c r="D57" s="1075">
        <v>0.25</v>
      </c>
      <c r="E57" s="649"/>
      <c r="F57" s="1016" t="e">
        <f t="shared" si="15"/>
        <v>#DIV/0!</v>
      </c>
      <c r="G57" s="3549" t="s">
        <v>2529</v>
      </c>
      <c r="H57" s="1017" t="str">
        <f>项目基本情况!B37</f>
        <v>七级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2530</v>
      </c>
      <c r="B58" s="223" t="e">
        <f t="shared" ref="B58:B65" si="17">ROUND($C$48*C58*D58,0)</f>
        <v>#DIV/0!</v>
      </c>
      <c r="C58" s="175">
        <f t="shared" si="16"/>
        <v>0.4</v>
      </c>
      <c r="D58" s="1075">
        <v>0.25</v>
      </c>
      <c r="E58" s="649"/>
      <c r="F58" s="1016" t="e">
        <f t="shared" si="15"/>
        <v>#DIV/0!</v>
      </c>
      <c r="G58" s="3549"/>
      <c r="H58" s="1017" t="str">
        <f>项目基本情况!B37</f>
        <v>七级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2531</v>
      </c>
      <c r="B59" s="223" t="e">
        <f t="shared" si="17"/>
        <v>#DIV/0!</v>
      </c>
      <c r="C59" s="175">
        <f t="shared" si="16"/>
        <v>0.28000000000000003</v>
      </c>
      <c r="D59" s="1075">
        <v>0.25</v>
      </c>
      <c r="E59" s="649"/>
      <c r="F59" s="1016" t="e">
        <f t="shared" si="15"/>
        <v>#DIV/0!</v>
      </c>
      <c r="G59" s="3549"/>
      <c r="H59" s="1017" t="str">
        <f>项目基本情况!B37</f>
        <v>七级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2532</v>
      </c>
      <c r="B60" s="223" t="e">
        <f t="shared" si="17"/>
        <v>#DIV/0!</v>
      </c>
      <c r="C60" s="175">
        <f t="shared" si="16"/>
        <v>0.25</v>
      </c>
      <c r="D60" s="1075">
        <v>0.25</v>
      </c>
      <c r="E60" s="649"/>
      <c r="F60" s="1016" t="e">
        <f t="shared" si="15"/>
        <v>#DIV/0!</v>
      </c>
      <c r="G60" s="3549"/>
      <c r="H60" s="1017" t="str">
        <f>项目基本情况!B37</f>
        <v>七级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3"/>
      <c r="Q68" s="2923"/>
      <c r="R68" s="2923"/>
      <c r="S68" s="2923"/>
      <c r="T68" s="2923"/>
      <c r="U68" s="2923"/>
      <c r="V68" s="2923"/>
      <c r="W68" s="2923"/>
      <c r="X68" s="2923"/>
      <c r="Y68" s="2923"/>
      <c r="Z68" s="2923"/>
      <c r="AA68" s="2923"/>
      <c r="AB68" s="2923"/>
      <c r="AC68" s="2923"/>
    </row>
    <row r="69" spans="1:29" ht="21.75" thickBot="1">
      <c r="A69" s="702" t="s">
        <v>2435</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2346</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2311</v>
      </c>
      <c r="B73" s="466"/>
      <c r="C73" s="478" t="s">
        <v>2413</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2349</v>
      </c>
      <c r="B75" s="484" t="s">
        <v>2315</v>
      </c>
      <c r="C75" s="486"/>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2318</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c r="D80" s="505"/>
      <c r="E80" s="505"/>
      <c r="F80" s="505"/>
      <c r="G80" s="505"/>
      <c r="H80" s="505"/>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49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2320</v>
      </c>
      <c r="B88" s="484" t="s">
        <v>2357</v>
      </c>
      <c r="C88" s="529" t="s">
        <v>2358</v>
      </c>
      <c r="D88" s="529" t="s">
        <v>2359</v>
      </c>
      <c r="E88" s="529" t="s">
        <v>2360</v>
      </c>
      <c r="F88" s="529" t="s">
        <v>2361</v>
      </c>
      <c r="G88" s="529" t="s">
        <v>2362</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2544</v>
      </c>
      <c r="C90" s="534" t="s">
        <v>2358</v>
      </c>
      <c r="D90" s="534" t="s">
        <v>2359</v>
      </c>
      <c r="E90" s="534" t="s">
        <v>2360</v>
      </c>
      <c r="F90" s="534" t="s">
        <v>2361</v>
      </c>
      <c r="G90" s="534" t="s">
        <v>2362</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2458</v>
      </c>
      <c r="C92" s="534" t="s">
        <v>2358</v>
      </c>
      <c r="D92" s="534" t="s">
        <v>2359</v>
      </c>
      <c r="E92" s="534" t="s">
        <v>2360</v>
      </c>
      <c r="F92" s="534" t="s">
        <v>2361</v>
      </c>
      <c r="G92" s="534" t="s">
        <v>2362</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2363</v>
      </c>
      <c r="C94" s="534" t="s">
        <v>2358</v>
      </c>
      <c r="D94" s="534" t="s">
        <v>2359</v>
      </c>
      <c r="E94" s="534" t="s">
        <v>2360</v>
      </c>
      <c r="F94" s="534" t="s">
        <v>2361</v>
      </c>
      <c r="G94" s="534" t="s">
        <v>2362</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2452</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2510</v>
      </c>
      <c r="C108" s="539"/>
      <c r="D108" s="539"/>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c r="D117" s="551"/>
      <c r="E117" s="551"/>
      <c r="F117" s="551"/>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c r="D118" s="547"/>
      <c r="E118" s="547"/>
      <c r="F118" s="547"/>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2552</v>
      </c>
      <c r="C119" s="539"/>
      <c r="D119" s="539"/>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2553</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2554</v>
      </c>
      <c r="C123" s="510"/>
      <c r="D123" s="510"/>
      <c r="E123" s="510"/>
      <c r="F123" s="510"/>
      <c r="G123" s="510"/>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2555</v>
      </c>
      <c r="C125" s="510"/>
      <c r="D125" s="510"/>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2" xr:uid="{00000000-0002-0000-2600-000013000000}">
      <formula1>"商业,办公,住宅,工业"</formula1>
    </dataValidation>
    <dataValidation type="list" allowBlank="1" showInputMessage="1" showErrorMessage="1" sqref="G63" xr:uid="{00000000-0002-0000-2600-000014000000}">
      <formula1>"住宅,工业"</formula1>
    </dataValidation>
    <dataValidation type="list" allowBlank="1" showInputMessage="1" showErrorMessage="1" sqref="D57:D65" xr:uid="{00000000-0002-0000-2600-000015000000}">
      <formula1>"25%,1"</formula1>
    </dataValidation>
    <dataValidation type="list" allowBlank="1" showInputMessage="1" showErrorMessage="1" sqref="C30 E30 G30 I30" xr:uid="{00000000-0002-0000-2600-000016000000}">
      <formula1>基础设施水平</formula1>
    </dataValidation>
    <dataValidation type="list" allowBlank="1" showInputMessage="1" showErrorMessage="1" sqref="A71" xr:uid="{00000000-0002-0000-2600-000017000000}">
      <formula1>"综合,商业,办公,住宅"</formula1>
    </dataValidation>
    <dataValidation type="list" allowBlank="1" showInputMessage="1" showErrorMessage="1" sqref="D47"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估价结果一览表（市场价值不需“结果表-1”）</v>
      </c>
      <c r="B3" s="3265"/>
      <c r="C3" s="3265"/>
      <c r="D3" s="3265"/>
      <c r="E3" s="3265"/>
    </row>
    <row r="4" spans="1:5" ht="19.5" thickBot="1">
      <c r="A4" s="1647"/>
      <c r="B4" s="3263" t="s">
        <v>1535</v>
      </c>
      <c r="C4" s="3263"/>
      <c r="D4" s="3263"/>
      <c r="E4" s="1647"/>
    </row>
    <row r="5" spans="1:5" ht="16.5" thickTop="1">
      <c r="A5" s="1645"/>
      <c r="B5" s="3261" t="s">
        <v>1527</v>
      </c>
      <c r="C5" s="1648" t="s">
        <v>1528</v>
      </c>
      <c r="D5" s="958" t="e">
        <f ca="1">'结果表-车位'!H101</f>
        <v>#REF!</v>
      </c>
      <c r="E5" s="1645"/>
    </row>
    <row r="6" spans="1:5" ht="15.75">
      <c r="A6" s="1645"/>
      <c r="B6" s="3261"/>
      <c r="C6" s="1648" t="s">
        <v>1529</v>
      </c>
      <c r="D6" s="958" t="e">
        <f ca="1">NUMBERSTRING(INT(D5*10000),2)&amp;"元整"</f>
        <v>#REF!</v>
      </c>
      <c r="E6" s="1645"/>
    </row>
    <row r="7" spans="1:5" ht="15.75">
      <c r="A7" s="1645"/>
      <c r="B7" s="3266"/>
      <c r="C7" s="1649" t="s">
        <v>1530</v>
      </c>
      <c r="D7" s="959" t="e">
        <f ca="1">'结果表-车位'!H102</f>
        <v>#REF!</v>
      </c>
      <c r="E7" s="1645"/>
    </row>
    <row r="8" spans="1:5" ht="15.75">
      <c r="A8" s="1645"/>
      <c r="B8" s="3267" t="str">
        <f>'结果表-车位'!E103</f>
        <v>2.估价师知悉的法定优先受偿款</v>
      </c>
      <c r="C8" s="1650" t="s">
        <v>1531</v>
      </c>
      <c r="D8" s="959">
        <f>'结果表-车位'!H103</f>
        <v>0</v>
      </c>
      <c r="E8" s="1645"/>
    </row>
    <row r="9" spans="1:5" ht="15.75">
      <c r="A9" s="1645"/>
      <c r="B9" s="3269"/>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0" t="str">
        <f>'结果表-车位'!E107</f>
        <v>3.房地产抵押价值</v>
      </c>
      <c r="C13" s="1653" t="s">
        <v>1528</v>
      </c>
      <c r="D13" s="961" t="e">
        <f ca="1">'结果表-车位'!H107</f>
        <v>#REF!</v>
      </c>
      <c r="E13" s="1645"/>
    </row>
    <row r="14" spans="1:5" ht="15.75">
      <c r="A14" s="1645"/>
      <c r="B14" s="3261"/>
      <c r="C14" s="1648" t="s">
        <v>1529</v>
      </c>
      <c r="D14" s="958" t="e">
        <f ca="1">NUMBERSTRING(INT(D13*10000),2)&amp;"元整"</f>
        <v>#REF!</v>
      </c>
      <c r="E14" s="1645"/>
    </row>
    <row r="15" spans="1:5" ht="15">
      <c r="A15" s="1645"/>
      <c r="B15" s="3266"/>
      <c r="C15" s="1649" t="s">
        <v>1539</v>
      </c>
      <c r="D15" s="967" t="e">
        <f ca="1">'结果表-车位'!H108</f>
        <v>#REF!</v>
      </c>
      <c r="E15" s="1645"/>
    </row>
    <row r="16" spans="1:5" ht="15">
      <c r="A16" s="1645"/>
      <c r="B16" s="3267" t="str">
        <f>'结果表-车位'!E109</f>
        <v>——</v>
      </c>
      <c r="C16" s="1653" t="s">
        <v>1540</v>
      </c>
      <c r="D16" s="1654" t="str">
        <f>'结果表-车位'!H109</f>
        <v>——</v>
      </c>
      <c r="E16" s="1645"/>
    </row>
    <row r="17" spans="1:5" ht="15.75">
      <c r="A17" s="1645"/>
      <c r="B17" s="3268"/>
      <c r="C17" s="1648" t="s">
        <v>1541</v>
      </c>
      <c r="D17" s="958" t="e">
        <f>NUMBERSTRING(INT(D16*10000),2)&amp;"元整"</f>
        <v>#VALUE!</v>
      </c>
      <c r="E17" s="1645"/>
    </row>
    <row r="18" spans="1:5" ht="15">
      <c r="A18" s="1645"/>
      <c r="B18" s="3269"/>
      <c r="C18" s="1649" t="s">
        <v>1530</v>
      </c>
      <c r="D18" s="967" t="str">
        <f>'结果表-车位'!H110</f>
        <v>——</v>
      </c>
      <c r="E18" s="1645"/>
    </row>
    <row r="19" spans="1:5" ht="15.75">
      <c r="A19" s="1645"/>
      <c r="B19" s="3260" t="str">
        <f>'结果表-车位'!E111</f>
        <v>——</v>
      </c>
      <c r="C19" s="1653" t="s">
        <v>1528</v>
      </c>
      <c r="D19" s="959" t="str">
        <f>'结果表-车位'!H111</f>
        <v>——</v>
      </c>
      <c r="E19" s="1645"/>
    </row>
    <row r="20" spans="1:5" ht="15.75">
      <c r="A20" s="1645"/>
      <c r="B20" s="3261"/>
      <c r="C20" s="1648" t="s">
        <v>1541</v>
      </c>
      <c r="D20" s="958" t="e">
        <f>NUMBERSTRING(INT(D19*10000),2)&amp;"元整"</f>
        <v>#VALUE!</v>
      </c>
      <c r="E20" s="1645"/>
    </row>
    <row r="21" spans="1:5" ht="15.75" thickBot="1">
      <c r="A21" s="1645"/>
      <c r="B21" s="3262"/>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7" t="s">
        <v>2407</v>
      </c>
      <c r="D4" s="3368"/>
      <c r="E4" s="3369" t="s">
        <v>2408</v>
      </c>
      <c r="F4" s="3370"/>
      <c r="G4" s="3367" t="s">
        <v>2409</v>
      </c>
      <c r="H4" s="3368"/>
      <c r="I4" s="3367" t="s">
        <v>2410</v>
      </c>
      <c r="J4" s="3368"/>
      <c r="K4" s="566" t="s">
        <v>2411</v>
      </c>
      <c r="L4" s="2913"/>
      <c r="M4" s="2914"/>
      <c r="N4" s="2914"/>
      <c r="O4" s="2914"/>
      <c r="P4" s="3371" t="s">
        <v>2412</v>
      </c>
      <c r="Q4" s="3372"/>
      <c r="R4" s="3377" t="s">
        <v>2408</v>
      </c>
      <c r="S4" s="3378"/>
      <c r="T4" s="3377" t="s">
        <v>2409</v>
      </c>
      <c r="U4" s="3378"/>
      <c r="V4" s="3383" t="s">
        <v>2410</v>
      </c>
      <c r="W4" s="3383"/>
      <c r="X4" s="1508"/>
      <c r="Y4" s="3377" t="s">
        <v>2412</v>
      </c>
      <c r="Z4" s="3378"/>
      <c r="AA4" s="3364" t="s">
        <v>2408</v>
      </c>
      <c r="AB4" s="3365" t="s">
        <v>2409</v>
      </c>
      <c r="AC4" s="3364" t="s">
        <v>2410</v>
      </c>
    </row>
    <row r="5" spans="1:29" ht="15">
      <c r="A5" s="363"/>
      <c r="B5" s="364"/>
      <c r="C5" s="3497" t="s">
        <v>2303</v>
      </c>
      <c r="D5" s="3387"/>
      <c r="E5" s="3498" t="s">
        <v>2304</v>
      </c>
      <c r="F5" s="3395"/>
      <c r="G5" s="3497" t="s">
        <v>2305</v>
      </c>
      <c r="H5" s="3387"/>
      <c r="I5" s="3497" t="s">
        <v>2306</v>
      </c>
      <c r="J5" s="3387"/>
      <c r="K5" s="566"/>
      <c r="L5" s="2913"/>
      <c r="M5" s="2914"/>
      <c r="N5" s="2914"/>
      <c r="O5" s="2914"/>
      <c r="P5" s="3373"/>
      <c r="Q5" s="3374"/>
      <c r="R5" s="3379"/>
      <c r="S5" s="3380"/>
      <c r="T5" s="3379"/>
      <c r="U5" s="3380"/>
      <c r="V5" s="3383"/>
      <c r="W5" s="3383"/>
      <c r="X5" s="1508"/>
      <c r="Y5" s="3379"/>
      <c r="Z5" s="3380"/>
      <c r="AA5" s="3365"/>
      <c r="AB5" s="3365"/>
      <c r="AC5" s="3365"/>
    </row>
    <row r="6" spans="1:29" ht="15.75" thickBot="1">
      <c r="A6" s="365"/>
      <c r="B6" s="366"/>
      <c r="C6" s="3550" t="s">
        <v>2557</v>
      </c>
      <c r="D6" s="3551"/>
      <c r="E6" s="3552" t="s">
        <v>2557</v>
      </c>
      <c r="F6" s="3553"/>
      <c r="G6" s="3550" t="s">
        <v>2557</v>
      </c>
      <c r="H6" s="3551"/>
      <c r="I6" s="3550" t="s">
        <v>2557</v>
      </c>
      <c r="J6" s="3551"/>
      <c r="K6" s="566" t="s">
        <v>2308</v>
      </c>
      <c r="L6" s="2913"/>
      <c r="M6" s="2914"/>
      <c r="N6" s="2914"/>
      <c r="O6" s="2914"/>
      <c r="P6" s="3375"/>
      <c r="Q6" s="3376"/>
      <c r="R6" s="3379"/>
      <c r="S6" s="3380"/>
      <c r="T6" s="3381"/>
      <c r="U6" s="3382"/>
      <c r="V6" s="3383"/>
      <c r="W6" s="3383"/>
      <c r="X6" s="1508"/>
      <c r="Y6" s="3381"/>
      <c r="Z6" s="3382"/>
      <c r="AA6" s="3366"/>
      <c r="AB6" s="3366"/>
      <c r="AC6" s="3366"/>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388" t="s">
        <v>2310</v>
      </c>
      <c r="Q7" s="3390"/>
      <c r="R7" s="709" t="s">
        <v>17</v>
      </c>
      <c r="S7" s="710">
        <f t="shared" ref="S7:S15" si="0">F7</f>
        <v>0</v>
      </c>
      <c r="T7" s="709" t="s">
        <v>17</v>
      </c>
      <c r="U7" s="710">
        <f t="shared" ref="U7:U15" si="1">H7</f>
        <v>0</v>
      </c>
      <c r="V7" s="709" t="s">
        <v>17</v>
      </c>
      <c r="W7" s="710">
        <f t="shared" ref="W7:W15" si="2">J7</f>
        <v>0</v>
      </c>
      <c r="X7" s="711"/>
      <c r="Y7" s="3388" t="s">
        <v>2310</v>
      </c>
      <c r="Z7" s="3389"/>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388" t="s">
        <v>2313</v>
      </c>
      <c r="Q8" s="3389"/>
      <c r="R8" s="709" t="s">
        <v>17</v>
      </c>
      <c r="S8" s="710">
        <f t="shared" si="0"/>
        <v>0</v>
      </c>
      <c r="T8" s="709" t="s">
        <v>17</v>
      </c>
      <c r="U8" s="710">
        <f t="shared" si="1"/>
        <v>0</v>
      </c>
      <c r="V8" s="709" t="s">
        <v>17</v>
      </c>
      <c r="W8" s="710">
        <f t="shared" si="2"/>
        <v>0</v>
      </c>
      <c r="X8" s="711"/>
      <c r="Y8" s="3388" t="s">
        <v>2313</v>
      </c>
      <c r="Z8" s="3389"/>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5"/>
      <c r="M9" s="2916"/>
      <c r="N9" s="2916"/>
      <c r="O9" s="2970"/>
      <c r="P9" s="3354" t="s">
        <v>2316</v>
      </c>
      <c r="Q9" s="1496" t="str">
        <f t="shared" ref="Q9:Q15" si="6">B9</f>
        <v>用途</v>
      </c>
      <c r="R9" s="709" t="s">
        <v>17</v>
      </c>
      <c r="S9" s="710">
        <f t="shared" si="0"/>
        <v>100</v>
      </c>
      <c r="T9" s="709" t="s">
        <v>17</v>
      </c>
      <c r="U9" s="710">
        <f t="shared" si="1"/>
        <v>100</v>
      </c>
      <c r="V9" s="709" t="s">
        <v>17</v>
      </c>
      <c r="W9" s="710">
        <f t="shared" si="2"/>
        <v>100</v>
      </c>
      <c r="X9" s="711"/>
      <c r="Y9" s="3363"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7"/>
      <c r="M10" s="2918"/>
      <c r="N10" s="2918"/>
      <c r="O10" s="2971"/>
      <c r="P10" s="3354"/>
      <c r="Q10" s="1496" t="str">
        <f t="shared" si="6"/>
        <v>土地使用年限（年）</v>
      </c>
      <c r="R10" s="709" t="s">
        <v>17</v>
      </c>
      <c r="S10" s="710">
        <f t="shared" si="0"/>
        <v>101</v>
      </c>
      <c r="T10" s="709" t="s">
        <v>17</v>
      </c>
      <c r="U10" s="710">
        <f t="shared" si="1"/>
        <v>101</v>
      </c>
      <c r="V10" s="709" t="s">
        <v>17</v>
      </c>
      <c r="W10" s="710">
        <f t="shared" si="2"/>
        <v>101</v>
      </c>
      <c r="X10" s="711"/>
      <c r="Y10" s="3363"/>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9"/>
      <c r="M11" s="2914"/>
      <c r="N11" s="2914"/>
      <c r="O11" s="2972"/>
      <c r="P11" s="3354"/>
      <c r="Q11" s="1496" t="str">
        <f t="shared" si="6"/>
        <v>容积率</v>
      </c>
      <c r="R11" s="709" t="s">
        <v>17</v>
      </c>
      <c r="S11" s="710" t="e">
        <f t="shared" si="0"/>
        <v>#N/A</v>
      </c>
      <c r="T11" s="709" t="s">
        <v>17</v>
      </c>
      <c r="U11" s="710" t="e">
        <f t="shared" si="1"/>
        <v>#N/A</v>
      </c>
      <c r="V11" s="709" t="s">
        <v>17</v>
      </c>
      <c r="W11" s="710" t="e">
        <f t="shared" si="2"/>
        <v>#N/A</v>
      </c>
      <c r="X11" s="711"/>
      <c r="Y11" s="3363"/>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5"/>
      <c r="M12" s="2916"/>
      <c r="N12" s="2916"/>
      <c r="O12" s="2970"/>
      <c r="P12" s="3354"/>
      <c r="Q12" s="1496">
        <f t="shared" si="6"/>
        <v>111</v>
      </c>
      <c r="R12" s="709" t="s">
        <v>17</v>
      </c>
      <c r="S12" s="710">
        <f t="shared" si="0"/>
        <v>100</v>
      </c>
      <c r="T12" s="709" t="s">
        <v>17</v>
      </c>
      <c r="U12" s="710">
        <f t="shared" si="1"/>
        <v>100</v>
      </c>
      <c r="V12" s="709" t="s">
        <v>17</v>
      </c>
      <c r="W12" s="710">
        <f t="shared" si="2"/>
        <v>100</v>
      </c>
      <c r="X12" s="711"/>
      <c r="Y12" s="3363"/>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20"/>
      <c r="M13" s="2914"/>
      <c r="N13" s="2914"/>
      <c r="O13" s="2972"/>
      <c r="P13" s="3354"/>
      <c r="Q13" s="1496">
        <f t="shared" si="6"/>
        <v>111</v>
      </c>
      <c r="R13" s="709" t="s">
        <v>17</v>
      </c>
      <c r="S13" s="710">
        <f t="shared" si="0"/>
        <v>100</v>
      </c>
      <c r="T13" s="709" t="s">
        <v>17</v>
      </c>
      <c r="U13" s="710">
        <f t="shared" si="1"/>
        <v>100</v>
      </c>
      <c r="V13" s="709" t="s">
        <v>17</v>
      </c>
      <c r="W13" s="710">
        <f t="shared" si="2"/>
        <v>100</v>
      </c>
      <c r="X13" s="711"/>
      <c r="Y13" s="3363"/>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354"/>
      <c r="Q14" s="1496">
        <f t="shared" si="6"/>
        <v>111</v>
      </c>
      <c r="R14" s="709" t="s">
        <v>17</v>
      </c>
      <c r="S14" s="710">
        <f t="shared" si="0"/>
        <v>100</v>
      </c>
      <c r="T14" s="709" t="s">
        <v>17</v>
      </c>
      <c r="U14" s="710">
        <f t="shared" si="1"/>
        <v>100</v>
      </c>
      <c r="V14" s="709" t="s">
        <v>17</v>
      </c>
      <c r="W14" s="710">
        <f t="shared" si="2"/>
        <v>100</v>
      </c>
      <c r="X14" s="711"/>
      <c r="Y14" s="3363"/>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359" t="s">
        <v>2321</v>
      </c>
      <c r="Q15" s="1505" t="str">
        <f t="shared" si="6"/>
        <v>产业集聚程度</v>
      </c>
      <c r="R15" s="713" t="s">
        <v>17</v>
      </c>
      <c r="S15" s="714">
        <f t="shared" si="0"/>
        <v>100</v>
      </c>
      <c r="T15" s="713" t="s">
        <v>17</v>
      </c>
      <c r="U15" s="714">
        <f t="shared" si="1"/>
        <v>100</v>
      </c>
      <c r="V15" s="713" t="s">
        <v>17</v>
      </c>
      <c r="W15" s="714">
        <f t="shared" si="2"/>
        <v>100</v>
      </c>
      <c r="X15" s="1508"/>
      <c r="Y15" s="3359"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360"/>
      <c r="Q16" s="1505"/>
      <c r="R16" s="713"/>
      <c r="S16" s="714"/>
      <c r="T16" s="713"/>
      <c r="U16" s="714"/>
      <c r="V16" s="713"/>
      <c r="W16" s="714"/>
      <c r="X16" s="1508"/>
      <c r="Y16" s="3360"/>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360"/>
      <c r="Q17" s="1505" t="str">
        <f>B17</f>
        <v>交通便捷度</v>
      </c>
      <c r="R17" s="713" t="s">
        <v>17</v>
      </c>
      <c r="S17" s="714">
        <f>F17</f>
        <v>100</v>
      </c>
      <c r="T17" s="713" t="s">
        <v>17</v>
      </c>
      <c r="U17" s="714">
        <f>H17</f>
        <v>100</v>
      </c>
      <c r="V17" s="713" t="s">
        <v>17</v>
      </c>
      <c r="W17" s="714">
        <f>J17</f>
        <v>100</v>
      </c>
      <c r="X17" s="1508"/>
      <c r="Y17" s="3360"/>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360"/>
      <c r="Q18" s="1505"/>
      <c r="R18" s="713"/>
      <c r="S18" s="714"/>
      <c r="T18" s="713"/>
      <c r="U18" s="714"/>
      <c r="V18" s="713"/>
      <c r="W18" s="714"/>
      <c r="X18" s="1508"/>
      <c r="Y18" s="3360"/>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360"/>
      <c r="Q19" s="1505" t="str">
        <f t="shared" ref="Q19:Q33" si="8">B19</f>
        <v>区域土地利用方向</v>
      </c>
      <c r="R19" s="713" t="s">
        <v>17</v>
      </c>
      <c r="S19" s="714">
        <f>F19</f>
        <v>100</v>
      </c>
      <c r="T19" s="713" t="s">
        <v>17</v>
      </c>
      <c r="U19" s="714">
        <f>H19</f>
        <v>100</v>
      </c>
      <c r="V19" s="713" t="s">
        <v>17</v>
      </c>
      <c r="W19" s="714">
        <f>J19</f>
        <v>100</v>
      </c>
      <c r="X19" s="1508"/>
      <c r="Y19" s="3360"/>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360"/>
      <c r="Q20" s="1505"/>
      <c r="R20" s="713"/>
      <c r="S20" s="714"/>
      <c r="T20" s="713"/>
      <c r="U20" s="714"/>
      <c r="V20" s="713"/>
      <c r="W20" s="714"/>
      <c r="X20" s="1508"/>
      <c r="Y20" s="3360"/>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360"/>
      <c r="Q21" s="1505" t="str">
        <f t="shared" si="8"/>
        <v>环境状况</v>
      </c>
      <c r="R21" s="713" t="s">
        <v>17</v>
      </c>
      <c r="S21" s="714">
        <f>F21</f>
        <v>100</v>
      </c>
      <c r="T21" s="713" t="s">
        <v>17</v>
      </c>
      <c r="U21" s="714">
        <f>H21</f>
        <v>100</v>
      </c>
      <c r="V21" s="713" t="s">
        <v>17</v>
      </c>
      <c r="W21" s="714">
        <f>J21</f>
        <v>100</v>
      </c>
      <c r="X21" s="1508"/>
      <c r="Y21" s="3360"/>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360"/>
      <c r="Q22" s="1505"/>
      <c r="R22" s="713"/>
      <c r="S22" s="714"/>
      <c r="T22" s="713"/>
      <c r="U22" s="714"/>
      <c r="V22" s="713"/>
      <c r="W22" s="714"/>
      <c r="X22" s="1508"/>
      <c r="Y22" s="3360"/>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360"/>
      <c r="Q23" s="1496" t="str">
        <f t="shared" si="8"/>
        <v>公共配套设施</v>
      </c>
      <c r="R23" s="709" t="s">
        <v>17</v>
      </c>
      <c r="S23" s="710">
        <f>F23</f>
        <v>100</v>
      </c>
      <c r="T23" s="709" t="s">
        <v>17</v>
      </c>
      <c r="U23" s="710">
        <f>H23</f>
        <v>100</v>
      </c>
      <c r="V23" s="709" t="s">
        <v>17</v>
      </c>
      <c r="W23" s="710">
        <f>J23</f>
        <v>100</v>
      </c>
      <c r="X23" s="711"/>
      <c r="Y23" s="3360"/>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360"/>
      <c r="Q24" s="1496"/>
      <c r="R24" s="709"/>
      <c r="S24" s="710"/>
      <c r="T24" s="709"/>
      <c r="U24" s="710"/>
      <c r="V24" s="709"/>
      <c r="W24" s="710"/>
      <c r="X24" s="711"/>
      <c r="Y24" s="3360"/>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360"/>
      <c r="Q25" s="1496" t="str">
        <f t="shared" ref="Q25" si="9">B25</f>
        <v>基础设施水平</v>
      </c>
      <c r="R25" s="709" t="s">
        <v>17</v>
      </c>
      <c r="S25" s="710">
        <f>F25</f>
        <v>100</v>
      </c>
      <c r="T25" s="709" t="s">
        <v>17</v>
      </c>
      <c r="U25" s="710">
        <f>H25</f>
        <v>100</v>
      </c>
      <c r="V25" s="709" t="s">
        <v>17</v>
      </c>
      <c r="W25" s="710">
        <f>J25</f>
        <v>100</v>
      </c>
      <c r="X25" s="711"/>
      <c r="Y25" s="3360"/>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360"/>
      <c r="Q26" s="1496"/>
      <c r="R26" s="709"/>
      <c r="S26" s="710"/>
      <c r="T26" s="709"/>
      <c r="U26" s="710"/>
      <c r="V26" s="709"/>
      <c r="W26" s="710"/>
      <c r="X26" s="711"/>
      <c r="Y26" s="3360"/>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360"/>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360"/>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360"/>
      <c r="Q28" s="1505" t="str">
        <f t="shared" si="8"/>
        <v>毗邻道路的类型与等级</v>
      </c>
      <c r="R28" s="713" t="s">
        <v>17</v>
      </c>
      <c r="S28" s="714">
        <f t="shared" si="10"/>
        <v>100</v>
      </c>
      <c r="T28" s="713" t="s">
        <v>17</v>
      </c>
      <c r="U28" s="714">
        <f t="shared" si="11"/>
        <v>100</v>
      </c>
      <c r="V28" s="713" t="s">
        <v>17</v>
      </c>
      <c r="W28" s="714">
        <f t="shared" si="12"/>
        <v>100</v>
      </c>
      <c r="X28" s="1508"/>
      <c r="Y28" s="3360"/>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360"/>
      <c r="Q29" s="1505"/>
      <c r="R29" s="713"/>
      <c r="S29" s="714"/>
      <c r="T29" s="713"/>
      <c r="U29" s="714"/>
      <c r="V29" s="713"/>
      <c r="W29" s="714"/>
      <c r="X29" s="1508"/>
      <c r="Y29" s="3360"/>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360"/>
      <c r="Q30" s="1505" t="str">
        <f t="shared" si="8"/>
        <v>土地级别</v>
      </c>
      <c r="R30" s="713" t="s">
        <v>17</v>
      </c>
      <c r="S30" s="714">
        <f t="shared" si="10"/>
        <v>100</v>
      </c>
      <c r="T30" s="713" t="s">
        <v>17</v>
      </c>
      <c r="U30" s="714">
        <f t="shared" si="11"/>
        <v>100</v>
      </c>
      <c r="V30" s="713" t="s">
        <v>17</v>
      </c>
      <c r="W30" s="714">
        <f t="shared" si="12"/>
        <v>100</v>
      </c>
      <c r="X30" s="1508"/>
      <c r="Y30" s="3360"/>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360"/>
      <c r="Q31" s="1505">
        <f t="shared" si="8"/>
        <v>111</v>
      </c>
      <c r="R31" s="713" t="s">
        <v>17</v>
      </c>
      <c r="S31" s="714">
        <f t="shared" si="10"/>
        <v>100</v>
      </c>
      <c r="T31" s="713" t="s">
        <v>17</v>
      </c>
      <c r="U31" s="714">
        <f t="shared" si="11"/>
        <v>100</v>
      </c>
      <c r="V31" s="713" t="s">
        <v>17</v>
      </c>
      <c r="W31" s="714">
        <f t="shared" si="12"/>
        <v>100</v>
      </c>
      <c r="X31" s="1508"/>
      <c r="Y31" s="3360"/>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361" t="s">
        <v>2326</v>
      </c>
      <c r="Q32" s="1505">
        <f t="shared" si="8"/>
        <v>111</v>
      </c>
      <c r="R32" s="713" t="s">
        <v>17</v>
      </c>
      <c r="S32" s="714">
        <f t="shared" si="10"/>
        <v>100</v>
      </c>
      <c r="T32" s="713" t="s">
        <v>17</v>
      </c>
      <c r="U32" s="714">
        <f t="shared" si="11"/>
        <v>100</v>
      </c>
      <c r="V32" s="713" t="s">
        <v>17</v>
      </c>
      <c r="W32" s="714">
        <f t="shared" si="12"/>
        <v>100</v>
      </c>
      <c r="X32" s="1508"/>
      <c r="Y32" s="3362"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362"/>
      <c r="Q33" s="1505">
        <f t="shared" si="8"/>
        <v>111</v>
      </c>
      <c r="R33" s="716" t="s">
        <v>17</v>
      </c>
      <c r="S33" s="717">
        <f t="shared" si="10"/>
        <v>100</v>
      </c>
      <c r="T33" s="716" t="s">
        <v>17</v>
      </c>
      <c r="U33" s="717">
        <f t="shared" si="11"/>
        <v>100</v>
      </c>
      <c r="V33" s="716" t="s">
        <v>17</v>
      </c>
      <c r="W33" s="717">
        <f t="shared" si="12"/>
        <v>100</v>
      </c>
      <c r="X33" s="718"/>
      <c r="Y33" s="3362"/>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362"/>
      <c r="Q34" s="1505" t="str">
        <f>B34</f>
        <v>宗地面积</v>
      </c>
      <c r="R34" s="713" t="s">
        <v>17</v>
      </c>
      <c r="S34" s="714" t="e">
        <f t="shared" si="10"/>
        <v>#N/A</v>
      </c>
      <c r="T34" s="713" t="s">
        <v>17</v>
      </c>
      <c r="U34" s="714" t="e">
        <f t="shared" si="11"/>
        <v>#N/A</v>
      </c>
      <c r="V34" s="713" t="s">
        <v>17</v>
      </c>
      <c r="W34" s="714" t="e">
        <f t="shared" si="12"/>
        <v>#N/A</v>
      </c>
      <c r="X34" s="1508"/>
      <c r="Y34" s="3362"/>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362"/>
      <c r="Q35" s="1505" t="str">
        <f t="shared" ref="Q35:Q40" si="14">B35</f>
        <v>宗地形状</v>
      </c>
      <c r="R35" s="713" t="s">
        <v>17</v>
      </c>
      <c r="S35" s="714">
        <f t="shared" si="10"/>
        <v>100</v>
      </c>
      <c r="T35" s="713" t="s">
        <v>17</v>
      </c>
      <c r="U35" s="714">
        <f t="shared" si="11"/>
        <v>100</v>
      </c>
      <c r="V35" s="713" t="s">
        <v>17</v>
      </c>
      <c r="W35" s="714">
        <f t="shared" si="12"/>
        <v>100</v>
      </c>
      <c r="X35" s="1508"/>
      <c r="Y35" s="3362"/>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362"/>
      <c r="Q36" s="1505" t="str">
        <f t="shared" si="14"/>
        <v>宗地开发程度</v>
      </c>
      <c r="R36" s="709" t="s">
        <v>17</v>
      </c>
      <c r="S36" s="710">
        <f t="shared" si="10"/>
        <v>100</v>
      </c>
      <c r="T36" s="709" t="s">
        <v>17</v>
      </c>
      <c r="U36" s="710">
        <f t="shared" si="11"/>
        <v>100</v>
      </c>
      <c r="V36" s="709" t="s">
        <v>17</v>
      </c>
      <c r="W36" s="710">
        <f t="shared" si="12"/>
        <v>100</v>
      </c>
      <c r="X36" s="711"/>
      <c r="Y36" s="3362"/>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362" t="s">
        <v>2326</v>
      </c>
      <c r="Q37" s="1505" t="str">
        <f t="shared" si="14"/>
        <v>工程地质条件</v>
      </c>
      <c r="R37" s="713" t="s">
        <v>17</v>
      </c>
      <c r="S37" s="714">
        <f t="shared" si="10"/>
        <v>100</v>
      </c>
      <c r="T37" s="713" t="s">
        <v>17</v>
      </c>
      <c r="U37" s="714">
        <f t="shared" si="11"/>
        <v>100</v>
      </c>
      <c r="V37" s="713" t="s">
        <v>17</v>
      </c>
      <c r="W37" s="714">
        <f t="shared" si="12"/>
        <v>100</v>
      </c>
      <c r="X37" s="1508"/>
      <c r="Y37" s="3362"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362"/>
      <c r="Q38" s="1505">
        <f t="shared" si="14"/>
        <v>111</v>
      </c>
      <c r="R38" s="713" t="s">
        <v>17</v>
      </c>
      <c r="S38" s="714">
        <f t="shared" si="10"/>
        <v>100</v>
      </c>
      <c r="T38" s="713" t="s">
        <v>17</v>
      </c>
      <c r="U38" s="714">
        <f t="shared" si="11"/>
        <v>100</v>
      </c>
      <c r="V38" s="713" t="s">
        <v>17</v>
      </c>
      <c r="W38" s="714">
        <f t="shared" si="12"/>
        <v>100</v>
      </c>
      <c r="X38" s="1508"/>
      <c r="Y38" s="3362"/>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362"/>
      <c r="Q39" s="1505">
        <f t="shared" si="14"/>
        <v>111</v>
      </c>
      <c r="R39" s="713" t="s">
        <v>17</v>
      </c>
      <c r="S39" s="714">
        <f t="shared" si="10"/>
        <v>100</v>
      </c>
      <c r="T39" s="713" t="s">
        <v>17</v>
      </c>
      <c r="U39" s="714">
        <f t="shared" si="11"/>
        <v>100</v>
      </c>
      <c r="V39" s="713" t="s">
        <v>17</v>
      </c>
      <c r="W39" s="714">
        <f t="shared" si="12"/>
        <v>100</v>
      </c>
      <c r="X39" s="1508"/>
      <c r="Y39" s="3362"/>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362"/>
      <c r="Q40" s="1505">
        <f t="shared" si="14"/>
        <v>111</v>
      </c>
      <c r="R40" s="716" t="s">
        <v>17</v>
      </c>
      <c r="S40" s="717">
        <f t="shared" si="10"/>
        <v>100</v>
      </c>
      <c r="T40" s="716" t="s">
        <v>17</v>
      </c>
      <c r="U40" s="717">
        <f t="shared" si="11"/>
        <v>100</v>
      </c>
      <c r="V40" s="716" t="s">
        <v>17</v>
      </c>
      <c r="W40" s="717">
        <f t="shared" si="12"/>
        <v>100</v>
      </c>
      <c r="X40" s="718"/>
      <c r="Y40" s="3362"/>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2"/>
      <c r="M41" s="2914"/>
      <c r="N41" s="2914"/>
      <c r="O41" s="2923"/>
      <c r="P41" s="3354" t="str">
        <f>A41</f>
        <v>成交单价</v>
      </c>
      <c r="Q41" s="3354"/>
      <c r="R41" s="3383">
        <f>E41</f>
        <v>0</v>
      </c>
      <c r="S41" s="3383"/>
      <c r="T41" s="3383">
        <f>G41</f>
        <v>0</v>
      </c>
      <c r="U41" s="3383"/>
      <c r="V41" s="3383">
        <f>I41</f>
        <v>0</v>
      </c>
      <c r="W41" s="3383"/>
      <c r="X41" s="698"/>
      <c r="Y41" s="720"/>
      <c r="Z41" s="698"/>
      <c r="AA41" s="698"/>
      <c r="AB41" s="698"/>
      <c r="AC41" s="698"/>
    </row>
    <row r="42" spans="1:31" ht="15.75" thickBot="1">
      <c r="A42" s="444" t="s">
        <v>2430</v>
      </c>
      <c r="B42" s="638"/>
      <c r="C42" s="447" t="e">
        <f>R43</f>
        <v>#DIV/0!</v>
      </c>
      <c r="D42" s="2507" t="s">
        <v>2818</v>
      </c>
      <c r="E42" s="447" t="e">
        <f>R42</f>
        <v>#DIV/0!</v>
      </c>
      <c r="F42" s="2508"/>
      <c r="G42" s="446" t="e">
        <f>T42</f>
        <v>#DIV/0!</v>
      </c>
      <c r="H42" s="2508"/>
      <c r="I42" s="447" t="e">
        <f>V42</f>
        <v>#DIV/0!</v>
      </c>
      <c r="J42" s="2508"/>
      <c r="K42" s="2510">
        <f>F42+H42+J42</f>
        <v>0</v>
      </c>
      <c r="L42" s="2922"/>
      <c r="M42" s="2914"/>
      <c r="N42" s="2914"/>
      <c r="O42" s="2923"/>
      <c r="P42" s="3354" t="str">
        <f>A42</f>
        <v>比较价值（元/平方米）</v>
      </c>
      <c r="Q42" s="3354"/>
      <c r="R42" s="3546" t="e">
        <f>ROUND(PRODUCT(R41,AA7:AA40),0)</f>
        <v>#DIV/0!</v>
      </c>
      <c r="S42" s="3546"/>
      <c r="T42" s="3546" t="e">
        <f>ROUND(PRODUCT(T41,AB7:AB40),0)</f>
        <v>#DIV/0!</v>
      </c>
      <c r="U42" s="3546"/>
      <c r="V42" s="3546" t="e">
        <f>ROUND(PRODUCT(V41,AC7:AC40),0)</f>
        <v>#DIV/0!</v>
      </c>
      <c r="W42" s="3546"/>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2"/>
      <c r="M43" s="2914"/>
      <c r="N43" s="2914"/>
      <c r="O43" s="2923"/>
      <c r="P43" s="3356" t="str">
        <f>A43</f>
        <v>估价对象XX用房的比较价值（楼面单价，元/平方米）</v>
      </c>
      <c r="Q43" s="3357"/>
      <c r="R43" s="3547" t="e">
        <f>ROUND(IF(D42="简单平均",AVERAGE(R42:W42),R42*F42+T42*H42+V42*J42),0)</f>
        <v>#DIV/0!</v>
      </c>
      <c r="S43" s="3547"/>
      <c r="T43" s="3547"/>
      <c r="U43" s="3547"/>
      <c r="V43" s="3547"/>
      <c r="W43" s="3547"/>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2518</v>
      </c>
      <c r="B50" s="640" t="s">
        <v>2519</v>
      </c>
      <c r="C50" s="2138" t="s">
        <v>2520</v>
      </c>
      <c r="D50" s="2139" t="s">
        <v>2521</v>
      </c>
      <c r="E50" s="641" t="s">
        <v>2522</v>
      </c>
      <c r="F50" s="642" t="s">
        <v>2523</v>
      </c>
      <c r="G50" s="3367" t="s">
        <v>2524</v>
      </c>
      <c r="H50" s="3548"/>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2527</v>
      </c>
      <c r="B51" s="644" t="e">
        <f>C43</f>
        <v>#DIV/0!</v>
      </c>
      <c r="C51" s="645">
        <v>1</v>
      </c>
      <c r="D51" s="1074">
        <v>1</v>
      </c>
      <c r="E51" s="645">
        <f>'数据-汇总表'!E8+'数据-汇总表'!E9</f>
        <v>0</v>
      </c>
      <c r="F51" s="646" t="e">
        <f t="shared" ref="F51:F60" si="15">ROUND(B51*E51/10000,0)</f>
        <v>#DIV/0!</v>
      </c>
      <c r="G51" s="3530"/>
      <c r="H51" s="3354"/>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2528</v>
      </c>
      <c r="B52" s="223" t="e">
        <f>ROUND($C$43*C52*D52,0)</f>
        <v>#DIV/0!</v>
      </c>
      <c r="C52" s="175">
        <f t="shared" ref="C52:C60" si="16">IF($C$50="北京市系数",I52,J52)</f>
        <v>0.7</v>
      </c>
      <c r="D52" s="1075">
        <v>0.25</v>
      </c>
      <c r="E52" s="649"/>
      <c r="F52" s="646" t="e">
        <f t="shared" si="15"/>
        <v>#DIV/0!</v>
      </c>
      <c r="G52" s="3549" t="s">
        <v>2529</v>
      </c>
      <c r="H52" s="1017" t="str">
        <f>项目基本情况!B37</f>
        <v>七级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2530</v>
      </c>
      <c r="B53" s="223" t="e">
        <f t="shared" ref="B53:B60" si="17">ROUND($C$43*C53*D53,0)</f>
        <v>#DIV/0!</v>
      </c>
      <c r="C53" s="175">
        <f t="shared" si="16"/>
        <v>0.4</v>
      </c>
      <c r="D53" s="1075">
        <v>0.25</v>
      </c>
      <c r="E53" s="649"/>
      <c r="F53" s="646" t="e">
        <f t="shared" si="15"/>
        <v>#DIV/0!</v>
      </c>
      <c r="G53" s="3549"/>
      <c r="H53" s="1017" t="str">
        <f>项目基本情况!B37</f>
        <v>七级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2531</v>
      </c>
      <c r="B54" s="223" t="e">
        <f t="shared" si="17"/>
        <v>#DIV/0!</v>
      </c>
      <c r="C54" s="175">
        <f t="shared" si="16"/>
        <v>0.28000000000000003</v>
      </c>
      <c r="D54" s="1075">
        <v>0.25</v>
      </c>
      <c r="E54" s="649"/>
      <c r="F54" s="646" t="e">
        <f t="shared" si="15"/>
        <v>#DIV/0!</v>
      </c>
      <c r="G54" s="3549"/>
      <c r="H54" s="1017" t="str">
        <f>项目基本情况!B37</f>
        <v>七级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2532</v>
      </c>
      <c r="B55" s="223" t="e">
        <f t="shared" si="17"/>
        <v>#DIV/0!</v>
      </c>
      <c r="C55" s="175">
        <f t="shared" si="16"/>
        <v>0.25</v>
      </c>
      <c r="D55" s="1075">
        <v>0.25</v>
      </c>
      <c r="E55" s="649"/>
      <c r="F55" s="646" t="e">
        <f t="shared" si="15"/>
        <v>#DIV/0!</v>
      </c>
      <c r="G55" s="3549"/>
      <c r="H55" s="1017" t="str">
        <f>项目基本情况!B37</f>
        <v>七级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2" t="s">
        <v>2435</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2346</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2311</v>
      </c>
      <c r="B68" s="466"/>
      <c r="C68" s="478" t="s">
        <v>2413</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2349</v>
      </c>
      <c r="B70" s="484" t="s">
        <v>2315</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2318</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2320</v>
      </c>
      <c r="B83" s="484" t="s">
        <v>2466</v>
      </c>
      <c r="C83" s="529" t="s">
        <v>2358</v>
      </c>
      <c r="D83" s="529" t="s">
        <v>2359</v>
      </c>
      <c r="E83" s="529" t="s">
        <v>2360</v>
      </c>
      <c r="F83" s="529" t="s">
        <v>2361</v>
      </c>
      <c r="G83" s="529" t="s">
        <v>2362</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2363</v>
      </c>
      <c r="C85" s="534" t="s">
        <v>2358</v>
      </c>
      <c r="D85" s="534" t="s">
        <v>2359</v>
      </c>
      <c r="E85" s="534" t="s">
        <v>2360</v>
      </c>
      <c r="F85" s="534" t="s">
        <v>2361</v>
      </c>
      <c r="G85" s="534" t="s">
        <v>2362</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2452</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2510</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2552</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2554</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2555</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18"/>
  <sheetViews>
    <sheetView view="pageBreakPreview" topLeftCell="A58" zoomScaleNormal="80" zoomScaleSheetLayoutView="100" workbookViewId="0">
      <selection activeCell="D50" sqref="D5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6948</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28014</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3338</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20109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57"/>
      <c r="B4" s="3558"/>
      <c r="C4" s="3558"/>
      <c r="D4" s="3559"/>
      <c r="E4" s="3559"/>
      <c r="F4" s="3559"/>
      <c r="G4" s="3559"/>
      <c r="H4" s="3559"/>
      <c r="I4" s="3559"/>
      <c r="J4" s="3560"/>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16223</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8090</v>
      </c>
      <c r="D5" s="1492">
        <f>ROUND(C6+C16,0)</f>
        <v>8090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13017</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11085</v>
      </c>
      <c r="U6" s="1346"/>
      <c r="V6" s="1345">
        <f t="shared" si="1"/>
        <v>0</v>
      </c>
      <c r="W6" s="1349"/>
      <c r="X6" s="1349"/>
      <c r="Y6" s="1349"/>
      <c r="Z6" s="1349"/>
      <c r="AA6" s="1349"/>
      <c r="AB6" s="1349"/>
      <c r="AC6" s="2168"/>
      <c r="AD6" s="2169"/>
      <c r="AE6" s="2169"/>
      <c r="AF6" s="2169"/>
      <c r="AG6" s="2169"/>
      <c r="AH6" s="2169"/>
      <c r="AI6" s="2169"/>
      <c r="AJ6" s="2170"/>
    </row>
    <row r="7" spans="1:36" ht="24">
      <c r="A7" s="3561"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9748</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62"/>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54" t="s">
        <v>2599</v>
      </c>
      <c r="X8" s="3555"/>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62"/>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56"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2"/>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5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2"/>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56"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61"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56"/>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3"/>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56"/>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63"/>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4"/>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1" t="s">
        <v>2642</v>
      </c>
      <c r="B16" s="2178" t="s">
        <v>2643</v>
      </c>
      <c r="C16" s="2340">
        <f>ROUND(IF(F17="与级别开发程度一致",0,(G17-E17)/C17),0)</f>
        <v>0</v>
      </c>
      <c r="D16" s="3577" t="s">
        <v>2647</v>
      </c>
      <c r="E16" s="3578"/>
      <c r="F16" s="3577" t="s">
        <v>2644</v>
      </c>
      <c r="G16" s="3578"/>
      <c r="H16" s="2210" t="s">
        <v>3252</v>
      </c>
      <c r="I16" s="2210" t="s">
        <v>3253</v>
      </c>
      <c r="J16" s="2344" t="s">
        <v>3254</v>
      </c>
      <c r="K16" s="2210" t="s">
        <v>3255</v>
      </c>
      <c r="L16" s="2210" t="s">
        <v>3256</v>
      </c>
      <c r="M16" s="2210" t="s">
        <v>3257</v>
      </c>
      <c r="N16" s="2210" t="s">
        <v>3258</v>
      </c>
      <c r="O16" s="2211" t="s">
        <v>3259</v>
      </c>
      <c r="P16" s="2152"/>
      <c r="Q16" s="1251"/>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5"/>
      <c r="B17" s="2351" t="s">
        <v>2646</v>
      </c>
      <c r="C17" s="2352">
        <f>SUMPRODUCT((修正!A2:A5=E2)*(修正!B1:M1=G2)*(修正!B2:M5))</f>
        <v>2.5</v>
      </c>
      <c r="D17" s="192" t="str">
        <f>IF(OR(G2="八级",G2="九级",G2="十级",G2="十一级",G2="十二级"),"五通一平","七通一平")</f>
        <v>七通一平</v>
      </c>
      <c r="E17" s="2341">
        <f>SUMPRODUCT((修正!B1:M1=G2)*(修正!B15:M15))</f>
        <v>300</v>
      </c>
      <c r="F17" s="2342" t="s">
        <v>3260</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3261</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3262</v>
      </c>
      <c r="C21" s="875">
        <f>IF(B21="容积率修正",IF(G3&lt;=10,D22,J22),C23)</f>
        <v>1.0699000000000001</v>
      </c>
      <c r="D21" s="2234"/>
      <c r="E21" s="2234"/>
      <c r="F21" s="2234"/>
      <c r="G21" s="2234"/>
      <c r="H21" s="2234"/>
      <c r="I21" s="2234"/>
      <c r="J21" s="2235"/>
      <c r="K21" s="1258"/>
      <c r="L21" s="2988"/>
      <c r="M21" s="2988"/>
      <c r="N21" s="2236" t="s">
        <v>2662</v>
      </c>
      <c r="O21" s="1306"/>
      <c r="P21" s="1307">
        <f>SUMPRODUCT((地价!A3:A37=YEAR(G19)&amp;"-"&amp;ROUNDUP(MONTH(G19)/3,0))*(地价!AD2:AH2=N21)*(地价!AD3:AH37))</f>
        <v>1.03E-2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8"/>
      <c r="M22" s="2988"/>
      <c r="N22" s="2236" t="s">
        <v>2666</v>
      </c>
      <c r="O22" s="1306"/>
      <c r="P22" s="1307">
        <f>SUMPRODUCT((地价!A3:A37=YEAR(G19)&amp;"-"&amp;ROUNDUP(MONTH(G19)/3,0))*(地价!AD2:AH2=N22)*(地价!AD3:AH37))</f>
        <v>1.03E-2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1.0674999999999999</v>
      </c>
      <c r="D24" s="2217"/>
      <c r="E24" s="2244"/>
      <c r="F24" s="2244"/>
      <c r="G24" s="2244"/>
      <c r="H24" s="2244"/>
      <c r="I24" s="2244"/>
      <c r="J24" s="2245"/>
      <c r="K24" s="1258"/>
      <c r="L24" s="2988"/>
      <c r="M24" s="2988"/>
      <c r="N24" s="2246" t="s">
        <v>2671</v>
      </c>
      <c r="O24" s="1308"/>
      <c r="P24" s="1309">
        <f>SUMPRODUCT((地价!A3:A37=YEAR(G19)&amp;"-"&amp;ROUNDUP(MONTH(G19)/3,0))*(地价!AD2:AH2=N24)*(地价!AD3:AH37))</f>
        <v>1.2E-2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2672</v>
      </c>
      <c r="C25" s="868"/>
      <c r="D25" s="2181"/>
      <c r="E25" s="2181"/>
      <c r="F25" s="2248"/>
      <c r="G25" s="2181"/>
      <c r="H25" s="2181"/>
      <c r="I25" s="2181"/>
      <c r="J25" s="2182"/>
      <c r="K25" s="1251"/>
      <c r="L25" s="2152"/>
      <c r="M25" s="2152"/>
      <c r="N25" s="2983" t="s">
        <v>2673</v>
      </c>
      <c r="O25" s="2984"/>
      <c r="P25" s="2985">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f>IF(B21="容积率修正",E29+SUM(E33:E39),SUM(V2:V16)+SUM(E33:E39))</f>
        <v>6948</v>
      </c>
      <c r="D26" s="2250"/>
      <c r="E26" s="2206"/>
      <c r="F26" s="2251"/>
      <c r="G26" s="2206"/>
      <c r="H26" s="2206"/>
      <c r="I26" s="2206"/>
      <c r="J26" s="2252"/>
      <c r="K26" s="1251"/>
      <c r="L26" s="2986" t="s">
        <v>2574</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1737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16089</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4022</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74"/>
      <c r="B33" s="2281" t="s">
        <v>2688</v>
      </c>
      <c r="C33" s="179">
        <f>ROUND(D5*C19*C20*C24*F33,0)</f>
        <v>10527</v>
      </c>
      <c r="D33" s="2265"/>
      <c r="E33" s="175">
        <f>ROUND(C33*D33/10000,0)</f>
        <v>0</v>
      </c>
      <c r="F33" s="175">
        <f>SUMIF(修正!A45:A56,G2,修正!B45:B56)</f>
        <v>0.7</v>
      </c>
      <c r="G33" s="175">
        <f t="shared" ref="G33" si="6">ROUND(IF(E2="工业",C33*$M$39,C33*$M$38),0)</f>
        <v>2632</v>
      </c>
      <c r="H33" s="175">
        <f>D33</f>
        <v>0</v>
      </c>
      <c r="I33" s="175">
        <f>ROUND(G33*H33/10000,0)</f>
        <v>0</v>
      </c>
      <c r="J33" s="3579"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75"/>
      <c r="B34" s="2198" t="s">
        <v>2689</v>
      </c>
      <c r="C34" s="179">
        <f>ROUND(D5*C19*C20*C24*F34,0)</f>
        <v>6015</v>
      </c>
      <c r="D34" s="2265"/>
      <c r="E34" s="175">
        <f t="shared" ref="E34:E39" si="7">ROUND(C34*D34/10000,0)</f>
        <v>0</v>
      </c>
      <c r="F34" s="175">
        <f>SUMIF(修正!A45:A56,G2,修正!C45:C56)</f>
        <v>0.4</v>
      </c>
      <c r="G34" s="175">
        <f>ROUND(IF(E2="工业",C34*$M$39,C34*$M$38),0)</f>
        <v>1504</v>
      </c>
      <c r="H34" s="175">
        <f t="shared" ref="H34:H39" si="8">D34</f>
        <v>0</v>
      </c>
      <c r="I34" s="175">
        <f t="shared" ref="I34:I39" si="9">ROUND(G34*H34/10000,0)</f>
        <v>0</v>
      </c>
      <c r="J34" s="357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75"/>
      <c r="B35" s="2198" t="s">
        <v>2690</v>
      </c>
      <c r="C35" s="179">
        <f>ROUND(D5*C19*C20*C24*F35,0)</f>
        <v>4211</v>
      </c>
      <c r="D35" s="2265"/>
      <c r="E35" s="175">
        <f t="shared" si="7"/>
        <v>0</v>
      </c>
      <c r="F35" s="175">
        <f>SUMIF(修正!A45:A56,G2,修正!D45:D56)</f>
        <v>0.28000000000000003</v>
      </c>
      <c r="G35" s="175">
        <f>ROUND(IF(E2="工业",C35*$M$39,C35*$M$38),0)</f>
        <v>1053</v>
      </c>
      <c r="H35" s="175">
        <f t="shared" si="8"/>
        <v>0</v>
      </c>
      <c r="I35" s="175">
        <f t="shared" si="9"/>
        <v>0</v>
      </c>
      <c r="J35" s="357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76"/>
      <c r="B36" s="2198" t="s">
        <v>2691</v>
      </c>
      <c r="C36" s="179">
        <f>ROUND(D5*C19*C20*C24*F36,0)</f>
        <v>3760</v>
      </c>
      <c r="D36" s="2265"/>
      <c r="E36" s="175">
        <f t="shared" si="7"/>
        <v>0</v>
      </c>
      <c r="F36" s="175">
        <f>SUMIF(修正!A45:A56,G2,修正!E45:E56)</f>
        <v>0.25</v>
      </c>
      <c r="G36" s="175">
        <f>ROUND(IF(E2="工业",C36*$M$39,C36*$M$38),0)</f>
        <v>940</v>
      </c>
      <c r="H36" s="175">
        <f t="shared" si="8"/>
        <v>0</v>
      </c>
      <c r="I36" s="175">
        <f t="shared" si="9"/>
        <v>0</v>
      </c>
      <c r="J36" s="3576"/>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3760</v>
      </c>
      <c r="D37" s="2265"/>
      <c r="E37" s="175">
        <f t="shared" si="7"/>
        <v>0</v>
      </c>
      <c r="F37" s="179">
        <f>SUMIF(修正!A45:A56,G2,修正!F45:F56)</f>
        <v>0.25</v>
      </c>
      <c r="G37" s="175">
        <f>ROUND(IF(E2="工业",C37*$M$39,C37*$M$38),0)</f>
        <v>940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3764</v>
      </c>
      <c r="D38" s="2265">
        <f>'数据-汇总表'!E20</f>
        <v>9034.9699999999993</v>
      </c>
      <c r="E38" s="175">
        <f t="shared" si="7"/>
        <v>3401</v>
      </c>
      <c r="F38" s="179">
        <f>SUMIF(修正!A45:A56,G2,修正!G45:G56)</f>
        <v>0.25</v>
      </c>
      <c r="G38" s="175">
        <f>ROUND(IF(E2="工业",C38*$M$39,C38*$M$38),0)</f>
        <v>941</v>
      </c>
      <c r="H38" s="175">
        <f t="shared" si="8"/>
        <v>9034.9699999999993</v>
      </c>
      <c r="I38" s="175">
        <f t="shared" si="9"/>
        <v>850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3011</v>
      </c>
      <c r="D39" s="2271">
        <f>面积表!H19</f>
        <v>11780.21</v>
      </c>
      <c r="E39" s="192">
        <f t="shared" si="7"/>
        <v>3547</v>
      </c>
      <c r="F39" s="870">
        <f>SUMIF(修正!A45:A56,G2,修正!H45:H56)</f>
        <v>0.2</v>
      </c>
      <c r="G39" s="192">
        <f>ROUND(IF(E2="工业",C39*$M$39,C39*$M$38),0)</f>
        <v>753</v>
      </c>
      <c r="H39" s="192">
        <f t="shared" si="8"/>
        <v>11780.21</v>
      </c>
      <c r="I39" s="192">
        <f t="shared" si="9"/>
        <v>887</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1.0674999999999999</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6.7500000000000004E-2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3263</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2203" t="s">
        <v>3264</v>
      </c>
      <c r="D75" s="1195">
        <f t="shared" si="20"/>
        <v>1.5599999999999999E-2</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3263</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66" t="s">
        <v>2729</v>
      </c>
      <c r="B90" s="3566"/>
      <c r="C90" s="3566"/>
      <c r="D90" s="3566"/>
      <c r="E90" s="3566"/>
      <c r="F90" s="3566"/>
      <c r="G90" s="3566"/>
      <c r="H90" s="3566"/>
      <c r="I90" s="3566"/>
      <c r="J90" s="3566"/>
      <c r="K90" s="2312"/>
      <c r="L90" s="2312"/>
      <c r="M90" s="2312"/>
      <c r="N90" s="2312"/>
    </row>
    <row r="91" spans="1:37">
      <c r="A91" s="3568" t="s">
        <v>2730</v>
      </c>
      <c r="B91" s="3568" t="s">
        <v>2731</v>
      </c>
      <c r="C91" s="2266" t="s">
        <v>2732</v>
      </c>
      <c r="D91" s="2267"/>
      <c r="E91" s="2267"/>
      <c r="F91" s="2267"/>
      <c r="G91" s="2267"/>
      <c r="H91" s="2267"/>
      <c r="I91" s="2267"/>
      <c r="J91" s="2313"/>
      <c r="K91" s="2314"/>
      <c r="L91" s="2314"/>
      <c r="M91" s="2314"/>
      <c r="N91" s="2314"/>
    </row>
    <row r="92" spans="1:37">
      <c r="A92" s="3568"/>
      <c r="B92" s="356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69"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0"/>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69"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70"/>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70"/>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70"/>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70"/>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70"/>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70"/>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70"/>
      <c r="B108" s="3572"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1"/>
      <c r="B109" s="3573"/>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67" t="s">
        <v>2737</v>
      </c>
      <c r="B110" s="3567"/>
      <c r="C110" s="3567"/>
      <c r="D110" s="3567"/>
      <c r="E110" s="3567"/>
      <c r="F110" s="3567"/>
      <c r="G110" s="3567"/>
      <c r="H110" s="3567"/>
      <c r="I110" s="3567"/>
      <c r="J110" s="3567"/>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81:C88 C70:C78 C48:C56 C59:C67" xr:uid="{00000000-0002-0000-2800-000008000000}">
      <formula1>五等判定</formula1>
    </dataValidation>
    <dataValidation type="list" allowBlank="1" showInputMessage="1" showErrorMessage="1" sqref="H19" xr:uid="{00000000-0002-0000-2800-000009000000}">
      <formula1>"地价指数,季度增幅（自定义）,按公示增长率计算"</formula1>
    </dataValidation>
    <dataValidation type="list" allowBlank="1" showInputMessage="1" showErrorMessage="1" sqref="H16:O16" xr:uid="{00000000-0002-0000-2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0" t="s">
        <v>183</v>
      </c>
      <c r="B18" s="820" t="s">
        <v>560</v>
      </c>
      <c r="C18" s="821" t="s">
        <v>561</v>
      </c>
      <c r="D18" s="822"/>
      <c r="E18" s="820">
        <v>1</v>
      </c>
      <c r="F18" s="823" t="s">
        <v>562</v>
      </c>
      <c r="G18" s="824"/>
      <c r="H18" s="816"/>
      <c r="I18" s="816"/>
    </row>
    <row r="19" spans="1:9" s="825" customFormat="1" ht="19.5" customHeight="1">
      <c r="A19" s="3580"/>
      <c r="B19" s="3580" t="s">
        <v>563</v>
      </c>
      <c r="C19" s="821" t="s">
        <v>564</v>
      </c>
      <c r="D19" s="822"/>
      <c r="E19" s="820">
        <v>0.9</v>
      </c>
      <c r="F19" s="823" t="s">
        <v>565</v>
      </c>
      <c r="G19" s="824"/>
      <c r="H19" s="816"/>
      <c r="I19" s="816"/>
    </row>
    <row r="20" spans="1:9" s="825" customFormat="1" ht="19.5" customHeight="1">
      <c r="A20" s="3580"/>
      <c r="B20" s="3580"/>
      <c r="C20" s="821" t="s">
        <v>566</v>
      </c>
      <c r="D20" s="822"/>
      <c r="E20" s="820">
        <v>1.1000000000000001</v>
      </c>
      <c r="F20" s="823" t="s">
        <v>567</v>
      </c>
      <c r="G20" s="824"/>
      <c r="H20" s="816"/>
      <c r="I20" s="816"/>
    </row>
    <row r="21" spans="1:9" s="825" customFormat="1" ht="19.5" customHeight="1">
      <c r="A21" s="3580"/>
      <c r="B21" s="3580"/>
      <c r="C21" s="821" t="s">
        <v>568</v>
      </c>
      <c r="D21" s="822"/>
      <c r="E21" s="820">
        <v>0.8</v>
      </c>
      <c r="F21" s="823" t="s">
        <v>569</v>
      </c>
      <c r="G21" s="824"/>
      <c r="H21" s="816"/>
      <c r="I21" s="816"/>
    </row>
    <row r="22" spans="1:9" s="825" customFormat="1" ht="19.5" customHeight="1">
      <c r="A22" s="3580"/>
      <c r="B22" s="3580"/>
      <c r="C22" s="821" t="s">
        <v>570</v>
      </c>
      <c r="D22" s="822"/>
      <c r="E22" s="820">
        <v>0.5</v>
      </c>
      <c r="F22" s="823"/>
      <c r="G22" s="824"/>
      <c r="H22" s="816"/>
      <c r="I22" s="816"/>
    </row>
    <row r="23" spans="1:9" s="825" customFormat="1" ht="19.5" customHeight="1">
      <c r="A23" s="3580" t="s">
        <v>184</v>
      </c>
      <c r="B23" s="820" t="s">
        <v>560</v>
      </c>
      <c r="C23" s="821" t="s">
        <v>571</v>
      </c>
      <c r="D23" s="822"/>
      <c r="E23" s="820">
        <v>1</v>
      </c>
      <c r="F23" s="823" t="s">
        <v>572</v>
      </c>
      <c r="G23" s="824"/>
      <c r="H23" s="816"/>
      <c r="I23" s="816"/>
    </row>
    <row r="24" spans="1:9" s="825" customFormat="1" ht="19.5" customHeight="1">
      <c r="A24" s="3580"/>
      <c r="B24" s="3580" t="s">
        <v>563</v>
      </c>
      <c r="C24" s="821" t="s">
        <v>573</v>
      </c>
      <c r="D24" s="822"/>
      <c r="E24" s="820">
        <v>0.5</v>
      </c>
      <c r="F24" s="823"/>
      <c r="G24" s="824"/>
      <c r="H24" s="816"/>
      <c r="I24" s="816"/>
    </row>
    <row r="25" spans="1:9" s="825" customFormat="1" ht="19.5" customHeight="1">
      <c r="A25" s="3580"/>
      <c r="B25" s="3580"/>
      <c r="C25" s="821" t="s">
        <v>574</v>
      </c>
      <c r="D25" s="822"/>
      <c r="E25" s="820">
        <v>1.1000000000000001</v>
      </c>
      <c r="F25" s="823"/>
      <c r="G25" s="824"/>
      <c r="H25" s="816"/>
      <c r="I25" s="816"/>
    </row>
    <row r="26" spans="1:9" s="825" customFormat="1" ht="19.5" customHeight="1">
      <c r="A26" s="3580"/>
      <c r="B26" s="3580"/>
      <c r="C26" s="821" t="s">
        <v>575</v>
      </c>
      <c r="D26" s="822"/>
      <c r="E26" s="820">
        <v>1.1000000000000001</v>
      </c>
      <c r="F26" s="823"/>
      <c r="G26" s="824"/>
      <c r="H26" s="816"/>
      <c r="I26" s="816"/>
    </row>
    <row r="27" spans="1:9" s="825" customFormat="1" ht="19.5" customHeight="1">
      <c r="A27" s="3580"/>
      <c r="B27" s="3580"/>
      <c r="C27" s="821" t="s">
        <v>576</v>
      </c>
      <c r="D27" s="822"/>
      <c r="E27" s="820">
        <v>0.9</v>
      </c>
      <c r="F27" s="823" t="s">
        <v>577</v>
      </c>
      <c r="G27" s="824"/>
      <c r="H27" s="816"/>
      <c r="I27" s="816"/>
    </row>
    <row r="28" spans="1:9" s="825" customFormat="1" ht="19.5" customHeight="1">
      <c r="A28" s="3580"/>
      <c r="B28" s="3580"/>
      <c r="C28" s="821" t="s">
        <v>578</v>
      </c>
      <c r="D28" s="822"/>
      <c r="E28" s="820">
        <v>0.9</v>
      </c>
      <c r="F28" s="823" t="s">
        <v>579</v>
      </c>
      <c r="G28" s="824"/>
      <c r="H28" s="816"/>
      <c r="I28" s="816"/>
    </row>
    <row r="29" spans="1:9" s="825" customFormat="1" ht="19.5" customHeight="1">
      <c r="A29" s="3580"/>
      <c r="B29" s="3580"/>
      <c r="C29" s="821" t="s">
        <v>580</v>
      </c>
      <c r="D29" s="822"/>
      <c r="E29" s="820">
        <v>0.9</v>
      </c>
      <c r="F29" s="823" t="s">
        <v>581</v>
      </c>
      <c r="G29" s="824"/>
      <c r="H29" s="816"/>
      <c r="I29" s="816"/>
    </row>
    <row r="30" spans="1:9" s="825" customFormat="1" ht="19.5" customHeight="1">
      <c r="A30" s="3580"/>
      <c r="B30" s="3580"/>
      <c r="C30" s="821" t="s">
        <v>582</v>
      </c>
      <c r="D30" s="822"/>
      <c r="E30" s="820">
        <v>0.9</v>
      </c>
      <c r="F30" s="823" t="s">
        <v>583</v>
      </c>
      <c r="G30" s="824"/>
      <c r="H30" s="816"/>
      <c r="I30" s="816"/>
    </row>
    <row r="31" spans="1:9" s="825" customFormat="1" ht="19.5" customHeight="1">
      <c r="A31" s="3580"/>
      <c r="B31" s="3580"/>
      <c r="C31" s="821" t="s">
        <v>584</v>
      </c>
      <c r="D31" s="822"/>
      <c r="E31" s="820">
        <v>0.8</v>
      </c>
      <c r="F31" s="823" t="s">
        <v>585</v>
      </c>
      <c r="G31" s="824"/>
      <c r="H31" s="816"/>
      <c r="I31" s="816"/>
    </row>
    <row r="32" spans="1:9" s="825" customFormat="1" ht="19.5" customHeight="1">
      <c r="A32" s="3580"/>
      <c r="B32" s="3580"/>
      <c r="C32" s="821" t="s">
        <v>586</v>
      </c>
      <c r="D32" s="822"/>
      <c r="E32" s="820">
        <v>0.8</v>
      </c>
      <c r="F32" s="823" t="s">
        <v>587</v>
      </c>
      <c r="G32" s="824"/>
      <c r="H32" s="816"/>
      <c r="I32" s="816"/>
    </row>
    <row r="33" spans="1:9" s="825" customFormat="1" ht="19.5" customHeight="1">
      <c r="A33" s="3580" t="s">
        <v>185</v>
      </c>
      <c r="B33" s="820" t="s">
        <v>560</v>
      </c>
      <c r="C33" s="821" t="s">
        <v>588</v>
      </c>
      <c r="D33" s="822"/>
      <c r="E33" s="820">
        <v>1</v>
      </c>
      <c r="F33" s="823" t="s">
        <v>589</v>
      </c>
      <c r="G33" s="824"/>
      <c r="H33" s="816"/>
      <c r="I33" s="816"/>
    </row>
    <row r="34" spans="1:9" s="825" customFormat="1" ht="19.5" customHeight="1">
      <c r="A34" s="3580"/>
      <c r="B34" s="820" t="s">
        <v>563</v>
      </c>
      <c r="C34" s="821" t="s">
        <v>590</v>
      </c>
      <c r="D34" s="822"/>
      <c r="E34" s="820">
        <v>1.5</v>
      </c>
      <c r="F34" s="823" t="s">
        <v>591</v>
      </c>
      <c r="G34" s="824"/>
      <c r="H34" s="816"/>
      <c r="I34" s="816"/>
    </row>
    <row r="35" spans="1:9" s="825" customFormat="1" ht="19.5" customHeight="1">
      <c r="A35" s="3580" t="s">
        <v>186</v>
      </c>
      <c r="B35" s="820" t="s">
        <v>560</v>
      </c>
      <c r="C35" s="821" t="s">
        <v>592</v>
      </c>
      <c r="D35" s="822"/>
      <c r="E35" s="820">
        <v>1</v>
      </c>
      <c r="F35" s="823" t="s">
        <v>593</v>
      </c>
      <c r="G35" s="824"/>
      <c r="H35" s="816"/>
      <c r="I35" s="816"/>
    </row>
    <row r="36" spans="1:9" s="825" customFormat="1" ht="19.5" customHeight="1">
      <c r="A36" s="3580"/>
      <c r="B36" s="3580" t="s">
        <v>563</v>
      </c>
      <c r="C36" s="821" t="s">
        <v>594</v>
      </c>
      <c r="D36" s="822"/>
      <c r="E36" s="820">
        <v>1</v>
      </c>
      <c r="F36" s="823" t="s">
        <v>595</v>
      </c>
      <c r="G36" s="824"/>
      <c r="H36" s="816"/>
      <c r="I36" s="816"/>
    </row>
    <row r="37" spans="1:9" s="825" customFormat="1" ht="19.5" customHeight="1">
      <c r="A37" s="3580"/>
      <c r="B37" s="3580"/>
      <c r="C37" s="821" t="s">
        <v>596</v>
      </c>
      <c r="D37" s="822"/>
      <c r="E37" s="820">
        <v>1.5</v>
      </c>
      <c r="F37" s="823" t="s">
        <v>597</v>
      </c>
      <c r="G37" s="824"/>
      <c r="H37" s="816"/>
      <c r="I37" s="816"/>
    </row>
    <row r="38" spans="1:9" s="825" customFormat="1" ht="19.5" customHeight="1">
      <c r="A38" s="3580"/>
      <c r="B38" s="3580"/>
      <c r="C38" s="821" t="s">
        <v>598</v>
      </c>
      <c r="D38" s="822"/>
      <c r="E38" s="820">
        <v>1</v>
      </c>
      <c r="F38" s="823" t="s">
        <v>599</v>
      </c>
      <c r="G38" s="824"/>
      <c r="H38" s="816"/>
      <c r="I38" s="816"/>
    </row>
    <row r="39" spans="1:9" s="825" customFormat="1" ht="19.5" customHeight="1">
      <c r="A39" s="3580"/>
      <c r="B39" s="358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0" t="s">
        <v>614</v>
      </c>
      <c r="C61" s="756" t="s">
        <v>615</v>
      </c>
      <c r="D61" s="756" t="s">
        <v>616</v>
      </c>
      <c r="E61" s="833">
        <v>0.5</v>
      </c>
      <c r="F61" s="820">
        <v>80</v>
      </c>
    </row>
    <row r="62" spans="1:8" s="816" customFormat="1" ht="24">
      <c r="A62" s="820">
        <v>2</v>
      </c>
      <c r="B62" s="3580"/>
      <c r="C62" s="756" t="s">
        <v>617</v>
      </c>
      <c r="D62" s="756" t="s">
        <v>618</v>
      </c>
      <c r="E62" s="833">
        <v>0.5</v>
      </c>
      <c r="F62" s="820">
        <v>80</v>
      </c>
    </row>
    <row r="63" spans="1:8" s="816" customFormat="1" ht="36">
      <c r="A63" s="820">
        <v>3</v>
      </c>
      <c r="B63" s="3580"/>
      <c r="C63" s="756" t="s">
        <v>619</v>
      </c>
      <c r="D63" s="756" t="s">
        <v>620</v>
      </c>
      <c r="E63" s="833">
        <v>0.5</v>
      </c>
      <c r="F63" s="820">
        <v>80</v>
      </c>
    </row>
    <row r="64" spans="1:8" s="816" customFormat="1" ht="36">
      <c r="A64" s="820">
        <v>4</v>
      </c>
      <c r="B64" s="3580"/>
      <c r="C64" s="756" t="s">
        <v>621</v>
      </c>
      <c r="D64" s="756" t="s">
        <v>622</v>
      </c>
      <c r="E64" s="833">
        <v>0.4</v>
      </c>
      <c r="F64" s="820">
        <v>60</v>
      </c>
    </row>
    <row r="65" spans="1:6" s="816" customFormat="1" ht="36">
      <c r="A65" s="820">
        <v>5</v>
      </c>
      <c r="B65" s="3580"/>
      <c r="C65" s="756" t="s">
        <v>623</v>
      </c>
      <c r="D65" s="756" t="s">
        <v>624</v>
      </c>
      <c r="E65" s="833">
        <v>0.2</v>
      </c>
      <c r="F65" s="820">
        <v>30</v>
      </c>
    </row>
    <row r="66" spans="1:6" s="816" customFormat="1" ht="36">
      <c r="A66" s="820">
        <v>6</v>
      </c>
      <c r="B66" s="3580"/>
      <c r="C66" s="756" t="s">
        <v>625</v>
      </c>
      <c r="D66" s="756" t="s">
        <v>626</v>
      </c>
      <c r="E66" s="833">
        <v>0.3</v>
      </c>
      <c r="F66" s="820">
        <v>50</v>
      </c>
    </row>
    <row r="67" spans="1:6" s="816" customFormat="1" ht="36">
      <c r="A67" s="820">
        <v>7</v>
      </c>
      <c r="B67" s="3580"/>
      <c r="C67" s="756" t="s">
        <v>627</v>
      </c>
      <c r="D67" s="756" t="s">
        <v>628</v>
      </c>
      <c r="E67" s="833">
        <v>0.2</v>
      </c>
      <c r="F67" s="820">
        <v>30</v>
      </c>
    </row>
    <row r="68" spans="1:6" s="816" customFormat="1" ht="36">
      <c r="A68" s="820">
        <v>8</v>
      </c>
      <c r="B68" s="3580"/>
      <c r="C68" s="756" t="s">
        <v>629</v>
      </c>
      <c r="D68" s="756" t="s">
        <v>630</v>
      </c>
      <c r="E68" s="833">
        <v>0.2</v>
      </c>
      <c r="F68" s="820">
        <v>30</v>
      </c>
    </row>
    <row r="69" spans="1:6" s="816" customFormat="1" ht="36">
      <c r="A69" s="820">
        <v>9</v>
      </c>
      <c r="B69" s="3580"/>
      <c r="C69" s="756" t="s">
        <v>631</v>
      </c>
      <c r="D69" s="756" t="s">
        <v>632</v>
      </c>
      <c r="E69" s="833">
        <v>0.2</v>
      </c>
      <c r="F69" s="820">
        <v>30</v>
      </c>
    </row>
    <row r="70" spans="1:6" s="816" customFormat="1" ht="48">
      <c r="A70" s="820">
        <v>10</v>
      </c>
      <c r="B70" s="3580"/>
      <c r="C70" s="756" t="s">
        <v>633</v>
      </c>
      <c r="D70" s="756" t="s">
        <v>634</v>
      </c>
      <c r="E70" s="833">
        <v>0.2</v>
      </c>
      <c r="F70" s="820">
        <v>30</v>
      </c>
    </row>
    <row r="71" spans="1:6" s="816" customFormat="1" ht="48">
      <c r="A71" s="820">
        <v>11</v>
      </c>
      <c r="B71" s="3580"/>
      <c r="C71" s="756" t="s">
        <v>635</v>
      </c>
      <c r="D71" s="756" t="s">
        <v>636</v>
      </c>
      <c r="E71" s="833">
        <v>0.2</v>
      </c>
      <c r="F71" s="820">
        <v>30</v>
      </c>
    </row>
    <row r="72" spans="1:6" s="816" customFormat="1" ht="36">
      <c r="A72" s="820">
        <v>12</v>
      </c>
      <c r="B72" s="3580"/>
      <c r="C72" s="756" t="s">
        <v>637</v>
      </c>
      <c r="D72" s="756" t="s">
        <v>638</v>
      </c>
      <c r="E72" s="833">
        <v>0.5</v>
      </c>
      <c r="F72" s="820">
        <v>80</v>
      </c>
    </row>
    <row r="73" spans="1:6" s="816" customFormat="1" ht="24">
      <c r="A73" s="820">
        <v>13</v>
      </c>
      <c r="B73" s="3580"/>
      <c r="C73" s="756" t="s">
        <v>639</v>
      </c>
      <c r="D73" s="756" t="s">
        <v>640</v>
      </c>
      <c r="E73" s="833">
        <v>0.4</v>
      </c>
      <c r="F73" s="820">
        <v>60</v>
      </c>
    </row>
    <row r="74" spans="1:6" s="816" customFormat="1" ht="24">
      <c r="A74" s="820">
        <v>14</v>
      </c>
      <c r="B74" s="3580"/>
      <c r="C74" s="756" t="s">
        <v>641</v>
      </c>
      <c r="D74" s="756" t="s">
        <v>642</v>
      </c>
      <c r="E74" s="833">
        <v>0.2</v>
      </c>
      <c r="F74" s="820">
        <v>30</v>
      </c>
    </row>
    <row r="75" spans="1:6" s="816" customFormat="1" ht="24">
      <c r="A75" s="820">
        <v>15</v>
      </c>
      <c r="B75" s="3580"/>
      <c r="C75" s="756" t="s">
        <v>643</v>
      </c>
      <c r="D75" s="756" t="s">
        <v>644</v>
      </c>
      <c r="E75" s="833">
        <v>0.2</v>
      </c>
      <c r="F75" s="820">
        <v>30</v>
      </c>
    </row>
    <row r="76" spans="1:6" s="816" customFormat="1" ht="24">
      <c r="A76" s="820">
        <v>16</v>
      </c>
      <c r="B76" s="3580" t="s">
        <v>645</v>
      </c>
      <c r="C76" s="756" t="s">
        <v>646</v>
      </c>
      <c r="D76" s="756" t="s">
        <v>647</v>
      </c>
      <c r="E76" s="833">
        <v>0.5</v>
      </c>
      <c r="F76" s="820">
        <v>80</v>
      </c>
    </row>
    <row r="77" spans="1:6" s="816" customFormat="1" ht="24">
      <c r="A77" s="820">
        <v>17</v>
      </c>
      <c r="B77" s="3580"/>
      <c r="C77" s="756" t="s">
        <v>648</v>
      </c>
      <c r="D77" s="756" t="s">
        <v>649</v>
      </c>
      <c r="E77" s="833">
        <v>0.5</v>
      </c>
      <c r="F77" s="820">
        <v>80</v>
      </c>
    </row>
    <row r="78" spans="1:6" s="816" customFormat="1" ht="24">
      <c r="A78" s="820">
        <v>18</v>
      </c>
      <c r="B78" s="3580"/>
      <c r="C78" s="756" t="s">
        <v>650</v>
      </c>
      <c r="D78" s="756" t="s">
        <v>651</v>
      </c>
      <c r="E78" s="833">
        <v>0.2</v>
      </c>
      <c r="F78" s="820">
        <v>30</v>
      </c>
    </row>
    <row r="79" spans="1:6" s="816" customFormat="1" ht="24">
      <c r="A79" s="820">
        <v>19</v>
      </c>
      <c r="B79" s="3580"/>
      <c r="C79" s="756" t="s">
        <v>652</v>
      </c>
      <c r="D79" s="756" t="s">
        <v>653</v>
      </c>
      <c r="E79" s="833">
        <v>0.5</v>
      </c>
      <c r="F79" s="820">
        <v>80</v>
      </c>
    </row>
    <row r="80" spans="1:6" s="816" customFormat="1" ht="36">
      <c r="A80" s="820">
        <v>20</v>
      </c>
      <c r="B80" s="3580"/>
      <c r="C80" s="756" t="s">
        <v>654</v>
      </c>
      <c r="D80" s="756" t="s">
        <v>655</v>
      </c>
      <c r="E80" s="833">
        <v>0.2</v>
      </c>
      <c r="F80" s="820">
        <v>30</v>
      </c>
    </row>
    <row r="81" spans="1:6" s="816" customFormat="1" ht="36">
      <c r="A81" s="820">
        <v>21</v>
      </c>
      <c r="B81" s="3580"/>
      <c r="C81" s="756" t="s">
        <v>656</v>
      </c>
      <c r="D81" s="756" t="s">
        <v>657</v>
      </c>
      <c r="E81" s="833">
        <v>0.2</v>
      </c>
      <c r="F81" s="820">
        <v>30</v>
      </c>
    </row>
    <row r="82" spans="1:6" s="816" customFormat="1" ht="48">
      <c r="A82" s="820">
        <v>22</v>
      </c>
      <c r="B82" s="3580"/>
      <c r="C82" s="756" t="s">
        <v>658</v>
      </c>
      <c r="D82" s="756" t="s">
        <v>659</v>
      </c>
      <c r="E82" s="833">
        <v>0.2</v>
      </c>
      <c r="F82" s="820">
        <v>30</v>
      </c>
    </row>
    <row r="83" spans="1:6" s="816" customFormat="1" ht="48">
      <c r="A83" s="820">
        <v>23</v>
      </c>
      <c r="B83" s="3580"/>
      <c r="C83" s="756" t="s">
        <v>660</v>
      </c>
      <c r="D83" s="756" t="s">
        <v>661</v>
      </c>
      <c r="E83" s="833">
        <v>0.2</v>
      </c>
      <c r="F83" s="820">
        <v>30</v>
      </c>
    </row>
    <row r="84" spans="1:6" s="816" customFormat="1" ht="36">
      <c r="A84" s="820">
        <v>24</v>
      </c>
      <c r="B84" s="3580"/>
      <c r="C84" s="756" t="s">
        <v>662</v>
      </c>
      <c r="D84" s="756" t="s">
        <v>663</v>
      </c>
      <c r="E84" s="833">
        <v>0.2</v>
      </c>
      <c r="F84" s="820">
        <v>30</v>
      </c>
    </row>
    <row r="85" spans="1:6" s="816" customFormat="1" ht="36">
      <c r="A85" s="820">
        <v>25</v>
      </c>
      <c r="B85" s="3580"/>
      <c r="C85" s="756" t="s">
        <v>664</v>
      </c>
      <c r="D85" s="756" t="s">
        <v>665</v>
      </c>
      <c r="E85" s="833">
        <v>0.5</v>
      </c>
      <c r="F85" s="820">
        <v>80</v>
      </c>
    </row>
    <row r="86" spans="1:6" s="816" customFormat="1" ht="36">
      <c r="A86" s="820">
        <v>26</v>
      </c>
      <c r="B86" s="3580"/>
      <c r="C86" s="756" t="s">
        <v>666</v>
      </c>
      <c r="D86" s="756" t="s">
        <v>667</v>
      </c>
      <c r="E86" s="833">
        <v>0.2</v>
      </c>
      <c r="F86" s="820">
        <v>30</v>
      </c>
    </row>
    <row r="87" spans="1:6" s="816" customFormat="1" ht="36">
      <c r="A87" s="820">
        <v>27</v>
      </c>
      <c r="B87" s="3580"/>
      <c r="C87" s="756" t="s">
        <v>668</v>
      </c>
      <c r="D87" s="756" t="s">
        <v>669</v>
      </c>
      <c r="E87" s="833">
        <v>0.2</v>
      </c>
      <c r="F87" s="820">
        <v>30</v>
      </c>
    </row>
    <row r="88" spans="1:6" s="816" customFormat="1" ht="36">
      <c r="A88" s="820">
        <v>28</v>
      </c>
      <c r="B88" s="3580"/>
      <c r="C88" s="756" t="s">
        <v>670</v>
      </c>
      <c r="D88" s="756" t="s">
        <v>671</v>
      </c>
      <c r="E88" s="833">
        <v>0.2</v>
      </c>
      <c r="F88" s="820">
        <v>30</v>
      </c>
    </row>
    <row r="89" spans="1:6" s="816" customFormat="1" ht="24">
      <c r="A89" s="820">
        <v>29</v>
      </c>
      <c r="B89" s="3580"/>
      <c r="C89" s="756" t="s">
        <v>672</v>
      </c>
      <c r="D89" s="756" t="s">
        <v>673</v>
      </c>
      <c r="E89" s="833">
        <v>0.2</v>
      </c>
      <c r="F89" s="820">
        <v>30</v>
      </c>
    </row>
    <row r="90" spans="1:6" s="816" customFormat="1" ht="24">
      <c r="A90" s="820">
        <v>30</v>
      </c>
      <c r="B90" s="3580"/>
      <c r="C90" s="756" t="s">
        <v>674</v>
      </c>
      <c r="D90" s="756" t="s">
        <v>675</v>
      </c>
      <c r="E90" s="833">
        <v>0.2</v>
      </c>
      <c r="F90" s="820">
        <v>30</v>
      </c>
    </row>
    <row r="91" spans="1:6" s="816" customFormat="1" ht="36">
      <c r="A91" s="820">
        <v>31</v>
      </c>
      <c r="B91" s="3580"/>
      <c r="C91" s="756" t="s">
        <v>676</v>
      </c>
      <c r="D91" s="756" t="s">
        <v>677</v>
      </c>
      <c r="E91" s="833">
        <v>0.2</v>
      </c>
      <c r="F91" s="820">
        <v>30</v>
      </c>
    </row>
    <row r="92" spans="1:6" s="816" customFormat="1" ht="24">
      <c r="A92" s="820">
        <v>32</v>
      </c>
      <c r="B92" s="3580" t="s">
        <v>678</v>
      </c>
      <c r="C92" s="820" t="s">
        <v>679</v>
      </c>
      <c r="D92" s="756" t="s">
        <v>680</v>
      </c>
      <c r="E92" s="833">
        <v>0.2</v>
      </c>
      <c r="F92" s="820">
        <v>30</v>
      </c>
    </row>
    <row r="93" spans="1:6" s="816" customFormat="1" ht="36">
      <c r="A93" s="820">
        <v>33</v>
      </c>
      <c r="B93" s="3580"/>
      <c r="C93" s="820" t="s">
        <v>681</v>
      </c>
      <c r="D93" s="756" t="s">
        <v>682</v>
      </c>
      <c r="E93" s="833">
        <v>0.2</v>
      </c>
      <c r="F93" s="820">
        <v>30</v>
      </c>
    </row>
    <row r="94" spans="1:6" s="816" customFormat="1" ht="48">
      <c r="A94" s="820">
        <v>34</v>
      </c>
      <c r="B94" s="3580"/>
      <c r="C94" s="820" t="s">
        <v>683</v>
      </c>
      <c r="D94" s="756" t="s">
        <v>684</v>
      </c>
      <c r="E94" s="833">
        <v>0.2</v>
      </c>
      <c r="F94" s="820">
        <v>30</v>
      </c>
    </row>
    <row r="95" spans="1:6" s="816" customFormat="1" ht="36">
      <c r="A95" s="820">
        <v>35</v>
      </c>
      <c r="B95" s="3580"/>
      <c r="C95" s="820" t="s">
        <v>685</v>
      </c>
      <c r="D95" s="756" t="s">
        <v>686</v>
      </c>
      <c r="E95" s="833">
        <v>0.2</v>
      </c>
      <c r="F95" s="820">
        <v>30</v>
      </c>
    </row>
    <row r="96" spans="1:6" s="816" customFormat="1" ht="48">
      <c r="A96" s="820">
        <v>36</v>
      </c>
      <c r="B96" s="3580"/>
      <c r="C96" s="756" t="s">
        <v>687</v>
      </c>
      <c r="D96" s="756" t="s">
        <v>688</v>
      </c>
      <c r="E96" s="833">
        <v>0.2</v>
      </c>
      <c r="F96" s="820">
        <v>30</v>
      </c>
    </row>
    <row r="97" spans="1:6" s="816" customFormat="1" ht="36">
      <c r="A97" s="820">
        <v>37</v>
      </c>
      <c r="B97" s="3580"/>
      <c r="C97" s="820" t="s">
        <v>689</v>
      </c>
      <c r="D97" s="756" t="s">
        <v>690</v>
      </c>
      <c r="E97" s="833">
        <v>0.2</v>
      </c>
      <c r="F97" s="820">
        <v>30</v>
      </c>
    </row>
    <row r="98" spans="1:6" s="816" customFormat="1" ht="36">
      <c r="A98" s="820">
        <v>38</v>
      </c>
      <c r="B98" s="3580"/>
      <c r="C98" s="820" t="s">
        <v>691</v>
      </c>
      <c r="D98" s="756" t="s">
        <v>692</v>
      </c>
      <c r="E98" s="833">
        <v>0.2</v>
      </c>
      <c r="F98" s="820">
        <v>30</v>
      </c>
    </row>
    <row r="99" spans="1:6" s="816" customFormat="1" ht="36">
      <c r="A99" s="820">
        <v>39</v>
      </c>
      <c r="B99" s="3580" t="s">
        <v>693</v>
      </c>
      <c r="C99" s="820" t="s">
        <v>694</v>
      </c>
      <c r="D99" s="756" t="s">
        <v>695</v>
      </c>
      <c r="E99" s="833">
        <v>0.3</v>
      </c>
      <c r="F99" s="820">
        <v>50</v>
      </c>
    </row>
    <row r="100" spans="1:6" s="816" customFormat="1" ht="24">
      <c r="A100" s="820">
        <v>40</v>
      </c>
      <c r="B100" s="3580"/>
      <c r="C100" s="820" t="s">
        <v>696</v>
      </c>
      <c r="D100" s="756" t="s">
        <v>697</v>
      </c>
      <c r="E100" s="833">
        <v>0.2</v>
      </c>
      <c r="F100" s="820">
        <v>30</v>
      </c>
    </row>
    <row r="101" spans="1:6" s="816" customFormat="1" ht="36">
      <c r="A101" s="820">
        <v>41</v>
      </c>
      <c r="B101" s="358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0" t="s">
        <v>708</v>
      </c>
      <c r="C105" s="820" t="s">
        <v>709</v>
      </c>
      <c r="D105" s="756" t="s">
        <v>710</v>
      </c>
      <c r="E105" s="833">
        <v>0.2</v>
      </c>
      <c r="F105" s="820">
        <v>30</v>
      </c>
    </row>
    <row r="106" spans="1:6" s="816" customFormat="1" ht="36">
      <c r="A106" s="820">
        <v>46</v>
      </c>
      <c r="B106" s="3580"/>
      <c r="C106" s="820" t="s">
        <v>711</v>
      </c>
      <c r="D106" s="756" t="s">
        <v>712</v>
      </c>
      <c r="E106" s="833">
        <v>0.2</v>
      </c>
      <c r="F106" s="820">
        <v>30</v>
      </c>
    </row>
    <row r="107" spans="1:6" s="816" customFormat="1" ht="36">
      <c r="A107" s="820">
        <v>47</v>
      </c>
      <c r="B107" s="3580" t="s">
        <v>713</v>
      </c>
      <c r="C107" s="820" t="s">
        <v>714</v>
      </c>
      <c r="D107" s="756" t="s">
        <v>715</v>
      </c>
      <c r="E107" s="833">
        <v>0.3</v>
      </c>
      <c r="F107" s="820">
        <v>50</v>
      </c>
    </row>
    <row r="108" spans="1:6" s="816" customFormat="1" ht="36">
      <c r="A108" s="820">
        <v>48</v>
      </c>
      <c r="B108" s="358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0" t="s">
        <v>724</v>
      </c>
      <c r="C111" s="820" t="s">
        <v>725</v>
      </c>
      <c r="D111" s="756" t="s">
        <v>726</v>
      </c>
      <c r="E111" s="833">
        <v>0.2</v>
      </c>
      <c r="F111" s="820">
        <v>30</v>
      </c>
    </row>
    <row r="112" spans="1:6" s="816" customFormat="1" ht="24">
      <c r="A112" s="820">
        <v>52</v>
      </c>
      <c r="B112" s="3580"/>
      <c r="C112" s="820" t="s">
        <v>727</v>
      </c>
      <c r="D112" s="756" t="s">
        <v>728</v>
      </c>
      <c r="E112" s="833">
        <v>0.2</v>
      </c>
      <c r="F112" s="820">
        <v>30</v>
      </c>
    </row>
    <row r="113" spans="1:6" s="816" customFormat="1" ht="24">
      <c r="A113" s="820">
        <v>53</v>
      </c>
      <c r="B113" s="358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0" t="s">
        <v>737</v>
      </c>
      <c r="C116" s="820" t="s">
        <v>738</v>
      </c>
      <c r="D116" s="756" t="s">
        <v>739</v>
      </c>
      <c r="E116" s="833">
        <v>0.2</v>
      </c>
      <c r="F116" s="820">
        <v>30</v>
      </c>
    </row>
    <row r="117" spans="1:6" ht="36">
      <c r="A117" s="820">
        <v>57</v>
      </c>
      <c r="B117" s="358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6948</v>
      </c>
      <c r="C2" s="2330" t="s">
        <v>2753</v>
      </c>
      <c r="D2" s="2330" t="s">
        <v>2754</v>
      </c>
      <c r="E2" s="2807">
        <f ca="1">SUMIF(E6:E13,"&lt;&gt;#ref!",E6:E13)</f>
        <v>20815.18</v>
      </c>
      <c r="F2" s="2993"/>
      <c r="G2" s="2993"/>
      <c r="H2" s="2993"/>
      <c r="I2" s="2993"/>
      <c r="J2" s="2993"/>
      <c r="K2" s="2993"/>
      <c r="L2" s="2993"/>
      <c r="M2" s="2993"/>
      <c r="N2" s="2993"/>
      <c r="O2" s="2993"/>
      <c r="P2" s="2993"/>
    </row>
    <row r="3" spans="1:16" ht="15.75">
      <c r="A3" s="2330" t="s">
        <v>2755</v>
      </c>
      <c r="B3" s="2797">
        <f ca="1">ROUND(B2*10000/E2,0)</f>
        <v>3338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6948</v>
      </c>
      <c r="C6" s="2330" t="s">
        <v>2753</v>
      </c>
      <c r="D6" s="2993"/>
      <c r="E6" s="2807">
        <f ca="1">SUMIF(INDIRECT("'"&amp;A6&amp;"'"&amp;"!C:C"),"建筑面积",INDIRECT("'"&amp;A6&amp;"'"&amp;"!D:D"))</f>
        <v>20815.18</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6" t="s">
        <v>1058</v>
      </c>
      <c r="C1" s="3586"/>
      <c r="D1" s="3586"/>
      <c r="E1" s="3586"/>
      <c r="F1" s="3586"/>
      <c r="G1" s="3585" t="s">
        <v>1059</v>
      </c>
      <c r="H1" s="3585"/>
      <c r="I1" s="3585"/>
      <c r="J1" s="3585"/>
      <c r="K1" s="3585"/>
      <c r="L1" s="3585"/>
      <c r="N1" s="3585" t="s">
        <v>1060</v>
      </c>
      <c r="O1" s="3585"/>
      <c r="P1" s="3585"/>
      <c r="Q1" s="3585"/>
      <c r="S1" s="3585" t="s">
        <v>1061</v>
      </c>
      <c r="T1" s="3585"/>
      <c r="U1" s="3585"/>
      <c r="V1" s="3585"/>
      <c r="X1" s="3584" t="s">
        <v>1062</v>
      </c>
      <c r="Y1" s="3585"/>
      <c r="Z1" s="3585"/>
      <c r="AA1" s="3585"/>
      <c r="AB1" s="3585"/>
      <c r="AD1" s="3584" t="s">
        <v>1063</v>
      </c>
      <c r="AE1" s="3585"/>
      <c r="AF1" s="3585"/>
      <c r="AG1" s="3585"/>
      <c r="AH1" s="3585"/>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8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5" t="s">
        <v>2763</v>
      </c>
      <c r="D1" s="3596"/>
      <c r="E1" s="3596"/>
      <c r="F1" s="3596"/>
      <c r="G1" s="3596"/>
      <c r="H1" s="3596"/>
      <c r="I1" s="3596"/>
      <c r="J1" s="3596"/>
      <c r="K1" s="3596"/>
      <c r="L1" s="3596"/>
      <c r="M1" s="3596"/>
      <c r="N1" s="3596"/>
      <c r="O1" s="3596"/>
      <c r="P1" s="3596"/>
      <c r="Q1" s="3596"/>
      <c r="R1" s="3596"/>
      <c r="S1" s="3597"/>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2" t="s">
        <v>33</v>
      </c>
      <c r="D22" s="3593"/>
      <c r="E22" s="3593"/>
      <c r="F22" s="3593"/>
      <c r="G22" s="3593"/>
      <c r="H22" s="3593"/>
      <c r="I22" s="3593"/>
      <c r="J22" s="3593"/>
      <c r="K22" s="3593"/>
      <c r="L22" s="3593"/>
      <c r="M22" s="3593"/>
      <c r="N22" s="3593"/>
      <c r="O22" s="3593"/>
      <c r="P22" s="3593"/>
      <c r="Q22" s="3594"/>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36269</v>
      </c>
      <c r="C2" s="2" t="s">
        <v>133</v>
      </c>
      <c r="D2" s="204"/>
      <c r="E2" s="204"/>
      <c r="F2" s="204"/>
      <c r="G2" s="204"/>
    </row>
    <row r="3" spans="1:7" s="205" customFormat="1" ht="18" customHeight="1" thickBot="1">
      <c r="A3" s="208" t="s">
        <v>85</v>
      </c>
      <c r="B3" s="209">
        <f>ROUND(B2*10000/'数据-汇总表'!E3,0)</f>
        <v>17424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8029</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219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161</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389</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381</v>
      </c>
      <c r="D42" s="243"/>
      <c r="E42" s="243"/>
      <c r="F42" s="244"/>
      <c r="G42" s="3499" t="s">
        <v>121</v>
      </c>
    </row>
    <row r="43" spans="1:7" ht="13.5" customHeight="1">
      <c r="A43" s="887" t="s">
        <v>792</v>
      </c>
      <c r="B43" s="220" t="s">
        <v>1032</v>
      </c>
      <c r="C43" s="243">
        <f>ROUND(IF('数据-取费表'!B22&lt;=1,C39*F22*'数据-取费表'!B21/2,C39*(POWER((1+F22),'数据-取费表'!B21/2)-1)),0)</f>
        <v>8</v>
      </c>
      <c r="D43" s="243"/>
      <c r="E43" s="243"/>
      <c r="F43" s="244"/>
      <c r="G43" s="3500"/>
    </row>
    <row r="44" spans="1:7" ht="13.5" customHeight="1">
      <c r="A44" s="887" t="s">
        <v>793</v>
      </c>
      <c r="B44" s="220" t="s">
        <v>1034</v>
      </c>
      <c r="C44" s="243">
        <f>ROUND(IF('数据-取费表'!B22&lt;=1,C40*F22*'数据-取费表'!B21/2,C40*(POWER((1+F22),'数据-取费表'!B21/2)-1)),4)</f>
        <v>1E-3</v>
      </c>
      <c r="D44" s="243"/>
      <c r="E44" s="243"/>
      <c r="F44" s="244"/>
      <c r="G44" s="3501"/>
    </row>
    <row r="45" spans="1:7" s="219" customFormat="1" ht="13.5" customHeight="1">
      <c r="A45" s="884" t="s">
        <v>786</v>
      </c>
      <c r="B45" s="249" t="s">
        <v>112</v>
      </c>
      <c r="C45" s="250">
        <f>C46</f>
        <v>410</v>
      </c>
      <c r="D45" s="240">
        <f>C47</f>
        <v>1E-3</v>
      </c>
      <c r="E45" s="241" t="s">
        <v>129</v>
      </c>
      <c r="F45" s="251"/>
      <c r="G45" s="252" t="s">
        <v>1040</v>
      </c>
    </row>
    <row r="46" spans="1:7" s="219" customFormat="1" ht="13.5" customHeight="1">
      <c r="A46" s="887" t="s">
        <v>794</v>
      </c>
      <c r="B46" s="253" t="s">
        <v>1033</v>
      </c>
      <c r="C46" s="254">
        <f>ROUND((C33+C39)*F27,0)</f>
        <v>410</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9711</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9711</v>
      </c>
      <c r="D51" s="237"/>
      <c r="E51" s="237"/>
      <c r="F51" s="269"/>
      <c r="G51" s="239" t="s">
        <v>64</v>
      </c>
    </row>
    <row r="52" spans="1:7" s="213" customFormat="1" ht="16.5" thickBot="1">
      <c r="A52" s="270" t="s">
        <v>65</v>
      </c>
      <c r="B52" s="271"/>
      <c r="C52" s="272">
        <f>C31+C51</f>
        <v>36269</v>
      </c>
      <c r="D52" s="271"/>
      <c r="E52" s="271"/>
      <c r="F52" s="271"/>
      <c r="G52" s="273"/>
    </row>
    <row r="55" spans="1:7" ht="15">
      <c r="B55" s="275" t="s">
        <v>66</v>
      </c>
      <c r="C55" s="276"/>
    </row>
    <row r="56" spans="1:7">
      <c r="B56" s="278" t="s">
        <v>67</v>
      </c>
      <c r="C56" s="279">
        <f>ROUND(C51/C52,3)</f>
        <v>0.26800000000000002</v>
      </c>
    </row>
    <row r="57" spans="1:7">
      <c r="B57" s="278" t="s">
        <v>68</v>
      </c>
      <c r="C57" s="280">
        <f>1-C56</f>
        <v>0.73199999999999998</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8" t="s">
        <v>156</v>
      </c>
      <c r="B1" s="3598"/>
      <c r="C1" s="3598"/>
      <c r="D1" s="3598"/>
      <c r="E1" s="3598"/>
      <c r="F1" s="359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9" t="s">
        <v>169</v>
      </c>
      <c r="B2" s="3599"/>
      <c r="C2" s="3599"/>
      <c r="D2" s="3599"/>
      <c r="E2" s="3599"/>
      <c r="F2" s="359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8" t="s">
        <v>839</v>
      </c>
      <c r="B1" s="359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9" t="str">
        <f>IF(项目基本情况!B9="房地产市场价值","估价结果一览表","结果表-2")</f>
        <v>估价结果一览表</v>
      </c>
      <c r="B1" s="3279"/>
      <c r="C1" s="3279"/>
      <c r="D1" s="3279"/>
      <c r="E1" s="3279"/>
      <c r="F1" s="3279"/>
      <c r="G1" s="3279"/>
      <c r="H1" s="3279"/>
      <c r="I1" s="3279"/>
    </row>
    <row r="2" spans="1:9" ht="30" customHeight="1" thickTop="1">
      <c r="A2" s="3280" t="s">
        <v>1546</v>
      </c>
      <c r="B2" s="3280" t="s">
        <v>1547</v>
      </c>
      <c r="C2" s="3280" t="s">
        <v>1548</v>
      </c>
      <c r="D2" s="3280" t="str">
        <f>'结果表-车位'!D116</f>
        <v>出让国有建设用地使用权价值</v>
      </c>
      <c r="E2" s="3280"/>
      <c r="F2" s="3280" t="str">
        <f>'结果表-车位'!F116</f>
        <v>在建建筑物价值</v>
      </c>
      <c r="G2" s="3280"/>
      <c r="H2" s="3280" t="str">
        <f>IF(项目基本情况!B9="房地产市场价值","房地产市场价值","房地产价值")</f>
        <v>房地产市场价值</v>
      </c>
      <c r="I2" s="3280"/>
    </row>
    <row r="3" spans="1:9" ht="15">
      <c r="A3" s="3274"/>
      <c r="B3" s="3274"/>
      <c r="C3" s="3274"/>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4" t="s">
        <v>1545</v>
      </c>
      <c r="B5" s="3274"/>
      <c r="C5" s="3274"/>
      <c r="D5" s="3275" t="e">
        <f ca="1">'结果表-车位'!D119</f>
        <v>#REF!</v>
      </c>
      <c r="E5" s="3275"/>
      <c r="F5" s="3275" t="e">
        <f ca="1">'结果表-车位'!F119</f>
        <v>#REF!</v>
      </c>
      <c r="G5" s="3275"/>
      <c r="H5" s="3275" t="e">
        <f ca="1">'结果表-车位'!H119</f>
        <v>#REF!</v>
      </c>
      <c r="I5" s="3275"/>
    </row>
    <row r="6" spans="1:9" ht="15.75">
      <c r="A6" s="3273" t="str">
        <f>'结果表-车位'!A120</f>
        <v/>
      </c>
      <c r="B6" s="3273"/>
      <c r="C6" s="3273"/>
      <c r="D6" s="3273">
        <f>'结果表-车位'!D120</f>
        <v>0</v>
      </c>
      <c r="E6" s="3273"/>
      <c r="F6" s="3273"/>
      <c r="G6" s="3273"/>
      <c r="H6" s="3273"/>
      <c r="I6" s="3273"/>
    </row>
    <row r="7" spans="1:9" ht="15">
      <c r="A7" s="3274" t="s">
        <v>1545</v>
      </c>
      <c r="B7" s="3274"/>
      <c r="C7" s="3274"/>
      <c r="D7" s="3276" t="str">
        <f>'结果表-车位'!D121</f>
        <v>零元整</v>
      </c>
      <c r="E7" s="3277"/>
      <c r="F7" s="3277"/>
      <c r="G7" s="3277"/>
      <c r="H7" s="3277"/>
      <c r="I7" s="3278"/>
    </row>
    <row r="8" spans="1:9" ht="15.75">
      <c r="A8" s="3273" t="str">
        <f>'结果表-车位'!A122</f>
        <v/>
      </c>
      <c r="B8" s="3273"/>
      <c r="C8" s="3273"/>
      <c r="D8" s="3273" t="e">
        <f ca="1">'结果表-车位'!D122</f>
        <v>#REF!</v>
      </c>
      <c r="E8" s="3273"/>
      <c r="F8" s="3273"/>
      <c r="G8" s="3273"/>
      <c r="H8" s="3273"/>
      <c r="I8" s="3273"/>
    </row>
    <row r="9" spans="1:9" ht="15">
      <c r="A9" s="3274" t="s">
        <v>1545</v>
      </c>
      <c r="B9" s="3274"/>
      <c r="C9" s="3274"/>
      <c r="D9" s="3275" t="e">
        <f ca="1">'结果表-车位'!D123</f>
        <v>#REF!</v>
      </c>
      <c r="E9" s="3275"/>
      <c r="F9" s="3275"/>
      <c r="G9" s="3275"/>
      <c r="H9" s="3275"/>
      <c r="I9" s="3275"/>
    </row>
    <row r="10" spans="1:9" ht="15.75">
      <c r="A10" s="3273" t="str">
        <f>'结果表-车位'!A124</f>
        <v/>
      </c>
      <c r="B10" s="3273"/>
      <c r="C10" s="3273"/>
      <c r="D10" s="3273" t="str">
        <f>'结果表-车位'!D124</f>
        <v>——</v>
      </c>
      <c r="E10" s="3273"/>
      <c r="F10" s="3273"/>
      <c r="G10" s="3273"/>
      <c r="H10" s="3273"/>
      <c r="I10" s="3273"/>
    </row>
    <row r="11" spans="1:9" ht="15">
      <c r="A11" s="3274" t="s">
        <v>1545</v>
      </c>
      <c r="B11" s="3274"/>
      <c r="C11" s="3274"/>
      <c r="D11" s="3275" t="e">
        <f>'结果表-车位'!D125</f>
        <v>#VALUE!</v>
      </c>
      <c r="E11" s="3275"/>
      <c r="F11" s="3275"/>
      <c r="G11" s="3275"/>
      <c r="H11" s="3275"/>
      <c r="I11" s="3275"/>
    </row>
    <row r="12" spans="1:9" ht="15.75">
      <c r="A12" s="3273" t="str">
        <f>'结果表-车位'!A126</f>
        <v/>
      </c>
      <c r="B12" s="3273"/>
      <c r="C12" s="3273"/>
      <c r="D12" s="3273" t="str">
        <f>'结果表-车位'!D126</f>
        <v>——</v>
      </c>
      <c r="E12" s="3273"/>
      <c r="F12" s="3273"/>
      <c r="G12" s="3273"/>
      <c r="H12" s="3273"/>
      <c r="I12" s="3273"/>
    </row>
    <row r="13" spans="1:9" ht="15.75" thickBot="1">
      <c r="A13" s="3270" t="s">
        <v>1545</v>
      </c>
      <c r="B13" s="3270"/>
      <c r="C13" s="3270"/>
      <c r="D13" s="3271" t="e">
        <f>'结果表-车位'!D127</f>
        <v>#VALUE!</v>
      </c>
      <c r="E13" s="3271"/>
      <c r="F13" s="3271"/>
      <c r="G13" s="3271"/>
      <c r="H13" s="3271"/>
      <c r="I13" s="3271"/>
    </row>
    <row r="14" spans="1:9" ht="15" thickTop="1">
      <c r="A14" s="3272" t="s">
        <v>1550</v>
      </c>
      <c r="B14" s="3272"/>
      <c r="C14" s="3272"/>
      <c r="D14" s="3272"/>
      <c r="E14" s="3272"/>
      <c r="F14" s="3272"/>
      <c r="G14" s="3272"/>
      <c r="H14" s="3272"/>
      <c r="I14" s="327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11780.21</v>
      </c>
      <c r="C1" s="2884"/>
      <c r="D1" s="2884"/>
      <c r="E1" s="2884"/>
      <c r="F1" s="2884"/>
      <c r="G1" s="2885"/>
      <c r="H1" s="2886"/>
      <c r="I1" s="2886"/>
      <c r="J1" s="2886"/>
      <c r="K1" s="2886"/>
    </row>
    <row r="2" spans="1:11" ht="16.5">
      <c r="A2" s="2707" t="s">
        <v>1259</v>
      </c>
      <c r="B2" s="2707">
        <f>SUM(C14:C23)</f>
        <v>6103.74</v>
      </c>
      <c r="C2" s="2884"/>
      <c r="D2" s="2884"/>
      <c r="E2" s="2884"/>
      <c r="F2" s="2884"/>
      <c r="G2" s="2885"/>
      <c r="H2" s="2886"/>
      <c r="I2" s="2886"/>
      <c r="J2" s="2886"/>
      <c r="K2" s="2886"/>
    </row>
    <row r="3" spans="1:11" ht="16.5">
      <c r="A3" s="2707" t="s">
        <v>1268</v>
      </c>
      <c r="B3" s="2709">
        <f>项目基本情况!D3</f>
        <v>44617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7115</v>
      </c>
      <c r="C5" s="2707">
        <f ca="1">ROUND(B5*10000/$B$1,0)</f>
        <v>6040</v>
      </c>
      <c r="D5" s="2707">
        <f ca="1">ROUND(B5*10000/$B$2,0)</f>
        <v>11657</v>
      </c>
      <c r="E5" s="2884"/>
      <c r="F5" s="2885"/>
      <c r="G5" s="2885"/>
      <c r="H5" s="2886"/>
      <c r="I5" s="2886"/>
      <c r="J5" s="2886"/>
      <c r="K5" s="2886"/>
    </row>
    <row r="6" spans="1:11" ht="16.5">
      <c r="A6" s="2707" t="s">
        <v>1262</v>
      </c>
      <c r="B6" s="2707" t="e">
        <f ca="1">SUM(G14:G23)</f>
        <v>#REF!</v>
      </c>
      <c r="C6" s="2707" t="e">
        <f ca="1">ROUND(B6*10000/$B$1,0)</f>
        <v>#REF!</v>
      </c>
      <c r="D6" s="2707" t="e">
        <f ca="1">ROUND(B6*10000/$B$2,0)</f>
        <v>#REF!</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'结果表-车位'!B118</f>
        <v>11780.21</v>
      </c>
      <c r="C14" s="2713">
        <f>'结果表-车位'!C118</f>
        <v>6103.74</v>
      </c>
      <c r="D14" s="2713">
        <f ca="1">结果汇总!H2</f>
        <v>7115</v>
      </c>
      <c r="E14" s="2713">
        <f ca="1">ROUND(D14*10000/B14,0)</f>
        <v>6040</v>
      </c>
      <c r="F14" s="2713">
        <f ca="1">ROUND(D14*10000/C14,0)</f>
        <v>11657</v>
      </c>
      <c r="G14" s="2713" t="e">
        <f ca="1">'结果表-车位'!D122</f>
        <v>#REF!</v>
      </c>
      <c r="H14" s="2713" t="str">
        <f>'结果表-车位'!D124</f>
        <v>——</v>
      </c>
      <c r="I14" s="2713" t="str">
        <f>'结果表-车位'!D126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7" t="s">
        <v>1567</v>
      </c>
      <c r="B1" s="3287"/>
      <c r="C1" s="3287"/>
      <c r="D1" s="3287"/>
    </row>
    <row r="2" spans="1:4" ht="18">
      <c r="A2" s="3288" t="s">
        <v>1551</v>
      </c>
      <c r="B2" s="3288"/>
      <c r="C2" s="3288"/>
      <c r="D2" s="3288"/>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88" t="s">
        <v>1557</v>
      </c>
      <c r="B6" s="3288"/>
      <c r="C6" s="3288"/>
      <c r="D6" s="3288"/>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89" t="s">
        <v>1560</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6"/>
      <c r="C12" s="3286"/>
      <c r="D12" s="3286"/>
    </row>
    <row r="13" spans="1:4" ht="30" customHeight="1">
      <c r="A13" s="3281" t="str">
        <f>IF(项目基本情况!B8="抵押","3.抵押双方在办理抵押登记手续时，应使用本公司出具的正式《房地产评估报告》，特提醒报告使用者注意。","——")</f>
        <v>——</v>
      </c>
      <c r="B13" s="3286"/>
      <c r="C13" s="3286"/>
      <c r="D13" s="3286"/>
    </row>
    <row r="14" spans="1:4" ht="15.75" customHeight="1">
      <c r="A14" s="3281" t="str">
        <f>IF(项目基本情况!B8="抵押","4.本次评估估价师所知悉的法定优先受偿款情况说明如下：","——")</f>
        <v>——</v>
      </c>
      <c r="B14" s="3286"/>
      <c r="C14" s="3286"/>
      <c r="D14" s="3286"/>
    </row>
    <row r="15" spans="1:4" ht="42" customHeight="1">
      <c r="A15" s="3281" t="str">
        <f>IF(项目基本情况!B8="抵押","（1）"&amp;CONCATENATE(项目基本情况!L20,项目基本情况!L21,项目基本情况!L22),"——")</f>
        <v>——</v>
      </c>
      <c r="B15" s="3281"/>
      <c r="C15" s="3281"/>
      <c r="D15" s="3281"/>
    </row>
    <row r="16" spans="1:4" ht="30" customHeight="1">
      <c r="A16" s="3283" t="s">
        <v>1561</v>
      </c>
      <c r="B16" s="3283"/>
      <c r="C16" s="3283"/>
      <c r="D16" s="3283"/>
    </row>
    <row r="17" spans="1:4" ht="144" customHeight="1">
      <c r="A17" s="3283" t="s">
        <v>1562</v>
      </c>
      <c r="B17" s="3283"/>
      <c r="C17" s="3283"/>
      <c r="D17" s="3283"/>
    </row>
    <row r="18" spans="1:4" ht="15.75" customHeight="1">
      <c r="A18" s="3281" t="str">
        <f>IF(项目基本情况!B8="抵押",'结果表-车位'!K120,"——")</f>
        <v>——</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1"/>
      <c r="C20" s="3281"/>
      <c r="D20" s="3281"/>
    </row>
    <row r="21" spans="1:4" ht="57.75" customHeight="1">
      <c r="A21" s="3284"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4"/>
      <c r="C21" s="3284"/>
      <c r="D21" s="3284"/>
    </row>
    <row r="22" spans="1:4" ht="18.75" customHeight="1">
      <c r="A22" s="3285" t="s">
        <v>1563</v>
      </c>
      <c r="B22" s="3285"/>
      <c r="C22" s="3285"/>
      <c r="D22" s="328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5" t="s">
        <v>1574</v>
      </c>
      <c r="B15" s="3290" t="s">
        <v>136</v>
      </c>
      <c r="C15" s="3291"/>
    </row>
    <row r="16" spans="1:7" ht="13.5">
      <c r="A16" s="3296"/>
      <c r="B16" s="3290" t="s">
        <v>69</v>
      </c>
      <c r="C16" s="3291"/>
    </row>
    <row r="17" spans="1:3" ht="13.5">
      <c r="A17" s="3296"/>
      <c r="B17" s="3293" t="s">
        <v>1575</v>
      </c>
      <c r="C17" s="1686" t="s">
        <v>1574</v>
      </c>
    </row>
    <row r="18" spans="1:3" ht="13.5">
      <c r="A18" s="3296"/>
      <c r="B18" s="3293"/>
      <c r="C18" s="1686" t="s">
        <v>1576</v>
      </c>
    </row>
    <row r="19" spans="1:3" ht="13.5">
      <c r="A19" s="3296"/>
      <c r="B19" s="3293"/>
      <c r="C19" s="1686" t="s">
        <v>1577</v>
      </c>
    </row>
    <row r="20" spans="1:3" ht="13.5">
      <c r="A20" s="3297"/>
      <c r="B20" s="3292" t="s">
        <v>1578</v>
      </c>
      <c r="C20" s="3291"/>
    </row>
    <row r="21" spans="1:3" ht="13.5">
      <c r="A21" s="1687" t="s">
        <v>1579</v>
      </c>
      <c r="B21" s="1688"/>
      <c r="C21" s="1689"/>
    </row>
    <row r="22" spans="1:3" ht="13.5">
      <c r="A22" s="3294" t="s">
        <v>1580</v>
      </c>
      <c r="B22" s="3292" t="s">
        <v>1581</v>
      </c>
      <c r="C22" s="3291"/>
    </row>
    <row r="23" spans="1:3" ht="13.5">
      <c r="A23" s="3294"/>
      <c r="B23" s="3292" t="s">
        <v>1582</v>
      </c>
      <c r="C23" s="3291"/>
    </row>
    <row r="24" spans="1:3" ht="13.5">
      <c r="A24" s="3294"/>
      <c r="B24" s="3292" t="s">
        <v>1583</v>
      </c>
      <c r="C24" s="3291"/>
    </row>
    <row r="25" spans="1:3" ht="13.5">
      <c r="A25" s="3294"/>
      <c r="B25" s="3293" t="s">
        <v>1584</v>
      </c>
      <c r="C25" s="1686" t="s">
        <v>1585</v>
      </c>
    </row>
    <row r="26" spans="1:3" ht="13.5">
      <c r="A26" s="3294"/>
      <c r="B26" s="3293"/>
      <c r="C26" s="1686" t="s">
        <v>1586</v>
      </c>
    </row>
    <row r="27" spans="1:3" ht="13.5">
      <c r="A27" s="3294"/>
      <c r="B27" s="3293"/>
      <c r="C27" s="1686" t="s">
        <v>1587</v>
      </c>
    </row>
    <row r="28" spans="1:3" ht="13.5">
      <c r="A28" s="3294"/>
      <c r="B28" s="3293"/>
      <c r="C28" s="1686" t="s">
        <v>1588</v>
      </c>
    </row>
    <row r="29" spans="1:3" ht="13.5">
      <c r="A29" s="3294"/>
      <c r="B29" s="3293"/>
      <c r="C29" s="1686" t="s">
        <v>1589</v>
      </c>
    </row>
    <row r="30" spans="1:3" ht="13.5">
      <c r="A30" s="3294"/>
      <c r="B30" s="3293"/>
      <c r="C30" s="1686" t="s">
        <v>1590</v>
      </c>
    </row>
    <row r="31" spans="1:3" ht="13.5">
      <c r="A31" s="3294"/>
      <c r="B31" s="3293"/>
      <c r="C31" s="1686" t="s">
        <v>1591</v>
      </c>
    </row>
    <row r="32" spans="1:3" ht="13.5">
      <c r="A32" s="3294"/>
      <c r="B32" s="3293"/>
      <c r="C32" s="1686" t="s">
        <v>1592</v>
      </c>
    </row>
    <row r="33" spans="1:3" ht="13.5">
      <c r="A33" s="3294"/>
      <c r="B33" s="329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44641</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8" t="s">
        <v>2840</v>
      </c>
      <c r="B17" s="3298"/>
      <c r="C17" s="3298"/>
      <c r="D17" s="3298"/>
      <c r="E17" s="3298"/>
      <c r="F17" s="3298"/>
      <c r="G17" s="3298"/>
      <c r="H17" s="3298"/>
    </row>
    <row r="18" spans="1:8" ht="24" customHeight="1">
      <c r="A18" s="3299" t="s">
        <v>2841</v>
      </c>
      <c r="B18" s="3299"/>
      <c r="C18" s="3299"/>
      <c r="D18" s="2535"/>
      <c r="E18" s="3300" t="s">
        <v>2842</v>
      </c>
      <c r="F18" s="3299"/>
      <c r="G18" s="3299"/>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比较法-车位</vt:lpstr>
      <vt:lpstr>结果表-车位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2022-03-21T02:48:25Z</dcterms:modified>
</cp:coreProperties>
</file>