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7" i="63" l="1"/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C29" i="63" s="1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5" i="63" s="1"/>
  <c r="G45" i="63" s="1"/>
  <c r="H1" i="63"/>
  <c r="D18" i="63" s="1"/>
  <c r="H10" i="63"/>
  <c r="J20" i="43"/>
  <c r="A16" i="43"/>
  <c r="J71" i="63"/>
  <c r="I71" i="63" s="1"/>
  <c r="D8" i="63"/>
  <c r="D19" i="63"/>
  <c r="L1" i="60"/>
  <c r="K1" i="60"/>
  <c r="M1" i="60"/>
  <c r="F47" i="63"/>
  <c r="F43" i="63"/>
  <c r="G43" i="63" s="1"/>
  <c r="D43" i="63"/>
  <c r="J48" i="63"/>
  <c r="I48" i="63" s="1"/>
  <c r="J44" i="63"/>
  <c r="I44" i="63" s="1"/>
  <c r="D42" i="63"/>
  <c r="F56" i="63"/>
  <c r="G56" i="63" s="1"/>
  <c r="F52" i="63"/>
  <c r="J54" i="63"/>
  <c r="I54" i="63" s="1"/>
  <c r="F60" i="63"/>
  <c r="G60" i="63" s="1"/>
  <c r="D60" i="63" s="1"/>
  <c r="F66" i="63"/>
  <c r="G66" i="63" s="1"/>
  <c r="D66" i="63" s="1"/>
  <c r="F62" i="63"/>
  <c r="G62" i="63" s="1"/>
  <c r="D62" i="63" s="1"/>
  <c r="J67" i="63"/>
  <c r="I67" i="63" s="1"/>
  <c r="J65" i="63"/>
  <c r="I65" i="63" s="1"/>
  <c r="J63" i="63"/>
  <c r="I63" i="63" s="1"/>
  <c r="J61" i="63"/>
  <c r="I61" i="63" s="1"/>
  <c r="F70" i="63"/>
  <c r="G70" i="63" s="1"/>
  <c r="D70" i="63"/>
  <c r="F76" i="63"/>
  <c r="F72" i="63"/>
  <c r="G72" i="63" s="1"/>
  <c r="D72" i="63"/>
  <c r="J76" i="63"/>
  <c r="I76" i="63" s="1"/>
  <c r="J74" i="63"/>
  <c r="I74" i="63" s="1"/>
  <c r="D74" i="63"/>
  <c r="F48" i="63"/>
  <c r="J42" i="63"/>
  <c r="I42" i="63" s="1"/>
  <c r="J45" i="63"/>
  <c r="I45" i="63" s="1"/>
  <c r="F51" i="63"/>
  <c r="G51" i="63" s="1"/>
  <c r="F55" i="63"/>
  <c r="F61" i="63"/>
  <c r="G61" i="63" s="1"/>
  <c r="D61" i="63" s="1"/>
  <c r="J66" i="63"/>
  <c r="I66" i="63" s="1"/>
  <c r="J62" i="63"/>
  <c r="I62" i="63" s="1"/>
  <c r="F75" i="63"/>
  <c r="G75" i="63" s="1"/>
  <c r="D75" i="63"/>
  <c r="F73" i="63"/>
  <c r="G73" i="63" s="1"/>
  <c r="D73" i="63"/>
  <c r="D71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D44" i="63"/>
  <c r="D45" i="63"/>
  <c r="D46" i="63"/>
  <c r="D47" i="63"/>
  <c r="D48" i="63"/>
  <c r="G48" i="63"/>
  <c r="D76" i="63"/>
  <c r="G76" i="63"/>
  <c r="G55" i="63"/>
  <c r="G52" i="63"/>
  <c r="G47" i="63"/>
  <c r="O4" i="59"/>
  <c r="F31" i="59"/>
  <c r="G29" i="59"/>
  <c r="F13" i="59"/>
  <c r="F18" i="59"/>
  <c r="F9" i="9"/>
  <c r="F5" i="9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AA15" i="39"/>
  <c r="S15" i="39"/>
  <c r="AA37" i="39"/>
  <c r="W45" i="39"/>
  <c r="AB32" i="39"/>
  <c r="B2" i="39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J7" i="39"/>
  <c r="W7" i="39" s="1"/>
  <c r="U9" i="39"/>
  <c r="H50" i="43"/>
  <c r="H49" i="43"/>
  <c r="W9" i="39"/>
  <c r="F17" i="59"/>
  <c r="F12" i="59"/>
  <c r="C10" i="63"/>
  <c r="H48" i="43"/>
  <c r="O3" i="59"/>
  <c r="F28" i="59" s="1"/>
  <c r="F33" i="59" s="1"/>
  <c r="B17" i="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F20" i="59"/>
  <c r="F11" i="9"/>
  <c r="T13" i="67"/>
  <c r="D13" i="67"/>
  <c r="C12" i="67"/>
  <c r="F22" i="59"/>
  <c r="F13" i="9"/>
  <c r="C11" i="67"/>
  <c r="D12" i="67"/>
  <c r="B3" i="43"/>
  <c r="D11" i="67"/>
  <c r="D10" i="67"/>
  <c r="I19" i="43"/>
  <c r="B4" i="43"/>
  <c r="D5" i="68"/>
  <c r="D8" i="68"/>
  <c r="D7" i="68"/>
  <c r="D6" i="68"/>
  <c r="H59" i="43"/>
  <c r="H65" i="43"/>
  <c r="H83" i="43"/>
  <c r="H52" i="43"/>
  <c r="H51" i="43"/>
  <c r="I17" i="43"/>
  <c r="K17" i="43"/>
  <c r="L17" i="43"/>
  <c r="M17" i="43"/>
  <c r="N17" i="43"/>
  <c r="E17" i="43"/>
  <c r="F35" i="43"/>
  <c r="F39" i="43"/>
  <c r="F38" i="43"/>
  <c r="H114" i="43"/>
  <c r="D17" i="43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1" i="65"/>
  <c r="F102" i="43"/>
  <c r="F108" i="43" s="1"/>
  <c r="L102" i="43"/>
  <c r="L104" i="43" s="1"/>
  <c r="S25" i="39"/>
  <c r="AA25" i="39"/>
  <c r="AC25" i="39"/>
  <c r="U25" i="39"/>
  <c r="AB25" i="39"/>
  <c r="AB27" i="39"/>
  <c r="U27" i="39"/>
  <c r="D8" i="67"/>
  <c r="C7" i="67"/>
  <c r="L107" i="43"/>
  <c r="F110" i="43"/>
  <c r="D7" i="67"/>
  <c r="C6" i="67"/>
  <c r="D6" i="67"/>
  <c r="H7" i="65"/>
  <c r="G7" i="65"/>
  <c r="H4" i="65"/>
  <c r="H6" i="65"/>
  <c r="H5" i="65"/>
  <c r="G6" i="65"/>
  <c r="G8" i="65"/>
  <c r="H8" i="65"/>
  <c r="G4" i="65"/>
  <c r="G5" i="65"/>
  <c r="J2" i="65" l="1"/>
  <c r="F7" i="39"/>
  <c r="D56" i="39"/>
  <c r="C58" i="39"/>
  <c r="AC7" i="39"/>
  <c r="V47" i="39" s="1"/>
  <c r="I47" i="39" s="1"/>
  <c r="I51" i="39" s="1"/>
  <c r="J51" i="39" s="1"/>
  <c r="J1" i="65"/>
  <c r="C19" i="43"/>
  <c r="H7" i="39"/>
  <c r="G17" i="43"/>
  <c r="C16" i="43" s="1"/>
  <c r="W12" i="39"/>
  <c r="H81" i="43"/>
  <c r="E70" i="63"/>
  <c r="B68" i="63" s="1"/>
  <c r="J73" i="63"/>
  <c r="I73" i="63" s="1"/>
  <c r="J75" i="63"/>
  <c r="I75" i="63" s="1"/>
  <c r="F71" i="63"/>
  <c r="G71" i="63" s="1"/>
  <c r="J70" i="63"/>
  <c r="I70" i="63" s="1"/>
  <c r="J64" i="63"/>
  <c r="I64" i="63" s="1"/>
  <c r="F63" i="63"/>
  <c r="G63" i="63" s="1"/>
  <c r="D63" i="63" s="1"/>
  <c r="F65" i="63"/>
  <c r="G65" i="63" s="1"/>
  <c r="D65" i="63" s="1"/>
  <c r="E60" i="63" s="1"/>
  <c r="B58" i="63" s="1"/>
  <c r="C15" i="63" s="1"/>
  <c r="C20" i="63" s="1"/>
  <c r="F67" i="63"/>
  <c r="G67" i="63" s="1"/>
  <c r="D67" i="63" s="1"/>
  <c r="J60" i="63"/>
  <c r="I60" i="63" s="1"/>
  <c r="J53" i="63"/>
  <c r="I53" i="63" s="1"/>
  <c r="J55" i="63"/>
  <c r="I55" i="63" s="1"/>
  <c r="J57" i="63"/>
  <c r="I57" i="63" s="1"/>
  <c r="F53" i="63"/>
  <c r="G53" i="63" s="1"/>
  <c r="F57" i="63"/>
  <c r="G57" i="63" s="1"/>
  <c r="J43" i="63"/>
  <c r="I43" i="63" s="1"/>
  <c r="J47" i="63"/>
  <c r="I47" i="63" s="1"/>
  <c r="F44" i="63"/>
  <c r="G44" i="63" s="1"/>
  <c r="F46" i="63"/>
  <c r="G46" i="63" s="1"/>
  <c r="J72" i="63"/>
  <c r="I72" i="63" s="1"/>
  <c r="F74" i="63"/>
  <c r="G74" i="63" s="1"/>
  <c r="F64" i="63"/>
  <c r="G64" i="63" s="1"/>
  <c r="D64" i="63" s="1"/>
  <c r="J52" i="63"/>
  <c r="I52" i="63" s="1"/>
  <c r="J56" i="63"/>
  <c r="I56" i="63" s="1"/>
  <c r="F54" i="63"/>
  <c r="G54" i="63" s="1"/>
  <c r="J51" i="63"/>
  <c r="I51" i="63" s="1"/>
  <c r="F42" i="63"/>
  <c r="G42" i="63" s="1"/>
  <c r="J46" i="63"/>
  <c r="I46" i="63" s="1"/>
  <c r="F11" i="39"/>
  <c r="AA11" i="39" s="1"/>
  <c r="H11" i="39"/>
  <c r="J11" i="39"/>
  <c r="W11" i="39" s="1"/>
  <c r="F107" i="43"/>
  <c r="L106" i="43"/>
  <c r="C23" i="43"/>
  <c r="M102" i="43"/>
  <c r="N104" i="46"/>
  <c r="E42" i="63"/>
  <c r="B40" i="63" s="1"/>
  <c r="C21" i="43"/>
  <c r="F103" i="43"/>
  <c r="M104" i="43"/>
  <c r="M103" i="43"/>
  <c r="L110" i="43"/>
  <c r="L108" i="43"/>
  <c r="AC11" i="39"/>
  <c r="H102" i="43"/>
  <c r="C102" i="43"/>
  <c r="G22" i="43"/>
  <c r="D22" i="43" s="1"/>
  <c r="G102" i="43"/>
  <c r="F22" i="43"/>
  <c r="G12" i="63"/>
  <c r="H12" i="63" s="1"/>
  <c r="E13" i="63"/>
  <c r="G104" i="43"/>
  <c r="F104" i="43"/>
  <c r="F106" i="43"/>
  <c r="F105" i="43"/>
  <c r="M106" i="43"/>
  <c r="M105" i="43"/>
  <c r="C106" i="43"/>
  <c r="L105" i="43"/>
  <c r="L103" i="43"/>
  <c r="H105" i="43"/>
  <c r="H104" i="43"/>
  <c r="H108" i="43"/>
  <c r="J22" i="43"/>
  <c r="D102" i="43"/>
  <c r="D103" i="43" s="1"/>
  <c r="J102" i="43"/>
  <c r="J103" i="43" s="1"/>
  <c r="N102" i="43"/>
  <c r="N105" i="43" s="1"/>
  <c r="K102" i="43"/>
  <c r="K107" i="43" s="1"/>
  <c r="B114" i="43"/>
  <c r="H22" i="43"/>
  <c r="E102" i="43"/>
  <c r="I102" i="43"/>
  <c r="D14" i="63"/>
  <c r="G13" i="63"/>
  <c r="E12" i="63"/>
  <c r="H87" i="43"/>
  <c r="H82" i="43"/>
  <c r="H61" i="43"/>
  <c r="H60" i="43"/>
  <c r="H67" i="43"/>
  <c r="H62" i="43"/>
  <c r="H88" i="43"/>
  <c r="H84" i="43"/>
  <c r="H14" i="44"/>
  <c r="N4" i="43"/>
  <c r="F70" i="43" s="1"/>
  <c r="N11" i="43"/>
  <c r="M12" i="43"/>
  <c r="M4" i="43"/>
  <c r="C6" i="43" s="1"/>
  <c r="D5" i="43" s="1"/>
  <c r="M10" i="43"/>
  <c r="M11" i="43"/>
  <c r="H10" i="44"/>
  <c r="H9" i="44"/>
  <c r="C5" i="43"/>
  <c r="H55" i="43"/>
  <c r="H54" i="43"/>
  <c r="H53" i="43"/>
  <c r="AA12" i="39"/>
  <c r="K106" i="43"/>
  <c r="N106" i="43"/>
  <c r="N103" i="43"/>
  <c r="J104" i="43"/>
  <c r="D104" i="43"/>
  <c r="S11" i="39"/>
  <c r="B83" i="63"/>
  <c r="B84" i="63"/>
  <c r="B81" i="63" s="1"/>
  <c r="B82" i="63"/>
  <c r="B85" i="63"/>
  <c r="C5" i="68"/>
  <c r="C7" i="68"/>
  <c r="C8" i="68"/>
  <c r="C6" i="68"/>
  <c r="H13" i="63"/>
  <c r="F13" i="63"/>
  <c r="F12" i="63"/>
  <c r="D20" i="63"/>
  <c r="I3" i="65"/>
  <c r="I1" i="65"/>
  <c r="E7" i="65"/>
  <c r="E6" i="65"/>
  <c r="D5" i="65"/>
  <c r="D4" i="65"/>
  <c r="D6" i="65"/>
  <c r="E8" i="65"/>
  <c r="D7" i="65"/>
  <c r="E4" i="65"/>
  <c r="E5" i="65"/>
  <c r="D8" i="65"/>
  <c r="G1" i="65"/>
  <c r="S7" i="39" l="1"/>
  <c r="AA7" i="39"/>
  <c r="R47" i="39" s="1"/>
  <c r="K3" i="65"/>
  <c r="K4" i="65"/>
  <c r="K2" i="65"/>
  <c r="AB7" i="39"/>
  <c r="T47" i="39" s="1"/>
  <c r="G47" i="39" s="1"/>
  <c r="U7" i="39"/>
  <c r="D58" i="39"/>
  <c r="E56" i="39"/>
  <c r="H72" i="43"/>
  <c r="H74" i="43"/>
  <c r="H73" i="43"/>
  <c r="H76" i="43"/>
  <c r="H75" i="43"/>
  <c r="H71" i="43"/>
  <c r="H70" i="43"/>
  <c r="H78" i="43"/>
  <c r="H77" i="43"/>
  <c r="U11" i="39"/>
  <c r="AB11" i="39"/>
  <c r="M110" i="43"/>
  <c r="M108" i="43"/>
  <c r="M107" i="43"/>
  <c r="C21" i="63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B4" i="63"/>
  <c r="C22" i="63"/>
  <c r="B5" i="63" s="1"/>
  <c r="E20" i="63"/>
  <c r="G21" i="59"/>
  <c r="G12" i="9" s="1"/>
  <c r="G3" i="65"/>
  <c r="E20" i="43"/>
  <c r="G2" i="65"/>
  <c r="R48" i="39" l="1"/>
  <c r="E47" i="39"/>
  <c r="S20" i="43"/>
  <c r="P20" i="43"/>
  <c r="R20" i="43"/>
  <c r="G20" i="43" s="1"/>
  <c r="C20" i="43" s="1"/>
  <c r="Q20" i="43"/>
  <c r="G9" i="59"/>
  <c r="C23" i="64"/>
  <c r="G52" i="39"/>
  <c r="H52" i="39" s="1"/>
  <c r="G51" i="39"/>
  <c r="H51" i="39" s="1"/>
  <c r="E58" i="39"/>
  <c r="F56" i="39"/>
  <c r="F7" i="59"/>
  <c r="C11" i="63"/>
  <c r="C18" i="63" s="1"/>
  <c r="C116" i="43"/>
  <c r="D114" i="43"/>
  <c r="F21" i="59"/>
  <c r="F12" i="9" s="1"/>
  <c r="F14" i="9" s="1"/>
  <c r="C19" i="63"/>
  <c r="E19" i="63" s="1"/>
  <c r="C12" i="9"/>
  <c r="C47" i="39" l="1"/>
  <c r="C48" i="39"/>
  <c r="B3" i="39" s="1"/>
  <c r="E41" i="43"/>
  <c r="C41" i="43" s="1"/>
  <c r="C38" i="43" s="1"/>
  <c r="E52" i="39"/>
  <c r="F52" i="39" s="1"/>
  <c r="I52" i="39"/>
  <c r="J52" i="39" s="1"/>
  <c r="E51" i="39"/>
  <c r="F51" i="39" s="1"/>
  <c r="G56" i="39"/>
  <c r="F58" i="39"/>
  <c r="C22" i="64"/>
  <c r="B17" i="59"/>
  <c r="B18" i="59" s="1"/>
  <c r="F11" i="59"/>
  <c r="B3" i="63"/>
  <c r="E18" i="63"/>
  <c r="C33" i="43"/>
  <c r="C37" i="43"/>
  <c r="C34" i="43"/>
  <c r="C36" i="43"/>
  <c r="C35" i="43"/>
  <c r="C29" i="43"/>
  <c r="C39" i="43" l="1"/>
  <c r="G39" i="43" s="1"/>
  <c r="I39" i="43" s="1"/>
  <c r="B3" i="64"/>
  <c r="F6" i="59" s="1"/>
  <c r="F5" i="59" s="1"/>
  <c r="C30" i="64"/>
  <c r="C28" i="64"/>
  <c r="H56" i="39"/>
  <c r="G58" i="39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E39" i="43" l="1"/>
  <c r="C26" i="43" s="1"/>
  <c r="B2" i="43" s="1"/>
  <c r="F8" i="59"/>
  <c r="F9" i="59" s="1"/>
  <c r="B12" i="9" s="1"/>
  <c r="B5" i="9"/>
  <c r="C27" i="64"/>
  <c r="E27" i="64" s="1"/>
  <c r="E28" i="64"/>
  <c r="H58" i="39"/>
  <c r="I56" i="39"/>
  <c r="C29" i="64"/>
  <c r="E29" i="64" s="1"/>
  <c r="E30" i="64"/>
  <c r="B11" i="9"/>
  <c r="C27" i="43"/>
  <c r="F10" i="59" l="1"/>
  <c r="B13" i="9" s="1"/>
  <c r="B14" i="9" s="1"/>
  <c r="J56" i="39"/>
  <c r="I58" i="39"/>
  <c r="F4" i="59" l="1"/>
  <c r="F24" i="59" s="1"/>
  <c r="F35" i="59" s="1"/>
  <c r="B18" i="9" s="1"/>
  <c r="C11" i="68" s="1"/>
  <c r="K56" i="39"/>
  <c r="J58" i="39"/>
  <c r="B15" i="9" l="1"/>
  <c r="F25" i="59"/>
  <c r="B16" i="9" s="1"/>
  <c r="H16" i="9" s="1"/>
  <c r="L56" i="39"/>
  <c r="K58" i="39"/>
  <c r="F36" i="59" l="1"/>
  <c r="B19" i="9" s="1"/>
  <c r="B11" i="68" s="1"/>
  <c r="L58" i="39"/>
  <c r="M56" i="39"/>
  <c r="H19" i="9" l="1"/>
  <c r="N56" i="39"/>
  <c r="M58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<sst xmlns="http://schemas.openxmlformats.org/spreadsheetml/2006/main" count="3955" uniqueCount="1800">
  <si>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</si>
  <si>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</si>
  <si>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</si>
  <si>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</si>
  <si>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</si>
  <si>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</si>
  <si>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</si>
  <si>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</si>
  <si>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</si>
  <si>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</si>
  <si>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</si>
  <si>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</si>
  <si>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</si>
  <si>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</si>
  <si>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</si>
  <si>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</si>
  <si>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</si>
  <si>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</si>
  <si>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</si>
  <si>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</si>
  <si>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</si>
  <si>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</si>
  <si>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</si>
  <si>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</si>
  <si>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</si>
  <si>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</si>
  <si>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</si>
  <si>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</si>
  <si>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</si>
  <si>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</si>
  <si>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</si>
  <si>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</si>
  <si>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</si>
  <si>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</si>
  <si>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</si>
  <si>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</si>
  <si>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</si>
  <si>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</si>
  <si>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</si>
  <si>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</si>
  <si>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</si>
  <si>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</si>
  <si>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</si>
  <si>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</si>
  <si>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</si>
  <si>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</si>
  <si>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</si>
  <si>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</si>
  <si>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</si>
  <si>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</si>
  <si>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</si>
  <si>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</si>
  <si>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</si>
  <si>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</si>
  <si>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</si>
  <si>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</si>
  <si>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</si>
  <si>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</si>
  <si>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</si>
  <si>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</si>
  <si>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</si>
  <si>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</si>
  <si>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</si>
  <si>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</si>
  <si>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</si>
  <si>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</si>
  <si>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</si>
  <si>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</si>
  <si>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</si>
  <si>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</si>
  <si>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</si>
  <si>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</si>
  <si>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</si>
  <si>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</si>
  <si>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</si>
  <si>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</si>
  <si>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</si>
  <si>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</si>
  <si>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</si>
  <si>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</si>
  <si>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</si>
  <si>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</si>
  <si>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</si>
  <si>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</si>
  <si>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</si>
  <si>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</si>
  <si>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</si>
  <si>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</si>
  <si>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</si>
  <si>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</si>
  <si>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</si>
  <si>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</si>
  <si>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</si>
  <si>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</si>
  <si>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</si>
  <si>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</si>
  <si>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</si>
  <si>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</si>
  <si>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</si>
  <si>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</si>
  <si>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</si>
  <si>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</si>
  <si>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</si>
  <si>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</si>
  <si>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</si>
  <si>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</si>
  <si>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</si>
  <si>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</si>
  <si>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</si>
  <si>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</si>
  <si>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</si>
  <si>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</si>
  <si>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</si>
  <si>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</si>
  <si>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</si>
  <si>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</si>
  <si>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</si>
  <si>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</si>
  <si>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</si>
  <si>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</si>
  <si>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</si>
  <si>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</si>
  <si>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</si>
  <si>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</si>
  <si>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</si>
  <si>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</si>
  <si>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</si>
  <si>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</si>
  <si>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</si>
  <si>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</si>
  <si>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</si>
  <si>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</si>
  <si>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</si>
  <si>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</si>
  <si>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</si>
  <si>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</si>
  <si>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</si>
  <si>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</si>
  <si>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</si>
  <si>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</si>
  <si>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</si>
  <si>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</si>
  <si>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</si>
  <si>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</si>
  <si>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</si>
  <si>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</si>
  <si>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</si>
  <si>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</si>
  <si>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</si>
  <si>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</si>
  <si>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</si>
  <si>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</si>
  <si>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</si>
  <si>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</si>
  <si>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</si>
  <si>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</si>
  <si>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</si>
  <si>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</si>
  <si>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</si>
  <si>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</si>
  <si>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</si>
  <si>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</si>
  <si>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</si>
  <si>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</si>
  <si>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</si>
  <si>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</si>
  <si>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</si>
  <si>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</si>
  <si>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</si>
  <si>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</si>
  <si>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</si>
  <si>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</si>
  <si>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</si>
  <si>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</si>
  <si>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</si>
  <si>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</si>
  <si>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</si>
  <si>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</si>
  <si>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</si>
  <si>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</si>
  <si>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</si>
  <si>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</si>
  <si>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</si>
  <si>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</si>
  <si>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</si>
  <si>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</si>
  <si>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</si>
  <si>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</si>
  <si>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</si>
  <si>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</si>
  <si>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</si>
  <si>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</si>
  <si>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</si>
  <si>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</si>
  <si>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</si>
  <si>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</si>
  <si>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</si>
  <si>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</si>
  <si>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</si>
  <si>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</si>
  <si>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</si>
  <si>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</si>
  <si>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</si>
  <si>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</si>
  <si>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</si>
  <si>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</si>
  <si>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</si>
  <si>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</si>
  <si>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</si>
  <si>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</si>
  <si>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</si>
  <si>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</si>
  <si>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</si>
  <si>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</si>
  <si>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</si>
  <si>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</si>
  <si>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</si>
  <si>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</si>
  <si>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</si>
  <si>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</si>
  <si>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</si>
  <si>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</si>
  <si>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</si>
  <si>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</si>
  <si>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</si>
  <si>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</si>
  <si>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</si>
  <si>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</si>
  <si>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</si>
  <si>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</si>
  <si>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</si>
  <si>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</si>
  <si>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</si>
  <si>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</si>
  <si>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</si>
  <si>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</si>
  <si>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</si>
  <si>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</si>
  <si>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</si>
  <si>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</si>
  <si>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</si>
  <si>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</si>
  <si>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</si>
  <si>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</si>
  <si>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</si>
  <si>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</si>
  <si>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</si>
  <si>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</si>
  <si>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</si>
  <si>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</si>
  <si>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</si>
  <si>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</si>
  <si>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</si>
  <si>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</si>
  <si>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</si>
  <si>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</si>
  <si>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</si>
  <si>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</si>
  <si>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</si>
  <si>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</si>
  <si>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</si>
  <si>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</si>
  <si>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</si>
  <si>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</si>
  <si>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</si>
  <si>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</si>
  <si>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</si>
  <si>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</si>
  <si>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</si>
  <si>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</si>
  <si>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</si>
  <si>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</si>
  <si>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</si>
  <si>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</si>
  <si>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</si>
  <si>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</si>
  <si>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</si>
  <si>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</si>
  <si>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</si>
  <si>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</si>
  <si>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</si>
  <si>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</si>
  <si>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</si>
  <si>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</si>
  <si>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</si>
  <si>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</si>
  <si>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</si>
  <si>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</si>
  <si>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</si>
  <si>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</si>
  <si>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</si>
  <si>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</si>
  <si>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</si>
  <si>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</si>
  <si>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</si>
  <si>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</si>
  <si>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</si>
  <si>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</si>
  <si>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</si>
  <si>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</si>
  <si>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</si>
  <si>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</si>
  <si>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</si>
  <si>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</si>
  <si>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</si>
  <si>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</si>
  <si>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</si>
  <si>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</si>
  <si>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</si>
  <si>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</si>
  <si>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</si>
  <si>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</si>
  <si>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</si>
  <si>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</si>
  <si>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</si>
  <si>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</si>
  <si>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</si>
  <si>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</si>
  <si>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</si>
  <si>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</si>
  <si>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</si>
  <si>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</si>
  <si>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</si>
  <si>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</si>
  <si>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</si>
  <si>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</si>
  <si>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</si>
  <si>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</si>
  <si>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</si>
  <si>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</si>
  <si>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</si>
  <si>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</si>
  <si>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</si>
  <si>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</si>
  <si>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</si>
  <si>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</si>
  <si>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</si>
  <si>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</si>
  <si>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</si>
  <si>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</si>
  <si>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</si>
  <si>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</si>
  <si>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</si>
  <si>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</si>
  <si>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</si>
  <si>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</si>
  <si>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</si>
  <si>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</si>
  <si>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</si>
  <si>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</si>
  <si>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</si>
  <si>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</si>
  <si>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</si>
  <si>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</si>
  <si>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</si>
  <si>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</si>
  <si>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</si>
  <si>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</si>
  <si>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</si>
  <si>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</si>
  <si>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</si>
  <si>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</si>
  <si>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</si>
  <si>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</si>
  <si>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</si>
  <si>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</si>
  <si>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</si>
  <si>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</si>
  <si>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</si>
  <si>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</si>
  <si>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</si>
  <si>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</si>
  <si>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</si>
  <si>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</si>
  <si>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</si>
  <si>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</si>
  <si>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</si>
  <si>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</si>
  <si>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</si>
  <si>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</si>
  <si>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</si>
  <si>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</si>
  <si>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</si>
  <si>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</si>
  <si>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</si>
  <si>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</si>
  <si>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</si>
  <si>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</si>
  <si>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</si>
  <si>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</si>
  <si>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</si>
  <si>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</si>
  <si>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</si>
  <si>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</si>
  <si>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</si>
  <si>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</si>
  <si>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</si>
  <si>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</si>
  <si>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</si>
  <si>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</si>
  <si>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</si>
  <si>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</si>
  <si>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</si>
  <si>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</si>
  <si>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</si>
  <si>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</si>
  <si>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</si>
  <si>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</si>
  <si>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</si>
  <si>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</si>
  <si>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</si>
  <si>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</si>
  <si>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</si>
  <si>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</si>
  <si>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</si>
  <si>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</si>
  <si>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</si>
  <si>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</si>
  <si>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</si>
  <si>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</si>
  <si>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</si>
  <si>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</si>
  <si>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</si>
  <si>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</si>
  <si>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</si>
  <si>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</si>
  <si>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</si>
  <si>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</si>
  <si>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</si>
  <si>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</si>
  <si>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</si>
  <si>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</si>
  <si>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</si>
  <si>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</si>
  <si>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</si>
  <si>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</si>
  <si>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</si>
  <si>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</si>
  <si>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</si>
  <si>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</si>
  <si>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</si>
  <si>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</si>
  <si>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</si>
  <si>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</si>
  <si>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</si>
  <si>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</si>
  <si>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</si>
  <si>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</si>
  <si>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</si>
  <si>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</si>
  <si>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</si>
  <si>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</si>
  <si>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</si>
  <si>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</si>
  <si>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</si>
  <si>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</si>
  <si>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</si>
  <si>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</si>
  <si>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</si>
  <si>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</si>
  <si>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</si>
  <si>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</si>
  <si>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</si>
  <si>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</si>
  <si>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</si>
  <si>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</si>
  <si>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</si>
  <si>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</si>
  <si>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</si>
  <si>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</si>
  <si>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</si>
  <si>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</si>
  <si>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</si>
  <si>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</si>
  <si>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</si>
  <si>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</si>
  <si>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</si>
  <si>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</si>
  <si>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</si>
  <si>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</si>
  <si>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</si>
  <si>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</si>
  <si>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</si>
  <si>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</si>
  <si>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</si>
  <si>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</si>
  <si>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</si>
  <si>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</si>
  <si>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</si>
  <si>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</si>
  <si>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</si>
  <si>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</si>
  <si>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</si>
  <si>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</si>
  <si>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</si>
  <si>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</si>
  <si>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</si>
  <si>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</si>
  <si>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</si>
  <si>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</si>
  <si>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</si>
  <si>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</si>
  <si>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</si>
  <si>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</si>
  <si>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</si>
  <si>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</si>
  <si>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</si>
  <si>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</si>
  <si>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</si>
  <si>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</si>
  <si>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</si>
  <si>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</si>
  <si>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</si>
  <si>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</si>
  <si>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</si>
  <si>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</si>
  <si>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</si>
  <si>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</si>
  <si>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</si>
  <si>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</si>
  <si>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</si>
  <si>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</si>
  <si>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</si>
  <si>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</si>
  <si>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</si>
  <si>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</si>
  <si>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</si>
  <si>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</si>
  <si>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</si>
  <si>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</si>
  <si>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</si>
  <si>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</si>
  <si>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</si>
  <si>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</si>
  <si>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</si>
  <si>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</si>
  <si>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</si>
  <si>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</si>
  <si>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</si>
  <si>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</si>
  <si>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</si>
  <si>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</si>
  <si>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</si>
  <si>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</si>
  <si>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</si>
  <si>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</si>
  <si>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</si>
  <si>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</si>
  <si>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</si>
  <si>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</si>
  <si>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</si>
  <si>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</si>
  <si>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</si>
  <si>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</si>
  <si>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</si>
  <si>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</si>
  <si>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</si>
  <si>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</si>
  <si>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</si>
  <si>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</si>
  <si>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</si>
  <si>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</si>
  <si>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</si>
  <si>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</si>
  <si>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</si>
  <si>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</si>
  <si>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</si>
  <si>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</si>
  <si>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</si>
  <si>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</si>
  <si>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</si>
  <si>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</si>
  <si>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</si>
  <si>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</si>
  <si>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</si>
  <si>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</si>
  <si>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</si>
  <si>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</si>
  <si>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</si>
  <si>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</si>
  <si>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</si>
  <si>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</si>
  <si>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</si>
  <si>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</si>
  <si>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</si>
  <si>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</si>
  <si>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</si>
  <si>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</si>
  <si>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</si>
  <si>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</si>
  <si>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</si>
  <si>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</si>
  <si>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</si>
  <si>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</si>
  <si>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</si>
  <si>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</si>
  <si>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</si>
  <si>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</si>
  <si>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</si>
  <si>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</si>
  <si>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</si>
  <si>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</si>
  <si>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</si>
  <si>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</si>
  <si>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</si>
  <si>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</si>
  <si>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</si>
  <si>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</si>
  <si>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</si>
  <si>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</si>
  <si>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</si>
  <si>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</si>
  <si>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</si>
  <si>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</si>
  <si>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</si>
  <si>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</si>
  <si>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</si>
  <si>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</si>
  <si>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</si>
  <si>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</si>
  <si>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</si>
  <si>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</si>
  <si>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</si>
  <si>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</si>
  <si>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</si>
  <si>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</si>
  <si>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</si>
  <si>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</si>
  <si>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</si>
  <si>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</si>
  <si>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</si>
  <si>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</si>
  <si>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</si>
  <si>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</si>
  <si>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</si>
  <si>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</si>
  <si>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</si>
  <si>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</si>
  <si>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</si>
  <si>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</si>
  <si>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</si>
  <si>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</si>
  <si>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</si>
  <si>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</si>
  <si>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</si>
  <si>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</si>
  <si>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</si>
  <si>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</si>
  <si>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</si>
  <si>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</si>
  <si>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</si>
  <si>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</si>
  <si>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</si>
  <si>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</si>
  <si>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</si>
  <si>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</si>
  <si>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</si>
  <si>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</si>
  <si>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</si>
  <si>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</si>
  <si>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</si>
  <si>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</si>
  <si>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</si>
  <si>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</si>
  <si>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</si>
  <si>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</si>
  <si>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</si>
  <si>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</si>
  <si>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</si>
  <si>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</si>
  <si>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</si>
  <si>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</si>
  <si>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</si>
  <si>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</si>
  <si>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</si>
  <si>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</si>
  <si>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</si>
  <si>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</si>
  <si>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</si>
  <si>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</si>
  <si>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</si>
  <si>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</si>
  <si>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</si>
  <si>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</si>
  <si>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</si>
  <si>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</si>
  <si>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</si>
  <si>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</si>
  <si>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</si>
  <si>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</si>
  <si>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</si>
  <si>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</si>
  <si>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</si>
  <si>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</si>
  <si>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</si>
  <si>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</si>
  <si>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</si>
  <si>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</si>
  <si>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</si>
  <si>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</si>
  <si>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</si>
  <si>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</si>
  <si>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</si>
  <si>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</si>
  <si>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</si>
  <si>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</si>
  <si>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</si>
  <si>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</si>
  <si>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</si>
  <si>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</si>
  <si>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</si>
  <si>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</si>
  <si>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</si>
  <si>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</si>
  <si>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</si>
  <si>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</si>
  <si>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</si>
  <si>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</si>
  <si>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</si>
  <si>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</si>
  <si>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</si>
  <si>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</si>
  <si>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</si>
  <si>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</si>
  <si>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</si>
  <si>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</si>
  <si>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</si>
  <si>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</si>
  <si>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</si>
  <si>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</si>
  <si>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</si>
  <si>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</si>
  <si>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</si>
  <si>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</si>
  <si>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</si>
  <si>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</si>
  <si>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</si>
  <si>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</si>
  <si>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</si>
  <si>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</si>
  <si>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</si>
  <si>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</si>
  <si>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</si>
  <si>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</si>
  <si>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</si>
  <si>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</si>
  <si>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</si>
  <si>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</si>
  <si>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</si>
  <si>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</si>
  <si>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</si>
  <si>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</si>
  <si>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</si>
  <si>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</si>
  <si>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</si>
  <si>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</si>
  <si>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</si>
  <si>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</si>
  <si>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</si>
  <si>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</si>
  <si>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</si>
  <si>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</si>
  <si>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</si>
  <si>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</si>
  <si>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</si>
  <si>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</si>
  <si>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</si>
  <si>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</si>
  <si>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</si>
  <si>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</si>
  <si>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</si>
  <si>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</si>
  <si>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</si>
  <si>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</si>
  <si>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</si>
  <si>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</si>
  <si>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</si>
  <si>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</si>
  <si>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</si>
  <si>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</si>
  <si>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</si>
  <si>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</si>
  <si>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</si>
  <si>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</si>
  <si>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</si>
  <si>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</si>
  <si>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</si>
  <si>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</si>
  <si>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</si>
  <si>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</si>
  <si>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</si>
  <si>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</si>
  <si>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</si>
  <si>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</si>
  <si>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</si>
  <si>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</si>
  <si>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</si>
  <si>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</si>
  <si>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</si>
  <si>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</si>
  <si>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</si>
  <si>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</si>
  <si>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</si>
  <si>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</si>
  <si>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</si>
  <si>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</si>
  <si>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</si>
  <si>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</si>
  <si>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</si>
  <si>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</si>
  <si>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</si>
  <si>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</si>
  <si>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</si>
  <si>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</si>
  <si>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</si>
  <si>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</si>
  <si>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</si>
  <si>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</si>
  <si>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</si>
  <si>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</si>
  <si>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</si>
  <si>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</si>
  <si>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</si>
  <si>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</si>
  <si>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</si>
  <si>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</si>
  <si>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</si>
  <si>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</si>
  <si>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</si>
  <si>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</si>
  <si>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</si>
  <si>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</si>
  <si>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</si>
  <si>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</si>
  <si>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</si>
  <si>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</si>
  <si>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</si>
  <si>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</si>
  <si>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</si>
  <si>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</si>
  <si>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</si>
  <si>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</si>
  <si>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</si>
  <si>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</si>
  <si>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</si>
  <si>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</si>
  <si>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</si>
  <si>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</si>
  <si>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</si>
  <si>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</si>
  <si>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</si>
  <si>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</si>
  <si>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</si>
  <si>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</si>
  <si>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</si>
  <si>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</si>
  <si>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</si>
  <si>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</si>
  <si>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</si>
  <si>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</si>
  <si>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</si>
  <si>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</si>
  <si>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</si>
  <si>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</si>
  <si>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</si>
  <si>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</si>
  <si>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</si>
  <si>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</si>
  <si>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</si>
  <si>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</si>
  <si>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</si>
  <si>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</si>
  <si>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</si>
  <si>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</si>
  <si>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</si>
  <si>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</si>
  <si>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</si>
  <si>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</si>
  <si>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</si>
  <si>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</si>
  <si>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</si>
  <si>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</si>
  <si>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</si>
  <si>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</si>
  <si>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</si>
  <si>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</si>
  <si>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</si>
  <si>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</si>
  <si>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</si>
  <si>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</si>
  <si>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</si>
  <si>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</si>
  <si>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</si>
  <si>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</si>
  <si>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</si>
  <si>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</si>
  <si>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</si>
  <si>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</si>
  <si>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</si>
  <si>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</si>
  <si>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</si>
  <si>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</si>
  <si>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</si>
  <si>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</si>
  <si>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</si>
  <si>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</si>
  <si>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</si>
  <si>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</si>
  <si>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</si>
  <si>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</si>
  <si>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</si>
  <si>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</si>
  <si>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</si>
  <si>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</si>
  <si>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</si>
  <si>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</si>
  <si>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</si>
  <si>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</si>
  <si>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</si>
  <si>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</si>
  <si>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</si>
  <si>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</si>
  <si>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</si>
  <si>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</si>
  <si>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</si>
  <si>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</si>
  <si>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</si>
  <si>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</si>
  <si>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</si>
  <si>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</si>
  <si>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</si>
  <si>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</si>
  <si>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</si>
  <si>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</si>
  <si>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</si>
  <si>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</si>
  <si>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</si>
  <si>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</si>
  <si>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</si>
  <si>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</si>
  <si>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</si>
  <si>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</si>
  <si>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</si>
  <si>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</si>
  <si>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</si>
  <si>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</si>
  <si>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</si>
  <si>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</si>
  <si>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</si>
  <si>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</si>
  <si>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</si>
  <si>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</si>
  <si>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</si>
  <si>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</si>
  <si>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</si>
  <si>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</si>
  <si>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</si>
  <si>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</si>
  <si>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</si>
  <si>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</si>
  <si>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</si>
  <si>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</si>
  <si>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</si>
  <si>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</si>
  <si>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</si>
  <si>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</si>
  <si>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</si>
  <si>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</si>
  <si>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</si>
  <si>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</si>
  <si>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</si>
  <si>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</si>
  <si>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</si>
  <si>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</si>
  <si>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</si>
  <si>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</si>
  <si>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</si>
  <si>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</si>
  <si>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</si>
  <si>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</si>
  <si>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</si>
  <si>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</si>
  <si>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</si>
  <si>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</si>
  <si>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</si>
  <si>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</si>
  <si>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</si>
  <si>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</si>
  <si>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</si>
  <si>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</si>
  <si>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</si>
  <si>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</si>
  <si>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</si>
  <si>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</si>
  <si>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</si>
  <si>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</si>
  <si>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</si>
  <si>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</si>
  <si>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</si>
  <si>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</si>
  <si>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</si>
  <si>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</si>
  <si>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</si>
  <si>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</si>
  <si>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</si>
  <si>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</si>
  <si>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</si>
  <si>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</si>
  <si>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</si>
  <si>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</si>
  <si>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</si>
  <si>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</si>
  <si>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</si>
  <si>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</si>
  <si>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</si>
  <si>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</si>
  <si>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</si>
  <si>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</si>
  <si>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</si>
  <si>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</si>
  <si>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</si>
  <si>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</si>
  <si>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</si>
  <si>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</si>
  <si>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</si>
  <si>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</si>
  <si>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</si>
  <si>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</si>
  <si>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</si>
  <si>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</si>
  <si>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</si>
  <si>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</si>
  <si>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</si>
  <si>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</si>
  <si>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</si>
  <si>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</si>
  <si>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</si>
  <si>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</si>
  <si>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</si>
  <si>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</si>
  <si>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</si>
  <si>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</si>
  <si>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</si>
  <si>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</si>
  <si>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</si>
  <si>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</si>
  <si>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</si>
  <si>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</si>
  <si>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</si>
  <si>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</si>
  <si>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</si>
  <si>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</si>
  <si>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</si>
  <si>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</si>
  <si>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</si>
  <si>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</si>
  <si>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</si>
  <si>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</si>
  <si>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</si>
  <si>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</si>
  <si>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</si>
  <si>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</si>
  <si>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</si>
  <si>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</si>
  <si>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</si>
  <si>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</si>
  <si>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</si>
  <si>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</si>
  <si>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</si>
  <si>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</si>
  <si>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</si>
  <si>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</si>
  <si>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</si>
  <si>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</si>
  <si>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</si>
  <si>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</si>
  <si>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</si>
  <si>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</si>
  <si>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</si>
  <si>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</si>
  <si>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</si>
  <si>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</si>
  <si>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</si>
  <si>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</si>
  <si>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</si>
  <si>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</si>
  <si>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</si>
  <si>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</si>
  <si>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</si>
  <si>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</si>
  <si>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</si>
  <si>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</si>
  <si>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</si>
  <si>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</si>
  <si>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</si>
  <si>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</si>
  <si>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</si>
  <si>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</si>
  <si>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</si>
  <si>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</si>
  <si>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</si>
  <si>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</si>
  <si>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</si>
  <si>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</si>
  <si>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</si>
  <si>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</si>
  <si>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</si>
  <si>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</si>
  <si>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</si>
  <si>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</si>
  <si>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</si>
  <si>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</si>
  <si>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</si>
  <si>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</si>
  <si>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</si>
  <si>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</si>
  <si>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</si>
  <si>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</si>
  <si>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</si>
  <si>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</si>
  <si>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</si>
  <si>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</si>
  <si>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</si>
  <si>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</si>
  <si>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</si>
  <si>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</si>
  <si>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</si>
  <si>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</si>
  <si>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</si>
  <si>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</si>
  <si>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</si>
  <si>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</si>
  <si>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</si>
  <si>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</si>
  <si>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</si>
  <si>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</si>
  <si>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</si>
  <si>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</si>
  <si>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</si>
  <si>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</si>
  <si>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</si>
  <si>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</si>
  <si>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</si>
  <si>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</si>
  <si>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</si>
  <si>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</si>
  <si>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</si>
  <si>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</si>
  <si>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</si>
  <si>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</si>
  <si>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</si>
  <si>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</si>
  <si>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</si>
  <si>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</si>
  <si>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</si>
  <si>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</si>
  <si>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</si>
  <si>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</si>
  <si>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</si>
  <si>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</si>
  <si>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</si>
  <si>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</si>
  <si>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</si>
  <si>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</si>
  <si>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</si>
  <si>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</si>
  <si>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</si>
  <si>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</si>
  <si>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</si>
  <si>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</si>
  <si>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</si>
  <si>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</si>
  <si>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</si>
  <si>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</si>
  <si>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</si>
  <si>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</si>
  <si>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</si>
  <si>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</si>
  <si>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</si>
  <si>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</si>
  <si>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</si>
  <si>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</si>
  <si>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</si>
  <si>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</si>
  <si>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</si>
  <si>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</si>
  <si>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</si>
  <si>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</si>
  <si>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</si>
  <si>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</si>
  <si>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</si>
  <si>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</si>
  <si>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</si>
  <si>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</si>
  <si>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</si>
  <si>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</si>
  <si>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</si>
  <si>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</si>
  <si>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</si>
  <si>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</si>
  <si>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</si>
  <si>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</si>
  <si>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</si>
  <si>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</si>
  <si>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</si>
  <si>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</si>
  <si>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</si>
  <si>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</si>
  <si>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</si>
  <si>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</si>
  <si>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</si>
  <si>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</si>
  <si>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</si>
  <si>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</si>
  <si>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</si>
  <si>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</si>
  <si>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</si>
  <si>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</si>
  <si>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</si>
  <si>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</si>
  <si>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</si>
  <si>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</si>
  <si>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</si>
  <si>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</si>
  <si>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</si>
  <si>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</si>
  <si>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</si>
  <si>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</si>
  <si>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</si>
  <si>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</si>
  <si>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</si>
  <si>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</si>
  <si>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</si>
  <si>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</si>
  <si>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</si>
  <si>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</si>
  <si>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</si>
  <si>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</si>
  <si>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</si>
  <si>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</si>
  <si>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</si>
  <si>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</si>
  <si>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</si>
  <si>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</si>
  <si>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</si>
  <si>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</si>
  <si>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</si>
  <si>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</si>
  <si>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</si>
  <si>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</si>
  <si>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</si>
  <si>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</si>
  <si>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</si>
  <si>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</si>
  <si>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</si>
  <si>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</si>
  <si>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</si>
  <si>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</si>
  <si>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</si>
  <si>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</si>
  <si>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</si>
  <si>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</si>
  <si>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</si>
  <si>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</si>
  <si>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</si>
  <si>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</si>
  <si>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</si>
  <si>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</si>
  <si>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</si>
  <si>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</si>
  <si>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</si>
  <si>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</si>
  <si>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</si>
  <si>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</si>
  <si>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</si>
  <si>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</si>
  <si>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</si>
  <si>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</si>
  <si>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</si>
  <si>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</si>
  <si>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</si>
  <si>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</si>
  <si>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</si>
  <si>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</si>
  <si>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</si>
  <si>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</si>
  <si>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</si>
  <si>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</si>
  <si>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</si>
  <si>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</si>
  <si>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</si>
  <si>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</si>
  <si>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</si>
  <si>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</si>
  <si>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</si>
  <si>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</si>
  <si>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</si>
  <si>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</si>
  <si>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</si>
  <si>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</si>
  <si>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</si>
  <si>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</si>
  <si>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</si>
  <si>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</si>
  <si>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</si>
  <si>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</si>
  <si>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</si>
  <si>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</si>
  <si>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</si>
  <si>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</si>
  <si>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</si>
  <si>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</si>
  <si>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</si>
  <si>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</si>
  <si>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</si>
  <si>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</si>
  <si>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</si>
  <si>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</si>
  <si>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</si>
  <si>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</si>
  <si>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</si>
  <si>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</si>
  <si>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</si>
  <si>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</si>
  <si>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</si>
  <si>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</si>
  <si>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</si>
  <si>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</si>
  <si>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</si>
  <si>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</si>
  <si>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</si>
  <si>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</si>
  <si>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</si>
  <si>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</si>
  <si>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</si>
  <si>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</si>
  <si>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</si>
  <si>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</si>
  <si>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</si>
  <si>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</si>
  <si>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</si>
  <si>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</si>
  <si>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</si>
  <si>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</si>
  <si>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</si>
  <si>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</si>
  <si>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</si>
  <si>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</si>
  <si>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</si>
  <si>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</si>
  <si>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</si>
  <si>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</si>
  <si>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</si>
  <si>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</si>
  <si>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</si>
  <si>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</si>
  <si>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</si>
  <si>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</si>
  <si>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</si>
  <si>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</si>
  <si>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</si>
  <si>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</si>
  <si>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</si>
  <si>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</si>
  <si>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</si>
  <si>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</si>
  <si>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</si>
  <si>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</si>
  <si>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</si>
  <si>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</si>
  <si>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</si>
  <si>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</si>
  <si>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</si>
  <si>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</si>
  <si>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</si>
  <si>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</si>
  <si>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</si>
  <si>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</si>
  <si>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</si>
  <si>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</si>
  <si>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</si>
  <si>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</si>
  <si>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</si>
  <si>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</si>
  <si>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</si>
  <si>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</si>
  <si>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</si>
  <si>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</si>
  <si>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</si>
  <si>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</si>
  <si>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</si>
  <si>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</si>
  <si>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</si>
  <si>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</si>
  <si>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</si>
  <si>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</si>
  <si>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</si>
  <si>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</si>
  <si>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</si>
  <si>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</si>
  <si>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</si>
  <si>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</si>
  <si>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</si>
  <si>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</si>
  <si>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</si>
  <si>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</si>
  <si>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</si>
  <si>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</si>
  <si>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</si>
  <si>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</si>
  <si>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</si>
  <si>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</si>
  <si>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</si>
  <si>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</si>
  <si>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</si>
  <si>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</si>
  <si>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</si>
  <si>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</si>
  <si>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</si>
  <si>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</si>
  <si>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</si>
  <si>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</si>
  <si>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</si>
  <si>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</si>
  <si>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</si>
  <si>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</si>
  <si>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</si>
  <si>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</si>
  <si>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</si>
  <si>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</si>
  <si>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</si>
  <si>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</si>
  <si>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</si>
  <si>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</si>
  <si>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</si>
  <si>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</si>
  <si>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</si>
  <si>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</si>
  <si>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</si>
  <si>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</si>
  <si>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</si>
  <si>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</si>
  <si>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</si>
  <si>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</si>
  <si>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</si>
  <si>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</si>
  <si>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</si>
  <si>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</si>
  <si>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</si>
  <si>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</si>
  <si>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</si>
  <si>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</si>
  <si>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</si>
  <si>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</si>
  <si>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</si>
  <si>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</si>
  <si>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</si>
  <si>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</si>
  <si>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</si>
  <si>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</si>
  <si>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</si>
  <si>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</si>
  <si>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</si>
  <si>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</si>
  <si>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</si>
  <si>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</si>
  <si>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</si>
  <si>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</si>
  <si>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</si>
  <si>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</si>
  <si>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</si>
  <si>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</si>
  <si>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</si>
  <si>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</si>
  <si>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</si>
  <si>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</si>
  <si>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</si>
  <si>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</si>
  <si>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</si>
  <si>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</si>
  <si>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</si>
  <si>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</si>
  <si>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</si>
  <si>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</si>
  <si>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</si>
  <si>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</si>
  <si>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</si>
  <si>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</si>
  <si>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</si>
  <si>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</si>
  <si>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</si>
  <si>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</si>
  <si>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</si>
  <si>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</si>
  <si>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</si>
  <si>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</si>
  <si>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</si>
  <si>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</si>
  <si>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</si>
  <si>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</si>
  <si>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</si>
  <si>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</si>
  <si>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</si>
  <si>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</si>
  <si>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</si>
  <si>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</si>
  <si>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</si>
  <si>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</si>
  <si>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</si>
  <si>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</si>
  <si>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</si>
  <si>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</si>
  <si>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</si>
  <si>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</si>
  <si>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</si>
  <si>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</si>
  <si>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</si>
  <si>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</si>
  <si>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</si>
  <si>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</si>
  <si>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</si>
  <si>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</si>
  <si>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</si>
  <si>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</si>
  <si>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</si>
  <si>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</si>
  <si>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</si>
  <si>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</si>
  <si>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</si>
  <si>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</si>
  <si>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</si>
  <si>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</si>
  <si>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</si>
  <si>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</si>
  <si>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</si>
  <si>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</si>
  <si>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</si>
  <si>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</si>
  <si>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</si>
  <si>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</si>
  <si>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</si>
  <si>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</si>
  <si>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</si>
  <si>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</si>
  <si>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</si>
  <si>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</si>
  <si>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</si>
  <si>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</si>
  <si>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</si>
  <si>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</si>
  <si>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</si>
  <si>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</si>
  <si>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</si>
  <si>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</si>
  <si>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</si>
  <si>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</si>
  <si>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</si>
  <si>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</si>
  <si>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</si>
  <si>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</si>
  <si>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</si>
  <si>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</si>
  <si>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</si>
  <si>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</si>
  <si>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</si>
  <si>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</si>
  <si>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</si>
  <si>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</si>
  <si>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</si>
  <si>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</si>
  <si>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</si>
  <si>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</si>
  <si>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</si>
  <si>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</si>
  <si>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</si>
  <si>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</si>
  <si>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</si>
  <si>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</si>
  <si>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</si>
  <si>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</si>
  <si>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</si>
  <si>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</si>
  <si>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</si>
  <si>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</si>
  <si>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</si>
  <si>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</si>
  <si>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</si>
  <si>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</si>
  <si>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</si>
  <si>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</si>
  <si>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</si>
  <si>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</si>
  <si>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</si>
  <si>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</si>
  <si>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</si>
  <si>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</si>
  <si>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</si>
  <si>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</si>
  <si>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</si>
  <si>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</si>
  <si>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</si>
  <si>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</si>
  <si>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</si>
  <si>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</si>
  <si>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</si>
  <si>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</si>
  <si>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</si>
  <si>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</si>
  <si>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</si>
  <si>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</si>
  <si>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</si>
  <si>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</si>
  <si>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</si>
  <si>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</si>
  <si>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</si>
  <si>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</si>
  <si>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</si>
  <si>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</si>
  <si>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</si>
  <si>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</si>
  <si>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</si>
  <si>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</si>
  <si>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</si>
  <si>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</si>
  <si>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</si>
  <si>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</si>
  <si>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</si>
  <si>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</si>
  <si>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</si>
  <si>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</si>
  <si>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</si>
  <si>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</si>
  <si>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</si>
  <si>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</si>
  <si>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</si>
  <si>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</si>
  <si>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</si>
  <si>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</si>
  <si>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</si>
  <si>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</si>
  <si>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</si>
  <si>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</si>
  <si>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</si>
  <si>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</si>
  <si>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</si>
  <si>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</si>
  <si>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</si>
  <si>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</si>
  <si>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</si>
  <si>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</si>
  <si>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</si>
  <si>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</si>
  <si>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</si>
  <si>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</si>
  <si>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</si>
  <si>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</si>
  <si>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</si>
  <si>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</si>
  <si>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</si>
  <si>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</si>
  <si>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</si>
  <si>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</si>
  <si>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</si>
  <si>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</si>
  <si>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</si>
  <si>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</si>
  <si>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</si>
  <si>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</si>
  <si>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</si>
  <si>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</si>
  <si>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</si>
  <si>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</si>
  <si>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</si>
  <si>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</si>
  <si>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</si>
  <si>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</si>
  <si>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</si>
  <si>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</si>
  <si>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</si>
  <si>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</si>
  <si>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</si>
  <si>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</si>
  <si>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</si>
  <si>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</si>
  <si>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</si>
  <si>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</si>
  <si>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</si>
  <si>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</si>
  <si>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</si>
  <si>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</si>
  <si>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</si>
  <si>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</si>
  <si>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</si>
  <si>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</si>
  <si>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</si>
  <si>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</si>
  <si>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</si>
  <si>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</si>
  <si>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</si>
  <si>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</si>
  <si>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</si>
  <si>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</si>
  <si>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</si>
  <si>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</si>
  <si>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</si>
  <si>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</si>
  <si>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</si>
  <si>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</si>
  <si>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</si>
  <si>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</si>
  <si>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</si>
  <si>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</si>
  <si>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</si>
  <si>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</si>
  <si>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</si>
  <si>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</si>
  <si>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</si>
  <si>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</si>
  <si>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</si>
  <si>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</si>
  <si>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</si>
  <si>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</si>
  <si>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</si>
  <si>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</si>
  <si>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</si>
  <si>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</si>
  <si>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</si>
  <si>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</si>
  <si>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</si>
  <si>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</si>
  <si>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</si>
  <si>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</si>
  <si>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</si>
  <si>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</si>
  <si>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</si>
  <si>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</si>
  <si>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</si>
  <si>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</si>
  <si>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</si>
  <si>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</si>
  <si>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</si>
  <si>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</si>
  <si>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</si>
  <si>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</si>
  <si>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</si>
  <si>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</si>
  <si>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</si>
  <si>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</si>
  <si>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</si>
  <si>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</si>
  <si>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</si>
  <si>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</si>
  <si>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</si>
  <si>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</si>
  <si>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</si>
  <si>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</si>
  <si>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</si>
  <si>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</si>
  <si>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</si>
  <si>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</si>
  <si>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</si>
  <si>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</si>
  <si>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</si>
  <si>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</si>
  <si>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</si>
  <si>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</si>
  <si>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</si>
  <si>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</si>
  <si>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</si>
  <si>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</si>
  <si>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</si>
  <si>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</si>
  <si>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</si>
  <si>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</si>
  <si>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</si>
  <si>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</si>
  <si>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</si>
  <si>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</si>
  <si>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</si>
  <si>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</si>
  <si>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</si>
  <si>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</si>
  <si>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</si>
  <si>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</si>
  <si>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</si>
  <si>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</si>
  <si>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</si>
  <si>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</si>
  <si>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</si>
  <si>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</si>
  <si>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</si>
  <si>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</si>
  <si>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</si>
  <si>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居住用地（指二类居住用地）</t>
  </si>
  <si>
    <t>扣毛地价</t>
  </si>
  <si>
    <t>较差</t>
  </si>
  <si>
    <t>市区</t>
  </si>
  <si>
    <t>四环路内</t>
  </si>
  <si>
    <t>好</t>
  </si>
  <si>
    <t>2003-3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</si>
</sst>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topLeftCell="A4" zoomScale="90" zoomScaleNormal="90" zoomScaleSheetLayoutView="89" workbookViewId="0">
      <selection activeCell="C7" sqref="C7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61.97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四级</v>
      </c>
      <c r="H2" s="715" t="s">
        <v>1351</v>
      </c>
      <c r="I2" s="1312" t="s">
        <v>1788</v>
      </c>
      <c r="J2" s="717"/>
      <c r="AE2" s="712"/>
      <c r="AF2" s="712"/>
    </row>
    <row r="3" spans="1:36" ht="24">
      <c r="A3" s="668" t="s">
        <v>913</v>
      </c>
      <c r="B3" s="1399">
        <f>C18</f>
        <v>3290</v>
      </c>
      <c r="C3" s="713" t="s">
        <v>914</v>
      </c>
      <c r="D3" s="714" t="s">
        <v>253</v>
      </c>
      <c r="E3" s="718" t="s">
        <v>1793</v>
      </c>
      <c r="F3" s="1460" t="s">
        <v>1791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1076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430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2845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>
        <v>930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1.0287999999999999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37845</v>
      </c>
      <c r="I9" s="1518">
        <f>ROUND(SUMPRODUCT((地价!A31:A81=YEAR(H9)&amp;"-"&amp;ROUNDUP(MONTH(H9)/3,0))*(地价!B3:F3=E2)*(地价!B31:F81)),0)</f>
        <v>107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1790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1796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1.1240999999999999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3290</v>
      </c>
      <c r="D18" s="630">
        <f>H1</f>
        <v>61.97</v>
      </c>
      <c r="E18" s="631">
        <f>ROUND(C18*D18,0)</f>
        <v>203881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6580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1076</v>
      </c>
      <c r="D20" s="636">
        <f>H1</f>
        <v>61.97</v>
      </c>
      <c r="E20" s="637">
        <f>ROUND(C20*D20,0)</f>
        <v>66680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2151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430</v>
      </c>
      <c r="D22" s="776" t="s">
        <v>1797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7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1.06E-2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1.2800000000000001E-2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1.2800000000000001E-2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5.8999999999999999E-3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4.8999999999999998E-3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1.1240999999999999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0.12409999999999999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-8.5000000000000006E-3</v>
      </c>
      <c r="J60" s="514">
        <f>SUMPRODUCT(('2002因素修正幅度'!$A$80:$A$87=A60)*('2002因素修正幅度'!$B$35:$K$35=$G$2)*('2002因素修正幅度'!$B$80:$K$87))</f>
        <v>-1.7000000000000001E-2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-1.7000000000000001E-2</v>
      </c>
      <c r="J61" s="514">
        <f>SUMPRODUCT(('2002因素修正幅度'!$A$80:$A$87=A61)*('2002因素修正幅度'!$B$35:$K$35=$G$2)*('2002因素修正幅度'!$B$80:$K$87))</f>
        <v>-3.4000000000000002E-2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1792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-8.5000000000000006E-3</v>
      </c>
      <c r="J62" s="514">
        <f>SUMPRODUCT(('2002因素修正幅度'!$A$80:$A$87=A62)*('2002因素修正幅度'!$B$35:$K$35=$G$2)*('2002因素修正幅度'!$B$80:$K$87))</f>
        <v>-1.7000000000000001E-2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1795</v>
      </c>
      <c r="D63" s="490">
        <f t="shared" si="7"/>
        <v>-8.5000000000000006E-3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-8.5000000000000006E-3</v>
      </c>
      <c r="J63" s="514">
        <f>SUMPRODUCT(('2002因素修正幅度'!$A$80:$A$87=A63)*('2002因素修正幅度'!$B$35:$K$35=$G$2)*('2002因素修正幅度'!$B$80:$K$87))</f>
        <v>-1.7000000000000001E-2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1792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-6.7999999999999996E-3</v>
      </c>
      <c r="J64" s="514">
        <f>SUMPRODUCT(('2002因素修正幅度'!$A$80:$A$87=A64)*('2002因素修正幅度'!$B$35:$K$35=$G$2)*('2002因素修正幅度'!$B$80:$K$87))</f>
        <v>-1.3599999999999999E-2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1798</v>
      </c>
      <c r="D65" s="490">
        <f t="shared" si="7"/>
        <v>3.1199999999999999E-2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-1.0200000000000001E-2</v>
      </c>
      <c r="J65" s="514">
        <f>SUMPRODUCT(('2002因素修正幅度'!$A$80:$A$87=A65)*('2002因素修正幅度'!$B$35:$K$35=$G$2)*('2002因素修正幅度'!$B$80:$K$87))</f>
        <v>-2.0400000000000001E-2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-1.7000000000000001E-2</v>
      </c>
      <c r="J66" s="514">
        <f>SUMPRODUCT(('2002因素修正幅度'!$A$80:$A$87=A66)*('2002因素修正幅度'!$B$35:$K$35=$G$2)*('2002因素修正幅度'!$B$80:$K$87))</f>
        <v>-3.4000000000000002E-2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1792</v>
      </c>
      <c r="D67" s="490">
        <f t="shared" si="7"/>
        <v>1.2999999999999999E-2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-8.5000000000000006E-3</v>
      </c>
      <c r="J67" s="514">
        <f>SUMPRODUCT(('2002因素修正幅度'!$A$80:$A$87=A67)*('2002因素修正幅度'!$B$35:$K$35=$G$2)*('2002因素修正幅度'!$B$80:$K$87))</f>
        <v>-1.7000000000000001E-2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-2.4E-2</v>
      </c>
      <c r="J70" s="514">
        <f>SUMPRODUCT(('2002因素修正幅度'!$A$88:$A$94=A70)*('2002因素修正幅度'!$B$35:$K$35=$G$2)*('2002因素修正幅度'!$B$88:$K$94))</f>
        <v>-4.8000000000000001E-2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-3.8399999999999997E-2</v>
      </c>
      <c r="J71" s="514">
        <f>SUMPRODUCT(('2002因素修正幅度'!$A$88:$A$94=A71)*('2002因素修正幅度'!$B$35:$K$35=$G$2)*('2002因素修正幅度'!$B$88:$K$94))</f>
        <v>-7.6799999999999993E-2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-1.2E-2</v>
      </c>
      <c r="J72" s="514">
        <f>SUMPRODUCT(('2002因素修正幅度'!$A$88:$A$94=A72)*('2002因素修正幅度'!$B$35:$K$35=$G$2)*('2002因素修正幅度'!$B$88:$K$94))</f>
        <v>-2.4E-2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-9.5999999999999992E-3</v>
      </c>
      <c r="J73" s="514">
        <f>SUMPRODUCT(('2002因素修正幅度'!$A$88:$A$94=A73)*('2002因素修正幅度'!$B$35:$K$35=$G$2)*('2002因素修正幅度'!$B$88:$K$94))</f>
        <v>-1.9199999999999998E-2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-1.44E-2</v>
      </c>
      <c r="J74" s="514">
        <f>SUMPRODUCT(('2002因素修正幅度'!$A$88:$A$94=A74)*('2002因素修正幅度'!$B$35:$K$35=$G$2)*('2002因素修正幅度'!$B$88:$K$94))</f>
        <v>-2.8799999999999999E-2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-1.2E-2</v>
      </c>
      <c r="J75" s="514">
        <f>SUMPRODUCT(('2002因素修正幅度'!$A$88:$A$94=A75)*('2002因素修正幅度'!$B$35:$K$35=$G$2)*('2002因素修正幅度'!$B$88:$K$94))</f>
        <v>-2.4E-2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-9.5999999999999992E-3</v>
      </c>
      <c r="J76" s="514">
        <f>SUMPRODUCT(('2002因素修正幅度'!$A$88:$A$94=A76)*('2002因素修正幅度'!$B$35:$K$35=$G$2)*('2002因素修正幅度'!$B$88:$K$94))</f>
        <v>-1.9199999999999998E-2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F7" sqref="F7:G7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四级</v>
      </c>
      <c r="M1" s="566">
        <f>SUMPRODUCT((K3:K12=L1)*(L2:O2=K1)*(L3:O12))</f>
        <v>2845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四类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61.97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0.93240000000000001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4.0050000000000002E-2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52.5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61.97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61.97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5">
        <f>主表!B4</f>
        <v>37845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四级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2003-8-1</v>
      </c>
      <c r="D56" s="1534">
        <f>EDATE(C56,-3)</f>
        <v>37742</v>
      </c>
      <c r="E56" s="1534">
        <f t="shared" ref="E56:O56" si="15">EDATE(D56,-3)</f>
        <v>37653</v>
      </c>
      <c r="F56" s="1534">
        <f t="shared" si="15"/>
        <v>37561</v>
      </c>
      <c r="G56" s="1534">
        <f t="shared" si="15"/>
        <v>37469</v>
      </c>
      <c r="H56" s="1534">
        <f t="shared" si="15"/>
        <v>37377</v>
      </c>
      <c r="I56" s="1534">
        <f t="shared" si="15"/>
        <v>37288</v>
      </c>
      <c r="J56" s="1534">
        <f t="shared" si="15"/>
        <v>37196</v>
      </c>
      <c r="K56" s="1534">
        <f t="shared" si="15"/>
        <v>37104</v>
      </c>
      <c r="L56" s="1534">
        <f t="shared" si="15"/>
        <v>37012</v>
      </c>
      <c r="M56" s="1534">
        <f t="shared" si="15"/>
        <v>36923</v>
      </c>
      <c r="N56" s="1534">
        <f t="shared" si="15"/>
        <v>36831</v>
      </c>
      <c r="O56" s="1534">
        <f t="shared" si="15"/>
        <v>36739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2003-3</v>
      </c>
      <c r="D58" s="1533" t="str">
        <f t="shared" ref="D58:O58" si="16">YEAR(D56)&amp;"-"&amp;ROUNDUP(MONTH(D56)/3,0)</f>
        <v>2003-2</v>
      </c>
      <c r="E58" s="1533" t="str">
        <f t="shared" si="16"/>
        <v>2003-1</v>
      </c>
      <c r="F58" s="1533" t="str">
        <f t="shared" si="16"/>
        <v>2002-4</v>
      </c>
      <c r="G58" s="1533" t="str">
        <f t="shared" si="16"/>
        <v>2002-3</v>
      </c>
      <c r="H58" s="1533" t="str">
        <f t="shared" si="16"/>
        <v>2002-2</v>
      </c>
      <c r="I58" s="1533" t="str">
        <f t="shared" si="16"/>
        <v>2002-1</v>
      </c>
      <c r="J58" s="1533" t="str">
        <f t="shared" si="16"/>
        <v>2001-4</v>
      </c>
      <c r="K58" s="1533" t="str">
        <f t="shared" si="16"/>
        <v>2001-3</v>
      </c>
      <c r="L58" s="1533" t="str">
        <f t="shared" si="16"/>
        <v>2001-2</v>
      </c>
      <c r="M58" s="1533" t="str">
        <f t="shared" si="16"/>
        <v>2001-1</v>
      </c>
      <c r="N58" s="1533" t="str">
        <f t="shared" si="16"/>
        <v>2000-4</v>
      </c>
      <c r="O58" s="1533" t="str">
        <f t="shared" si="16"/>
        <v>2000-3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37845</v>
      </c>
      <c r="D1" s="970" t="str">
        <f>主表!A23</f>
        <v>建设期</v>
      </c>
      <c r="E1" s="1010">
        <f>主表!B23</f>
        <v>1.5</v>
      </c>
      <c r="F1" s="970" t="s">
        <v>1507</v>
      </c>
      <c r="G1" s="971">
        <f ca="1">INDIRECT("d"&amp;$K$1)/100</f>
        <v>5.4900000000000004E-2</v>
      </c>
      <c r="H1" s="970" t="s">
        <v>1508</v>
      </c>
      <c r="I1" s="971">
        <f>SUMIF(F4:F8,E1,G4:G8)/100</f>
        <v>0</v>
      </c>
      <c r="J1" s="1139">
        <f>IF(C1&gt;C14,0,MATCH(C1,C$14:C$59,-1))+IF(SUMIF(C14:C59,C1,D14:D59)=0,14,13)</f>
        <v>43</v>
      </c>
      <c r="K1" s="1139">
        <f>MATCH(E1,C4:C8,1)+IF(SUMIF(C4:C8,E1,D4:D8)=0,3,2)</f>
        <v>6</v>
      </c>
      <c r="L1" s="1139">
        <f>IF(C1&gt;M14,0,MATCH(C1,M$14:M$52,-1))+IF(SUMIF(M14:M52,C1,N14:N52)=0,14,13)</f>
        <v>40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37845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43</v>
      </c>
      <c r="K2" s="1139">
        <f ca="1">MATCH(E2,C4:C8,1)+IF(SUMIF(C4:C8,E2,D4:D8)=0,3,2)</f>
        <v>3</v>
      </c>
      <c r="L2" s="1139">
        <f>IF(C2&gt;M14,0,MATCH(C2,M$14:M$52,-1))+IF(SUMIF(M14:M52,C2,N14:N52)=0,14,13)</f>
        <v>40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5.4900000000000004E-2</v>
      </c>
      <c r="H3" s="1021" t="s">
        <v>1508</v>
      </c>
      <c r="I3" s="1022">
        <f ca="1">SUMIF(F4:F8,E3,H4:H8)/100</f>
        <v>2.52E-2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5.04</v>
      </c>
      <c r="E4" s="1006">
        <f ca="1">INDIRECT("d"&amp;$J$2)</f>
        <v>5.04</v>
      </c>
      <c r="F4" s="1007">
        <v>0.5</v>
      </c>
      <c r="G4" s="1008">
        <f ca="1">INDIRECT("p"&amp;$L$1)</f>
        <v>1.89</v>
      </c>
      <c r="H4" s="1008">
        <f ca="1">INDIRECT("p"&amp;$L$2)</f>
        <v>1.89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1.98</v>
      </c>
      <c r="H5" s="1009">
        <f ca="1">INDIRECT("q"&amp;$L$2)</f>
        <v>1.98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5.49</v>
      </c>
      <c r="E6" s="978">
        <f ca="1">INDIRECT("f"&amp;$J$2)</f>
        <v>5.49</v>
      </c>
      <c r="F6" s="977">
        <v>2</v>
      </c>
      <c r="G6" s="1009">
        <f ca="1">INDIRECT("r"&amp;$L$1)</f>
        <v>2.25</v>
      </c>
      <c r="H6" s="1009">
        <f ca="1">INDIRECT("r"&amp;$L$2)</f>
        <v>2.25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5.58</v>
      </c>
      <c r="E7" s="978">
        <f ca="1">INDIRECT("g"&amp;$J$2)</f>
        <v>5.58</v>
      </c>
      <c r="F7" s="977">
        <v>3</v>
      </c>
      <c r="G7" s="1009">
        <f ca="1">INDIRECT("s"&amp;$L$1)</f>
        <v>2.52</v>
      </c>
      <c r="H7" s="1009">
        <f ca="1">INDIRECT("s"&amp;$L$2)</f>
        <v>2.52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5.76</v>
      </c>
      <c r="E8" s="978">
        <f ca="1">INDIRECT("h"&amp;$J$2)</f>
        <v>5.76</v>
      </c>
      <c r="F8" s="977">
        <v>5</v>
      </c>
      <c r="G8" s="1009">
        <f ca="1">INDIRECT("t"&amp;$L$1)</f>
        <v>2.79</v>
      </c>
      <c r="H8" s="1009">
        <f ca="1">INDIRECT("t"&amp;$L$2)</f>
        <v>2.79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7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7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7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7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7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7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7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8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6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7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7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8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6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7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7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8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6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7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7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8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6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7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7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8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6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7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7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8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6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7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7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8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6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7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7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8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6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7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7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8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6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7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7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8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6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7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7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8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6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7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7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8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6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7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7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8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6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7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7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8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41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7</v>
      </c>
      <c r="N1" s="1410" t="s">
        <v>1633</v>
      </c>
      <c r="O1" s="1424" t="str">
        <f>'2002基准地价'!C25</f>
        <v>2003-3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1.06E-2</v>
      </c>
      <c r="M2" s="28">
        <f>ROUND(SUMIF($A$17:$A$67,$O$1,M17:M67),4)</f>
        <v>1.2800000000000001E-2</v>
      </c>
      <c r="N2" s="28">
        <f>ROUND(SUMIF($A$17:$A$67,$O$1,N17:N67),4)</f>
        <v>1.2800000000000001E-2</v>
      </c>
      <c r="O2" s="28">
        <f>ROUND(SUMIF($A$17:$A$67,$O$1,O17:O67),4)</f>
        <v>5.8999999999999999E-3</v>
      </c>
      <c r="P2" s="28">
        <f>ROUND(SUMIF($A$17:$A$67,$O$1,P17:P67),4)</f>
        <v>4.8999999999999998E-3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56.2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61.97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37845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61.97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5"/>
      <c r="I2" s="1744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74" t="s">
        <v>1356</v>
      </c>
      <c r="E4" s="1766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75" t="s">
        <v>1360</v>
      </c>
      <c r="B5" s="1760">
        <f>主表!F5</f>
        <v>2214</v>
      </c>
      <c r="C5" s="1776" t="s">
        <v>1361</v>
      </c>
      <c r="D5" s="1766" t="s">
        <v>1362</v>
      </c>
      <c r="E5" s="1767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75"/>
      <c r="B6" s="1760"/>
      <c r="C6" s="1776"/>
      <c r="D6" s="177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75"/>
      <c r="B7" s="1760"/>
      <c r="C7" s="1776"/>
      <c r="D7" s="177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6" t="s">
        <v>1367</v>
      </c>
      <c r="E11" s="1767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6" t="s">
        <v>1369</v>
      </c>
      <c r="E12" s="1767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房屋建设期为1.5年，贷款利率为5.49%，计息期为1.5年，复利计息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2214</v>
      </c>
      <c r="C14" s="1300" t="s">
        <v>1372</v>
      </c>
      <c r="D14" s="1766" t="s">
        <v>1371</v>
      </c>
      <c r="E14" s="1767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0">
        <f ca="1">主表!F24</f>
        <v>2214</v>
      </c>
      <c r="C15" s="1761"/>
      <c r="D15" s="1762" t="s">
        <v>1374</v>
      </c>
      <c r="E15" s="1763"/>
      <c r="F15" s="1763"/>
      <c r="G15" s="1764"/>
      <c r="H15" s="1745"/>
      <c r="I15" s="1744"/>
      <c r="X15" s="221"/>
      <c r="AG15" s="189"/>
    </row>
    <row r="16" spans="1:33" ht="27.75" thickBot="1">
      <c r="A16" s="1293" t="s">
        <v>1375</v>
      </c>
      <c r="B16" s="1760">
        <f ca="1">主表!F25</f>
        <v>13.7202</v>
      </c>
      <c r="C16" s="1761"/>
      <c r="D16" s="1762" t="s">
        <v>1376</v>
      </c>
      <c r="E16" s="1763"/>
      <c r="F16" s="1763"/>
      <c r="G16" s="1764"/>
      <c r="H16" s="1302" t="str">
        <f ca="1">NUMBERSTRING(INT(B16*10000),2)&amp;"元整"</f>
        <v>壹拾叁万柒仟贰佰零贰元整</v>
      </c>
      <c r="I16" s="1303"/>
      <c r="X16" s="221"/>
      <c r="AG16" s="189"/>
    </row>
    <row r="17" spans="1:33" ht="13.5">
      <c r="A17" s="1293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5"/>
      <c r="I17" s="1744"/>
      <c r="X17" s="221"/>
      <c r="AG17" s="189"/>
    </row>
    <row r="18" spans="1:33" ht="27.75" thickBot="1">
      <c r="A18" s="1293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5"/>
      <c r="I18" s="1744"/>
      <c r="X18" s="221"/>
      <c r="AG18" s="189"/>
    </row>
    <row r="19" spans="1:33" ht="27.75" thickBot="1">
      <c r="A19" s="1301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5" sqref="B25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37845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16</v>
      </c>
    </row>
    <row r="4" spans="1:18" ht="15.75" customHeight="1">
      <c r="A4" s="1192" t="s">
        <v>1776</v>
      </c>
      <c r="B4" s="1566">
        <f>B3</f>
        <v>37845</v>
      </c>
      <c r="C4" s="1165"/>
      <c r="D4" s="1172" t="s">
        <v>1276</v>
      </c>
      <c r="E4" s="1173" t="s">
        <v>1569</v>
      </c>
      <c r="F4" s="1174">
        <f ca="1">F5+F8+F9+F10</f>
        <v>2214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2214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3290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61.97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1076</v>
      </c>
      <c r="G7" s="1189"/>
      <c r="H7" s="1346" t="s">
        <v>1794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251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/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52.5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0.93200000000000005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5.4900000000000004E-2</v>
      </c>
      <c r="H21" s="1196" t="str">
        <f>"计息期为"&amp;B23&amp;"年，"&amp;"复利计息"</f>
        <v>计息期为1.5年，复利计息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1987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1.5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2214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13.7202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0.73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61.97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四级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41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37845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0.97070000000000001</v>
      </c>
      <c r="D20" s="1468" t="s">
        <v>935</v>
      </c>
      <c r="E20" s="1469">
        <f ca="1">INDIRECT("'存贷款利率'!e"&amp;存贷款利率!$K$4)/100</f>
        <v>5.3099999999999994E-2</v>
      </c>
      <c r="F20" s="1466" t="s">
        <v>936</v>
      </c>
      <c r="G20" s="1470">
        <f ca="1">SUMIF(P18:S18,E2,P20:S20)</f>
        <v>6.0999999999999999E-2</v>
      </c>
      <c r="H20" s="1471" t="s">
        <v>1634</v>
      </c>
      <c r="I20" s="1024">
        <f>IF(H20="剩余土地使用年限",主表!B15,主表!B16)</f>
        <v>52.5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四级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2021-05-08T07:14:33Z</dcterms:modified>
</cp:coreProperties>
</file>