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清单" sheetId="81" r:id="rId47"/>
    <sheet name="租约" sheetId="82"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35" i="82"/>
  <c r="G34" i="82"/>
  <c r="G33" i="82"/>
  <c r="G32" i="82"/>
  <c r="G31" i="82"/>
  <c r="G30" i="82"/>
  <c r="J29" i="82"/>
  <c r="G29" i="82"/>
  <c r="J28" i="82"/>
  <c r="J30" i="82" s="1"/>
  <c r="G28" i="82"/>
  <c r="G27" i="82"/>
  <c r="J26" i="82"/>
  <c r="G26" i="82"/>
  <c r="J25" i="82"/>
  <c r="J27" i="82" s="1"/>
  <c r="G25" i="82"/>
  <c r="G24" i="82"/>
  <c r="G23" i="82"/>
  <c r="G22" i="82"/>
  <c r="G21" i="82"/>
  <c r="G20" i="82"/>
  <c r="G19" i="82"/>
  <c r="G18" i="82"/>
  <c r="G17" i="82"/>
  <c r="G16" i="82"/>
  <c r="G15" i="82"/>
  <c r="G14" i="82"/>
  <c r="G13" i="82"/>
  <c r="G12" i="82"/>
  <c r="G11" i="82"/>
  <c r="G10" i="82"/>
  <c r="G9" i="82"/>
  <c r="G8" i="82"/>
  <c r="G7" i="82"/>
  <c r="G6" i="82"/>
  <c r="G5" i="82"/>
  <c r="E4" i="82"/>
  <c r="G4" i="82" s="1"/>
  <c r="D4" i="82"/>
  <c r="D35" i="82" s="1"/>
  <c r="G3" i="82"/>
  <c r="G56" i="81"/>
  <c r="G55" i="81"/>
  <c r="G54" i="81"/>
  <c r="G53" i="81"/>
  <c r="G52" i="81"/>
  <c r="G51" i="81"/>
  <c r="G50" i="81"/>
  <c r="G49" i="81"/>
  <c r="G48" i="81"/>
  <c r="K35" i="81"/>
  <c r="K38" i="81" s="1"/>
  <c r="E33" i="81"/>
  <c r="E22" i="81"/>
  <c r="E35" i="81" s="1"/>
  <c r="K10" i="81"/>
  <c r="M10" i="81" s="1"/>
  <c r="M9" i="81"/>
  <c r="M11" i="81" s="1"/>
  <c r="K9" i="81"/>
  <c r="K11" i="81" s="1"/>
  <c r="K5" i="81"/>
  <c r="M5" i="81" s="1"/>
  <c r="K4" i="81"/>
  <c r="M4" i="81" s="1"/>
  <c r="M6" i="81" s="1"/>
  <c r="E36" i="33"/>
  <c r="N6" i="1"/>
  <c r="C36" i="33"/>
  <c r="I7" i="33"/>
  <c r="G7" i="33"/>
  <c r="E7" i="33"/>
  <c r="Y6" i="1"/>
  <c r="N21" i="1"/>
  <c r="N19" i="1"/>
  <c r="G19" i="6"/>
  <c r="F19" i="6"/>
  <c r="M15" i="3"/>
  <c r="M13" i="3"/>
  <c r="K14" i="3"/>
  <c r="I15" i="3"/>
  <c r="I14" i="3"/>
  <c r="I13" i="3"/>
  <c r="G35" i="82" l="1"/>
  <c r="L11" i="81"/>
  <c r="L37" i="81"/>
  <c r="M37" i="81" s="1"/>
  <c r="O37" i="81" s="1"/>
  <c r="L36" i="81"/>
  <c r="M36" i="81" s="1"/>
  <c r="O36" i="81" s="1"/>
  <c r="L34" i="81"/>
  <c r="M34" i="81" s="1"/>
  <c r="K6" i="81"/>
  <c r="L6" i="81" s="1"/>
  <c r="L35" i="81"/>
  <c r="M35" i="81" s="1"/>
  <c r="O35" i="81" s="1"/>
  <c r="M38" i="81" l="1"/>
  <c r="O34" i="81"/>
  <c r="O38" i="81" s="1"/>
  <c r="N38" i="8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D79" i="33"/>
  <c r="E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U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s="1"/>
  <c r="H23" i="33"/>
  <c r="AB23"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AC32" i="33"/>
  <c r="W32" i="33"/>
  <c r="U27" i="33"/>
  <c r="AB27" i="33"/>
  <c r="G91" i="33"/>
  <c r="H91" i="33"/>
  <c r="I91" i="33"/>
  <c r="J91" i="33"/>
  <c r="K91" i="33"/>
  <c r="L91" i="33"/>
  <c r="M91" i="33"/>
  <c r="J27" i="33"/>
  <c r="U25" i="33"/>
  <c r="AB25" i="33"/>
  <c r="S25" i="33"/>
  <c r="AA25" i="33"/>
  <c r="G87" i="33"/>
  <c r="H87" i="33"/>
  <c r="I87" i="33"/>
  <c r="J87" i="33"/>
  <c r="K87" i="33"/>
  <c r="L87" i="33"/>
  <c r="M87" i="33"/>
  <c r="J25" i="33"/>
  <c r="F23" i="33"/>
  <c r="AA23"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J15" i="15"/>
  <c r="F40" i="67"/>
  <c r="D3" i="73"/>
  <c r="F7" i="15"/>
  <c r="M28" i="67"/>
  <c r="F7" i="73"/>
  <c r="E7" i="76"/>
  <c r="F26" i="15"/>
  <c r="M26" i="67"/>
  <c r="B12" i="76"/>
  <c r="F8" i="67"/>
  <c r="E10" i="76"/>
  <c r="AO13" i="1"/>
  <c r="D7" i="73"/>
  <c r="M6" i="67"/>
  <c r="F3" i="73"/>
  <c r="B9" i="76"/>
  <c r="D34" i="9"/>
  <c r="M23" i="15"/>
  <c r="M9" i="15"/>
  <c r="C76" i="67"/>
  <c r="F13" i="15"/>
  <c r="M24" i="67"/>
  <c r="F43" i="15"/>
  <c r="M23" i="67"/>
  <c r="E2" i="69"/>
  <c r="F8" i="15"/>
  <c r="F38" i="15"/>
  <c r="J15" i="67"/>
  <c r="F38" i="67"/>
  <c r="B7" i="76"/>
  <c r="M9" i="67"/>
  <c r="E2" i="68"/>
  <c r="L47" i="67"/>
  <c r="L48" i="67"/>
  <c r="F7" i="67"/>
  <c r="B10" i="76"/>
  <c r="M24" i="15"/>
  <c r="F37" i="15"/>
  <c r="F13" i="67"/>
  <c r="D35" i="9"/>
  <c r="M26" i="15"/>
  <c r="F42" i="67"/>
  <c r="E13" i="76"/>
  <c r="F40" i="15"/>
  <c r="M8" i="15"/>
  <c r="M29" i="15"/>
  <c r="L47" i="15"/>
  <c r="F36" i="15"/>
  <c r="F42" i="15"/>
  <c r="F20" i="31"/>
  <c r="E9" i="76"/>
  <c r="D4" i="73"/>
  <c r="F5" i="73"/>
  <c r="F6" i="73"/>
  <c r="L48" i="15"/>
  <c r="F16" i="15"/>
  <c r="D6" i="73"/>
  <c r="F4" i="73"/>
  <c r="F9" i="15"/>
  <c r="B13" i="76"/>
  <c r="M6" i="15"/>
  <c r="F6" i="15"/>
  <c r="M8" i="67"/>
  <c r="E12" i="76"/>
  <c r="C76" i="15"/>
  <c r="M29" i="67"/>
  <c r="F9" i="67"/>
  <c r="E11" i="76"/>
  <c r="F43" i="67"/>
  <c r="F6" i="67"/>
  <c r="F36" i="67"/>
  <c r="F16" i="67"/>
  <c r="B8" i="76"/>
  <c r="F26" i="67"/>
  <c r="B11" i="76"/>
  <c r="M22" i="15"/>
  <c r="H19" i="33" l="1"/>
  <c r="AB19" i="33" s="1"/>
  <c r="J19" i="33"/>
  <c r="AC19" i="33" s="1"/>
  <c r="F81" i="33"/>
  <c r="G81" i="33" s="1"/>
  <c r="F19" i="33"/>
  <c r="S19" i="33" s="1"/>
  <c r="J17" i="33"/>
  <c r="AC17" i="33" s="1"/>
  <c r="F79" i="33"/>
  <c r="G79" i="33" s="1"/>
  <c r="F17" i="33"/>
  <c r="S17" i="33" s="1"/>
  <c r="H17" i="33"/>
  <c r="U17" i="33" s="1"/>
  <c r="AB21" i="33"/>
  <c r="S28" i="33"/>
  <c r="AC28" i="33"/>
  <c r="W44" i="33"/>
  <c r="F111" i="33"/>
  <c r="J36" i="33"/>
  <c r="W36" i="33" s="1"/>
  <c r="H36" i="33"/>
  <c r="U36" i="33" s="1"/>
  <c r="S23" i="33"/>
  <c r="W23" i="33"/>
  <c r="U23" i="33"/>
  <c r="AA21" i="33"/>
  <c r="AA19" i="33"/>
  <c r="W19" i="33"/>
  <c r="S15" i="33"/>
  <c r="AB15" i="33"/>
  <c r="W8" i="33"/>
  <c r="C40" i="69"/>
  <c r="C21" i="68"/>
  <c r="G28" i="6"/>
  <c r="BA5" i="3"/>
  <c r="G5" i="3"/>
  <c r="B3" i="3" s="1"/>
  <c r="E253"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8" i="3"/>
  <c r="E424" i="3"/>
  <c r="AE6" i="3"/>
  <c r="E496" i="3"/>
  <c r="E146" i="3"/>
  <c r="E171" i="3"/>
  <c r="E214" i="3"/>
  <c r="E362" i="3"/>
  <c r="E74" i="3"/>
  <c r="E227" i="3"/>
  <c r="E89" i="3"/>
  <c r="E204" i="3"/>
  <c r="E327" i="3"/>
  <c r="AO6" i="3"/>
  <c r="E485" i="3"/>
  <c r="E400" i="3"/>
  <c r="E557" i="3"/>
  <c r="E531" i="3"/>
  <c r="E489" i="3"/>
  <c r="E70" i="3"/>
  <c r="E182" i="3"/>
  <c r="E211" i="3"/>
  <c r="E377" i="3"/>
  <c r="E572" i="3"/>
  <c r="E109"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AB17" i="33" l="1"/>
  <c r="U19" i="33"/>
  <c r="AA17" i="33"/>
  <c r="W17" i="33"/>
  <c r="AB36" i="33"/>
  <c r="AC36" i="33"/>
  <c r="F36" i="33"/>
  <c r="G111" i="33"/>
  <c r="H111" i="33" s="1"/>
  <c r="I111" i="33" s="1"/>
  <c r="J111" i="33" s="1"/>
  <c r="K111" i="33" s="1"/>
  <c r="L111" i="33" s="1"/>
  <c r="M111" i="33" s="1"/>
  <c r="P6" i="1"/>
  <c r="C13" i="12" s="1"/>
  <c r="K16" i="1"/>
  <c r="E273" i="3"/>
  <c r="E28" i="3"/>
  <c r="E345" i="3"/>
  <c r="Z6" i="3"/>
  <c r="E368" i="3"/>
  <c r="E315" i="3"/>
  <c r="E106" i="3"/>
  <c r="E330"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68" i="3"/>
  <c r="E587" i="3"/>
  <c r="E481" i="3"/>
  <c r="E177" i="3"/>
  <c r="E434"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29" i="3"/>
  <c r="E344" i="3"/>
  <c r="E437" i="3"/>
  <c r="E120" i="3"/>
  <c r="E238"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54" i="3"/>
  <c r="E577" i="3"/>
  <c r="E465" i="3"/>
  <c r="Q6" i="3"/>
  <c r="H6" i="3" s="1"/>
  <c r="E262" i="3"/>
  <c r="E156" i="3"/>
  <c r="E475" i="3"/>
  <c r="E471" i="3"/>
  <c r="E537" i="3"/>
  <c r="W6" i="3"/>
  <c r="E288" i="3"/>
  <c r="E438" i="3"/>
  <c r="E474" i="3"/>
  <c r="E529" i="3"/>
  <c r="E532" i="3"/>
  <c r="E313" i="3"/>
  <c r="E224" i="3"/>
  <c r="E157" i="3"/>
  <c r="E306" i="3"/>
  <c r="E352" i="3"/>
  <c r="E136" i="3"/>
  <c r="E461" i="3"/>
  <c r="E122" i="3"/>
  <c r="E406" i="3"/>
  <c r="E472" i="3"/>
  <c r="E560" i="3"/>
  <c r="K6" i="3"/>
  <c r="E133" i="3"/>
  <c r="E277" i="3"/>
  <c r="E228" i="3"/>
  <c r="AK6" i="3"/>
  <c r="E545" i="3"/>
  <c r="E181" i="3"/>
  <c r="E568" i="3"/>
  <c r="E77" i="3"/>
  <c r="E433" i="3"/>
  <c r="E450" i="3"/>
  <c r="E571" i="3"/>
  <c r="E562" i="3"/>
  <c r="E457" i="3"/>
  <c r="E527" i="3"/>
  <c r="E458" i="3"/>
  <c r="E573" i="3"/>
  <c r="E519" i="3"/>
  <c r="E193" i="3"/>
  <c r="E45" i="3"/>
  <c r="E99" i="3"/>
  <c r="E511" i="3"/>
  <c r="E314" i="3"/>
  <c r="E85" i="3"/>
  <c r="E453"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49" i="3"/>
  <c r="E167" i="3"/>
  <c r="E141" i="3"/>
  <c r="E312" i="3"/>
  <c r="AD6" i="3"/>
  <c r="E542" i="3"/>
  <c r="E552" i="3"/>
  <c r="E421" i="3"/>
  <c r="E487" i="3"/>
  <c r="E398" i="3"/>
  <c r="E244"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199" i="3"/>
  <c r="R6" i="3"/>
  <c r="E541"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416" i="3"/>
  <c r="E39" i="3"/>
  <c r="E240" i="3"/>
  <c r="E110" i="3"/>
  <c r="E98" i="3"/>
  <c r="E209" i="3"/>
  <c r="E66" i="3"/>
  <c r="Y6" i="3"/>
  <c r="E179" i="3"/>
  <c r="E536" i="3"/>
  <c r="E286" i="3"/>
  <c r="E502"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575" i="3"/>
  <c r="E374" i="3"/>
  <c r="E500" i="3"/>
  <c r="E520" i="3"/>
  <c r="E187" i="3"/>
  <c r="E378" i="3"/>
  <c r="E446" i="3"/>
  <c r="E138" i="3"/>
  <c r="E307" i="3"/>
  <c r="E127" i="3"/>
  <c r="E19" i="3"/>
  <c r="E82" i="3"/>
  <c r="E148" i="3"/>
  <c r="E504" i="3"/>
  <c r="E48" i="3"/>
  <c r="E212" i="3"/>
  <c r="E499" i="3"/>
  <c r="E466"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442" i="3"/>
  <c r="E413" i="3"/>
  <c r="E57" i="3"/>
  <c r="E259" i="3"/>
  <c r="E462" i="3"/>
  <c r="E163" i="3"/>
  <c r="E354" i="3"/>
  <c r="E284" i="3"/>
  <c r="E32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A36" i="33" l="1"/>
  <c r="S36" i="33"/>
  <c r="E65" i="39"/>
  <c r="L37" i="43"/>
  <c r="P36" i="43"/>
  <c r="N36" i="43"/>
  <c r="Q36" i="43"/>
  <c r="O36" i="43"/>
  <c r="M36" i="4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6"/>
  <c r="D2" i="34"/>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11" i="1"/>
  <c r="AO9" i="1"/>
  <c r="AO7" i="1"/>
  <c r="AO8" i="1"/>
  <c r="AO12"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H112" i="9"/>
  <c r="C8" i="74" s="1"/>
  <c r="D126" i="9" l="1"/>
  <c r="D127" i="9" s="1"/>
  <c r="D13" i="52" s="1"/>
  <c r="D20" i="53"/>
  <c r="B40" i="72" s="1"/>
  <c r="B38" i="72"/>
  <c r="D21" i="53"/>
  <c r="B39" i="72" s="1"/>
  <c r="D12" i="52"/>
  <c r="F118" i="9"/>
  <c r="G118" i="9" s="1"/>
  <c r="G4" i="52" s="1"/>
  <c r="B52" i="72" s="1"/>
  <c r="D118" i="9"/>
  <c r="D4" i="52" s="1"/>
  <c r="B47" i="72" s="1"/>
  <c r="H118" i="9"/>
  <c r="H119" i="9" l="1"/>
  <c r="H5" i="52" s="1"/>
  <c r="D14" i="74"/>
  <c r="G14" i="74" s="1"/>
  <c r="B6" i="74" s="1"/>
  <c r="D6" i="74" s="1"/>
  <c r="F119" i="9"/>
  <c r="F5" i="52" s="1"/>
  <c r="B53" i="72" s="1"/>
  <c r="D119" i="9"/>
  <c r="D5" i="52" s="1"/>
  <c r="B49" i="72" s="1"/>
  <c r="F4" i="52"/>
  <c r="B51" i="72" s="1"/>
  <c r="H101" i="9"/>
  <c r="D45" i="9" s="1"/>
  <c r="C85" i="9" s="1"/>
  <c r="H4" i="52"/>
  <c r="C104" i="9"/>
  <c r="I118" i="9"/>
  <c r="E14" i="74" l="1"/>
  <c r="B5" i="74"/>
  <c r="D5" i="74" s="1"/>
  <c r="F14" i="74"/>
  <c r="H107" i="9"/>
  <c r="M49" i="9" s="1"/>
  <c r="D55" i="9"/>
  <c r="M53" i="9" s="1"/>
  <c r="M48" i="9"/>
  <c r="D52" i="9"/>
  <c r="C72" i="9"/>
  <c r="D5" i="53"/>
  <c r="D6" i="53" s="1"/>
  <c r="B22" i="72" s="1"/>
  <c r="C64" i="9"/>
  <c r="C63" i="9" s="1"/>
  <c r="C67" i="9" s="1"/>
  <c r="D59" i="9" s="1"/>
  <c r="M55" i="9" s="1"/>
  <c r="C93" i="9"/>
  <c r="C86" i="9" s="1"/>
  <c r="C95" i="9" s="1"/>
  <c r="D53" i="9"/>
  <c r="C78" i="9"/>
  <c r="C73" i="9" s="1"/>
  <c r="C79" i="9" s="1"/>
  <c r="H102" i="9"/>
  <c r="E118" i="9"/>
  <c r="E4" i="52" s="1"/>
  <c r="B48" i="72" s="1"/>
  <c r="C105" i="9"/>
  <c r="I4" i="52"/>
  <c r="H108" i="9" l="1"/>
  <c r="C6" i="74" s="1"/>
  <c r="D13" i="53"/>
  <c r="B30" i="72" s="1"/>
  <c r="D122" i="9"/>
  <c r="D8" i="52" s="1"/>
  <c r="B20" i="72"/>
  <c r="C68" i="9"/>
  <c r="D54" i="9" s="1"/>
  <c r="C80" i="9"/>
  <c r="E80" i="9" s="1"/>
  <c r="E81" i="9" s="1"/>
  <c r="D7" i="53"/>
  <c r="B21" i="72" s="1"/>
  <c r="C5" i="74"/>
  <c r="L68" i="9"/>
  <c r="M68" i="9" s="1"/>
  <c r="L67" i="9"/>
  <c r="M67" i="9" s="1"/>
  <c r="L63" i="9"/>
  <c r="M63" i="9" s="1"/>
  <c r="L65" i="9"/>
  <c r="M65" i="9" s="1"/>
  <c r="L64" i="9"/>
  <c r="M64" i="9" s="1"/>
  <c r="L66" i="9"/>
  <c r="M66" i="9" s="1"/>
  <c r="C96" i="9"/>
  <c r="E96" i="9" s="1"/>
  <c r="E97" i="9" s="1"/>
  <c r="D14" i="53" l="1"/>
  <c r="B32" i="72" s="1"/>
  <c r="D15" i="53"/>
  <c r="B31" i="72" s="1"/>
  <c r="D123" i="9"/>
  <c r="D9" i="52" s="1"/>
  <c r="C81" i="9"/>
  <c r="C97" i="9"/>
  <c r="D58" i="9" s="1"/>
  <c r="D56" i="9" s="1"/>
  <c r="M54" i="9" s="1"/>
  <c r="N57" i="9" s="1"/>
  <c r="N59" i="9" s="1"/>
  <c r="N60" i="9" s="1"/>
  <c r="M69" i="9"/>
  <c r="N69"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D3" authorId="0">
      <text>
        <r>
          <rPr>
            <b/>
            <sz val="9"/>
            <color indexed="81"/>
            <rFont val="宋体"/>
            <family val="3"/>
            <charset val="134"/>
          </rPr>
          <t>作者:</t>
        </r>
        <r>
          <rPr>
            <sz val="9"/>
            <color indexed="81"/>
            <rFont val="宋体"/>
            <family val="3"/>
            <charset val="134"/>
          </rPr>
          <t xml:space="preserve">
建筑面积</t>
        </r>
      </text>
    </comment>
    <comment ref="C14" authorId="0">
      <text>
        <r>
          <rPr>
            <b/>
            <sz val="22"/>
            <color indexed="81"/>
            <rFont val="宋体"/>
            <family val="3"/>
            <charset val="134"/>
          </rPr>
          <t>作者:</t>
        </r>
        <r>
          <rPr>
            <sz val="22"/>
            <color indexed="81"/>
            <rFont val="宋体"/>
            <family val="3"/>
            <charset val="134"/>
          </rPr>
          <t xml:space="preserve">
北京福合埕餐饮管理有限公司餐饮二分店</t>
        </r>
      </text>
    </comment>
    <comment ref="C20" authorId="0">
      <text>
        <r>
          <rPr>
            <b/>
            <sz val="22"/>
            <color indexed="81"/>
            <rFont val="宋体"/>
            <family val="3"/>
            <charset val="134"/>
          </rPr>
          <t>原静凝</t>
        </r>
      </text>
    </comment>
    <comment ref="C30" authorId="0">
      <text>
        <r>
          <rPr>
            <sz val="16"/>
            <color indexed="81"/>
            <rFont val="宋体"/>
            <family val="3"/>
            <charset val="134"/>
          </rPr>
          <t>原：纳缇维国际葡萄酒业有限公司</t>
        </r>
      </text>
    </comment>
    <comment ref="C31" authorId="0">
      <text>
        <r>
          <rPr>
            <sz val="16"/>
            <color indexed="81"/>
            <rFont val="宋体"/>
            <family val="3"/>
            <charset val="134"/>
          </rPr>
          <t>毕玺（北京）文化传媒有限公司</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<sst xmlns="http://schemas.openxmlformats.org/spreadsheetml/2006/main" count="8134" uniqueCount="3602">
  <si>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</si>
  <si>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</si>
  <si>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</si>
  <si>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</si>
  <si>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</si>
  <si>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</si>
  <si>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</si>
  <si>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</si>
  <si>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</si>
  <si>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</si>
  <si>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</si>
  <si>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</si>
  <si>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</si>
  <si>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</si>
  <si>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</si>
  <si>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</si>
  <si>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</si>
  <si>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</si>
  <si>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</si>
  <si>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</si>
  <si>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</si>
  <si>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</si>
  <si>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</si>
  <si>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</si>
  <si>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</si>
  <si>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</si>
  <si>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</si>
  <si>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</si>
  <si>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</si>
  <si>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</si>
  <si>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</si>
  <si>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</si>
  <si>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</si>
  <si>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</si>
  <si>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</si>
  <si>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</si>
  <si>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</si>
  <si>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</si>
  <si>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</si>
  <si>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</si>
  <si>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</si>
  <si>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</si>
  <si>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</si>
  <si>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</si>
  <si>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</si>
  <si>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</si>
  <si>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</si>
  <si>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</si>
  <si>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</si>
  <si>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</si>
  <si>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</si>
  <si>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</si>
  <si>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</si>
  <si>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</si>
  <si>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</si>
  <si>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</si>
  <si>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</si>
  <si>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</si>
  <si>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</si>
  <si>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</si>
  <si>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</si>
  <si>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</si>
  <si>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</si>
  <si>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</si>
  <si>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</si>
  <si>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</si>
  <si>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</si>
  <si>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</si>
  <si>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</si>
  <si>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</si>
  <si>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</si>
  <si>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</si>
  <si>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</si>
  <si>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</si>
  <si>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</si>
  <si>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</si>
  <si>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</si>
  <si>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</si>
  <si>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</si>
  <si>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</si>
  <si>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</si>
  <si>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</si>
  <si>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</si>
  <si>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</si>
  <si>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</si>
  <si>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</si>
  <si>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</si>
  <si>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</si>
  <si>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</si>
  <si>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</si>
  <si>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</si>
  <si>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</si>
  <si>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</si>
  <si>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</si>
  <si>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</si>
  <si>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</si>
  <si>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</si>
  <si>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</si>
  <si>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</si>
  <si>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</si>
  <si>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</si>
  <si>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</si>
  <si>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</si>
  <si>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</si>
  <si>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</si>
  <si>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</si>
  <si>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</si>
  <si>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</si>
  <si>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</si>
  <si>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</si>
  <si>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</si>
  <si>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</si>
  <si>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</si>
  <si>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</si>
  <si>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</si>
  <si>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</si>
  <si>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</si>
  <si>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</si>
  <si>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</si>
  <si>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</si>
  <si>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</si>
  <si>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</si>
  <si>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</si>
  <si>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</si>
  <si>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</si>
  <si>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</si>
  <si>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</si>
  <si>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</si>
  <si>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</si>
  <si>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</si>
  <si>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</si>
  <si>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</si>
  <si>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</si>
  <si>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</si>
  <si>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</si>
  <si>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</si>
  <si>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</si>
  <si>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</si>
  <si>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</si>
  <si>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</si>
  <si>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</si>
  <si>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</si>
  <si>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</si>
  <si>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</si>
  <si>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</si>
  <si>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</si>
  <si>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</si>
  <si>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</si>
  <si>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</si>
  <si>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</si>
  <si>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</si>
  <si>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</si>
  <si>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</si>
  <si>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</si>
  <si>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</si>
  <si>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</si>
  <si>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</si>
  <si>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</si>
  <si>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</si>
  <si>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</si>
  <si>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</si>
  <si>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</si>
  <si>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</si>
  <si>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</si>
  <si>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</si>
  <si>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</si>
  <si>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</si>
  <si>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</si>
  <si>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</si>
  <si>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</si>
  <si>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</si>
  <si>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</si>
  <si>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</si>
  <si>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</si>
  <si>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</si>
  <si>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</si>
  <si>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</si>
  <si>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</si>
  <si>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</si>
  <si>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</si>
  <si>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</si>
  <si>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</si>
  <si>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</si>
  <si>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</si>
  <si>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</si>
  <si>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</si>
  <si>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</si>
  <si>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</si>
  <si>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</si>
  <si>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</si>
  <si>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</si>
  <si>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</si>
  <si>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</si>
  <si>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</si>
  <si>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</si>
  <si>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</si>
  <si>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</si>
  <si>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</si>
  <si>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</si>
  <si>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</si>
  <si>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</si>
  <si>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</si>
  <si>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</si>
  <si>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</si>
  <si>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</si>
  <si>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</si>
  <si>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</si>
  <si>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</si>
  <si>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</si>
  <si>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</si>
  <si>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</si>
  <si>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</si>
  <si>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</si>
  <si>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</si>
  <si>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</si>
  <si>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</si>
  <si>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</si>
  <si>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</si>
  <si>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</si>
  <si>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</si>
  <si>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</si>
  <si>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</si>
  <si>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</si>
  <si>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</si>
  <si>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</si>
  <si>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</si>
  <si>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</si>
  <si>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</si>
  <si>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</si>
  <si>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</si>
  <si>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</si>
  <si>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</si>
  <si>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</si>
  <si>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</si>
  <si>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</si>
  <si>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</si>
  <si>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</si>
  <si>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</si>
  <si>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</si>
  <si>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</si>
  <si>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</si>
  <si>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</si>
  <si>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</si>
  <si>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</si>
  <si>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</si>
  <si>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</si>
  <si>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</si>
  <si>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</si>
  <si>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</si>
  <si>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</si>
  <si>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</si>
  <si>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</si>
  <si>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</si>
  <si>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</si>
  <si>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</si>
  <si>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</si>
  <si>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</si>
  <si>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</si>
  <si>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</si>
  <si>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</si>
  <si>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</si>
  <si>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</si>
  <si>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</si>
  <si>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</si>
  <si>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</si>
  <si>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</si>
  <si>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</si>
  <si>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</si>
  <si>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</si>
  <si>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</si>
  <si>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</si>
  <si>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</si>
  <si>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</si>
  <si>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</si>
  <si>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</si>
  <si>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</si>
  <si>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</si>
  <si>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</si>
  <si>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</si>
  <si>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</si>
  <si>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</si>
  <si>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</si>
  <si>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</si>
  <si>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</si>
  <si>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</si>
  <si>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</si>
  <si>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</si>
  <si>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</si>
  <si>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</si>
  <si>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</si>
  <si>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</si>
  <si>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</si>
  <si>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</si>
  <si>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</si>
  <si>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</si>
  <si>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</si>
  <si>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</si>
  <si>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</si>
  <si>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</si>
  <si>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</si>
  <si>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</si>
  <si>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</si>
  <si>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</si>
  <si>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</si>
  <si>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</si>
  <si>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</si>
  <si>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</si>
  <si>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</si>
  <si>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</si>
  <si>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</si>
  <si>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</si>
  <si>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</si>
  <si>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</si>
  <si>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</si>
  <si>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</si>
  <si>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</si>
  <si>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</si>
  <si>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</si>
  <si>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</si>
  <si>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</si>
  <si>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</si>
  <si>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</si>
  <si>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</si>
  <si>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</si>
  <si>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</si>
  <si>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</si>
  <si>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</si>
  <si>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</si>
  <si>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</si>
  <si>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</si>
  <si>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</si>
  <si>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</si>
  <si>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</si>
  <si>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</si>
  <si>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</si>
  <si>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</si>
  <si>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</si>
  <si>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</si>
  <si>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</si>
  <si>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</si>
  <si>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</si>
  <si>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</si>
  <si>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</si>
  <si>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</si>
  <si>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</si>
  <si>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</si>
  <si>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</si>
  <si>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</si>
  <si>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</si>
  <si>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</si>
  <si>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</si>
  <si>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</si>
  <si>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</si>
  <si>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</si>
  <si>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</si>
  <si>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</si>
  <si>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</si>
  <si>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</si>
  <si>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</si>
  <si>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</si>
  <si>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</si>
  <si>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</si>
  <si>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</si>
  <si>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</si>
  <si>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</si>
  <si>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</si>
  <si>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</si>
  <si>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</si>
  <si>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</si>
  <si>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</si>
  <si>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</si>
  <si>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</si>
  <si>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</si>
  <si>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</si>
  <si>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</si>
  <si>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</si>
  <si>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</si>
  <si>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</si>
  <si>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</si>
  <si>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</si>
  <si>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</si>
  <si>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</si>
  <si>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</si>
  <si>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</si>
  <si>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</si>
  <si>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</si>
  <si>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</si>
  <si>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</si>
  <si>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</si>
  <si>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</si>
  <si>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</si>
  <si>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</si>
  <si>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</si>
  <si>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</si>
  <si>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</si>
  <si>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</si>
  <si>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</si>
  <si>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</si>
  <si>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</si>
  <si>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</si>
  <si>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</si>
  <si>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</si>
  <si>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</si>
  <si>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</si>
  <si>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</si>
  <si>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</si>
  <si>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</si>
  <si>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</si>
  <si>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</si>
  <si>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</si>
  <si>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</si>
  <si>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</si>
  <si>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</si>
  <si>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</si>
  <si>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</si>
  <si>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</si>
  <si>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</si>
  <si>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</si>
  <si>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</si>
  <si>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</si>
  <si>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</si>
  <si>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</si>
  <si>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</si>
  <si>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</si>
  <si>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</si>
  <si>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</si>
  <si>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</si>
  <si>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</si>
  <si>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</si>
  <si>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</si>
  <si>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</si>
  <si>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</si>
  <si>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</si>
  <si>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</si>
  <si>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</si>
  <si>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</si>
  <si>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</si>
  <si>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</si>
  <si>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</si>
  <si>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</si>
  <si>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</si>
  <si>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</si>
  <si>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</si>
  <si>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</si>
  <si>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</si>
  <si>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</si>
  <si>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</si>
  <si>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</si>
  <si>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</si>
  <si>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</si>
  <si>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</si>
  <si>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</si>
  <si>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</si>
  <si>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</si>
  <si>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</si>
  <si>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</si>
  <si>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</si>
  <si>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</si>
  <si>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</si>
  <si>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</si>
  <si>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</si>
  <si>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</si>
  <si>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</si>
  <si>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</si>
  <si>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</si>
  <si>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</si>
  <si>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</si>
  <si>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</si>
  <si>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</si>
  <si>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</si>
  <si>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</si>
  <si>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</si>
  <si>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</si>
  <si>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</si>
  <si>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</si>
  <si>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</si>
  <si>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</si>
  <si>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</si>
  <si>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</si>
  <si>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</si>
  <si>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</si>
  <si>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</si>
  <si>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</si>
  <si>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</si>
  <si>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</si>
  <si>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</si>
  <si>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</si>
  <si>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</si>
  <si>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</si>
  <si>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</si>
  <si>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</si>
  <si>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</si>
  <si>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</si>
  <si>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</si>
  <si>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</si>
  <si>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</si>
  <si>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</si>
  <si>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</si>
  <si>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</si>
  <si>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</si>
  <si>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</si>
  <si>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</si>
  <si>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</si>
  <si>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</si>
  <si>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</si>
  <si>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</si>
  <si>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</si>
  <si>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</si>
  <si>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</si>
  <si>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</si>
  <si>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</si>
  <si>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</si>
  <si>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</si>
  <si>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</si>
  <si>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</si>
  <si>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</si>
  <si>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</si>
  <si>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</si>
  <si>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</si>
  <si>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</si>
  <si>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</si>
  <si>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</si>
  <si>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</si>
  <si>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</si>
  <si>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</si>
  <si>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</si>
  <si>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</si>
  <si>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</si>
  <si>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</si>
  <si>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</si>
  <si>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</si>
  <si>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</si>
  <si>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</si>
  <si>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</si>
  <si>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</si>
  <si>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</si>
  <si>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</si>
  <si>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</si>
  <si>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</si>
  <si>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</si>
  <si>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</si>
  <si>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</si>
  <si>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</si>
  <si>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</si>
  <si>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</si>
  <si>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</si>
  <si>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</si>
  <si>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</si>
  <si>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</si>
  <si>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</si>
  <si>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</si>
  <si>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</si>
  <si>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</si>
  <si>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</si>
  <si>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</si>
  <si>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</si>
  <si>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</si>
  <si>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</si>
  <si>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</si>
  <si>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</si>
  <si>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</si>
  <si>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</si>
  <si>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</si>
  <si>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</si>
  <si>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</si>
  <si>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</si>
  <si>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</si>
  <si>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</si>
  <si>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</si>
  <si>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</si>
  <si>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</si>
  <si>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</si>
  <si>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</si>
  <si>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</si>
  <si>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</si>
  <si>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</si>
  <si>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</si>
  <si>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</si>
  <si>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</si>
  <si>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</si>
  <si>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</si>
  <si>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</si>
  <si>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</si>
  <si>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</si>
  <si>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</si>
  <si>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</si>
  <si>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</si>
  <si>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</si>
  <si>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</si>
  <si>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</si>
  <si>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</si>
  <si>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</si>
  <si>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</si>
  <si>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</si>
  <si>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</si>
  <si>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</si>
  <si>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</si>
  <si>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</si>
  <si>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</si>
  <si>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</si>
  <si>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</si>
  <si>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</si>
  <si>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</si>
  <si>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</si>
  <si>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</si>
  <si>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</si>
  <si>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</si>
  <si>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</si>
  <si>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</si>
  <si>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</si>
  <si>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</si>
  <si>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</si>
  <si>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</si>
  <si>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</si>
  <si>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</si>
  <si>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</si>
  <si>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</si>
  <si>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</si>
  <si>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</si>
  <si>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</si>
  <si>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</si>
  <si>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</si>
  <si>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</si>
  <si>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</si>
  <si>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</si>
  <si>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</si>
  <si>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</si>
  <si>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</si>
  <si>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</si>
  <si>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</si>
  <si>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</si>
  <si>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</si>
  <si>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</si>
  <si>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</si>
  <si>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</si>
  <si>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</si>
  <si>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</si>
  <si>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</si>
  <si>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</si>
  <si>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</si>
  <si>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</si>
  <si>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</si>
  <si>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</si>
  <si>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</si>
  <si>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</si>
  <si>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</si>
  <si>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</si>
  <si>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</si>
  <si>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</si>
  <si>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</si>
  <si>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</si>
  <si>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</si>
  <si>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</si>
  <si>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</si>
  <si>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</si>
  <si>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</si>
  <si>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</si>
  <si>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</si>
  <si>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</si>
  <si>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</si>
  <si>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</si>
  <si>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</si>
  <si>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</si>
  <si>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</si>
  <si>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</si>
  <si>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</si>
  <si>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</si>
  <si>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</si>
  <si>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</si>
  <si>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</si>
  <si>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</si>
  <si>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</si>
  <si>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</si>
  <si>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</si>
  <si>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</si>
  <si>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</si>
  <si>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</si>
  <si>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</si>
  <si>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</si>
  <si>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</si>
  <si>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</si>
  <si>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</si>
  <si>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</si>
  <si>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</si>
  <si>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</si>
  <si>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</si>
  <si>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</si>
  <si>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</si>
  <si>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</si>
  <si>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</si>
  <si>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</si>
  <si>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</si>
  <si>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</si>
  <si>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</si>
  <si>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</si>
  <si>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</si>
  <si>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</si>
  <si>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</si>
  <si>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</si>
  <si>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</si>
  <si>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</si>
  <si>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</si>
  <si>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</si>
  <si>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</si>
  <si>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</si>
  <si>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</si>
  <si>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</si>
  <si>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</si>
  <si>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</si>
  <si>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</si>
  <si>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</si>
  <si>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</si>
  <si>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</si>
  <si>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</si>
  <si>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</si>
  <si>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</si>
  <si>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</si>
  <si>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</si>
  <si>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</si>
  <si>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</si>
  <si>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</si>
  <si>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</si>
  <si>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</si>
  <si>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</si>
  <si>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</si>
  <si>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</si>
  <si>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</si>
  <si>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</si>
  <si>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</si>
  <si>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</si>
  <si>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</si>
  <si>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</si>
  <si>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</si>
  <si>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</si>
  <si>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</si>
  <si>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</si>
  <si>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</si>
  <si>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</si>
  <si>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</si>
  <si>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</si>
  <si>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</si>
  <si>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</si>
  <si>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</si>
  <si>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</si>
  <si>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</si>
  <si>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</si>
  <si>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</si>
  <si>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</si>
  <si>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</si>
  <si>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</si>
  <si>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</si>
  <si>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</si>
  <si>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</si>
  <si>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</si>
  <si>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</si>
  <si>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</si>
  <si>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</si>
  <si>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</si>
  <si>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</si>
  <si>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</si>
  <si>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</si>
  <si>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</si>
  <si>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</si>
  <si>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</si>
  <si>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</si>
  <si>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</si>
  <si>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</si>
  <si>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</si>
  <si>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</si>
  <si>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</si>
  <si>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</si>
  <si>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</si>
  <si>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</si>
  <si>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</si>
  <si>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</si>
  <si>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</si>
  <si>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</si>
  <si>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</si>
  <si>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</si>
  <si>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</si>
  <si>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</si>
  <si>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</si>
  <si>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</si>
  <si>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</si>
  <si>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</si>
  <si>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</si>
  <si>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</si>
  <si>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</si>
  <si>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</si>
  <si>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</si>
  <si>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</si>
  <si>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</si>
  <si>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</si>
  <si>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</si>
  <si>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</si>
  <si>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</si>
  <si>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</si>
  <si>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</si>
  <si>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</si>
  <si>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</si>
  <si>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</si>
  <si>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</si>
  <si>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</si>
  <si>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</si>
  <si>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</si>
  <si>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</si>
  <si>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</si>
  <si>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</si>
  <si>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</si>
  <si>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</si>
  <si>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</si>
  <si>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</si>
  <si>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</si>
  <si>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</si>
  <si>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</si>
  <si>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</si>
  <si>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</si>
  <si>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</si>
  <si>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</si>
  <si>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</si>
  <si>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</si>
  <si>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</si>
  <si>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</si>
  <si>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</si>
  <si>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</si>
  <si>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</si>
  <si>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</si>
  <si>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</si>
  <si>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</si>
  <si>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</si>
  <si>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</si>
  <si>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</si>
  <si>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</si>
  <si>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</si>
  <si>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</si>
  <si>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</si>
  <si>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</si>
  <si>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</si>
  <si>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</si>
  <si>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</si>
  <si>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</si>
  <si>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</si>
  <si>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</si>
  <si>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</si>
  <si>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</si>
  <si>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</si>
  <si>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</si>
  <si>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</si>
  <si>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</si>
  <si>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</si>
  <si>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</si>
  <si>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</si>
  <si>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</si>
  <si>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</si>
  <si>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</si>
  <si>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</si>
  <si>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</si>
  <si>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</si>
  <si>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</si>
  <si>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</si>
  <si>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</si>
  <si>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</si>
  <si>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</si>
  <si>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</si>
  <si>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</si>
  <si>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</si>
  <si>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</si>
  <si>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</si>
  <si>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</si>
  <si>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</si>
  <si>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</si>
  <si>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</si>
  <si>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</si>
  <si>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</si>
  <si>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</si>
  <si>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</si>
  <si>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</si>
  <si>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</si>
  <si>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</si>
  <si>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</si>
  <si>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</si>
  <si>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</si>
  <si>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</si>
  <si>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</si>
  <si>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</si>
  <si>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</si>
  <si>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</si>
  <si>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</si>
  <si>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</si>
  <si>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</si>
  <si>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</si>
  <si>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</si>
  <si>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</si>
  <si>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</si>
  <si>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</si>
  <si>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</si>
  <si>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</si>
  <si>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</si>
  <si>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</si>
  <si>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</si>
  <si>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</si>
  <si>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</si>
  <si>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</si>
  <si>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</si>
  <si>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</si>
  <si>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</si>
  <si>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</si>
  <si>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</si>
  <si>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</si>
  <si>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</si>
  <si>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</si>
  <si>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</si>
  <si>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</si>
  <si>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</si>
  <si>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</si>
  <si>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</si>
  <si>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</si>
  <si>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</si>
  <si>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</si>
  <si>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</si>
  <si>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</si>
  <si>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</si>
  <si>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</si>
  <si>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</si>
  <si>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</si>
  <si>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</si>
  <si>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</si>
  <si>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</si>
  <si>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</si>
  <si>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</si>
  <si>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</si>
  <si>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</si>
  <si>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</si>
  <si>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</si>
  <si>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</si>
  <si>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</si>
  <si>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</si>
  <si>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</si>
  <si>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</si>
  <si>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</si>
  <si>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</si>
  <si>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</si>
  <si>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</si>
  <si>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</si>
  <si>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</si>
  <si>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</si>
  <si>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</si>
  <si>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</si>
  <si>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</si>
  <si>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</si>
  <si>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</si>
  <si>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</si>
  <si>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</si>
  <si>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</si>
  <si>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</si>
  <si>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</si>
  <si>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</si>
  <si>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</si>
  <si>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</si>
  <si>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</si>
  <si>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</si>
  <si>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</si>
  <si>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</si>
  <si>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</si>
  <si>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</si>
  <si>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</si>
  <si>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</si>
  <si>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</si>
  <si>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</si>
  <si>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</si>
  <si>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</si>
  <si>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</si>
  <si>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</si>
  <si>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</si>
  <si>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</si>
  <si>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</si>
  <si>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</si>
  <si>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</si>
  <si>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</si>
  <si>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</si>
  <si>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</si>
  <si>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</si>
  <si>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</si>
  <si>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</si>
  <si>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</si>
  <si>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</si>
  <si>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</si>
  <si>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</si>
  <si>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</si>
  <si>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</si>
  <si>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</si>
  <si>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</si>
  <si>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</si>
  <si>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</si>
  <si>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</si>
  <si>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</si>
  <si>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</si>
  <si>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</si>
  <si>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</si>
  <si>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</si>
  <si>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</si>
  <si>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</si>
  <si>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</si>
  <si>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</si>
  <si>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</si>
  <si>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</si>
  <si>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</si>
  <si>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</si>
  <si>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</si>
  <si>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</si>
  <si>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</si>
  <si>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</si>
  <si>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</si>
  <si>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</si>
  <si>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</si>
  <si>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</si>
  <si>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</si>
  <si>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</si>
  <si>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</si>
  <si>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</si>
  <si>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</si>
  <si>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</si>
  <si>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</si>
  <si>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</si>
  <si>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</si>
  <si>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</si>
  <si>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</si>
  <si>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</si>
  <si>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</si>
  <si>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</si>
  <si>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</si>
  <si>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</si>
  <si>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</si>
  <si>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</si>
  <si>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</si>
  <si>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</si>
  <si>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</si>
  <si>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</si>
  <si>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</si>
  <si>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</si>
  <si>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</si>
  <si>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</si>
  <si>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</si>
  <si>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</si>
  <si>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</si>
  <si>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</si>
  <si>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</si>
  <si>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</si>
  <si>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</si>
  <si>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</si>
  <si>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</si>
  <si>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</si>
  <si>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</si>
  <si>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</si>
  <si>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</si>
  <si>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</si>
  <si>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</si>
  <si>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</si>
  <si>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</si>
  <si>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</si>
  <si>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</si>
  <si>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</si>
  <si>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</si>
  <si>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</si>
  <si>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</si>
  <si>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</si>
  <si>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</si>
  <si>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</si>
  <si>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</si>
  <si>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</si>
  <si>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</si>
  <si>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</si>
  <si>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</si>
  <si>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</si>
  <si>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</si>
  <si>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</si>
  <si>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</si>
  <si>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</si>
  <si>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</si>
  <si>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</si>
  <si>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</si>
  <si>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</si>
  <si>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</si>
  <si>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</si>
  <si>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</si>
  <si>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</si>
  <si>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</si>
  <si>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</si>
  <si>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</si>
  <si>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</si>
  <si>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</si>
  <si>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</si>
  <si>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</si>
  <si>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</si>
  <si>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</si>
  <si>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</si>
  <si>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</si>
  <si>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</si>
  <si>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</si>
  <si>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</si>
  <si>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</si>
  <si>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</si>
  <si>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</si>
  <si>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</si>
  <si>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</si>
  <si>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</si>
  <si>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</si>
  <si>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</si>
  <si>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</si>
  <si>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</si>
  <si>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</si>
  <si>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</si>
  <si>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</si>
  <si>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</si>
  <si>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</si>
  <si>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</si>
  <si>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</si>
  <si>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</si>
  <si>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</si>
  <si>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</si>
  <si>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</si>
  <si>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</si>
  <si>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</si>
  <si>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</si>
  <si>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</si>
  <si>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</si>
  <si>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</si>
  <si>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</si>
  <si>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</si>
  <si>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</si>
  <si>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</si>
  <si>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</si>
  <si>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</si>
  <si>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</si>
  <si>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</si>
  <si>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</si>
  <si>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</si>
  <si>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</si>
  <si>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</si>
  <si>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</si>
  <si>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</si>
  <si>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</si>
  <si>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</si>
  <si>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</si>
  <si>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</si>
  <si>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</si>
  <si>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</si>
  <si>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</si>
  <si>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</si>
  <si>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</si>
  <si>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</si>
  <si>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</si>
  <si>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</si>
  <si>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</si>
  <si>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</si>
  <si>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</si>
  <si>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</si>
  <si>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</si>
  <si>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</si>
  <si>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</si>
  <si>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</si>
  <si>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</si>
  <si>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</si>
  <si>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</si>
  <si>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</si>
  <si>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</si>
  <si>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</si>
  <si>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</si>
  <si>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</si>
  <si>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</si>
  <si>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</si>
  <si>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</si>
  <si>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</si>
  <si>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</si>
  <si>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</si>
  <si>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</si>
  <si>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</si>
  <si>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</si>
  <si>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</si>
  <si>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</si>
  <si>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</si>
  <si>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</si>
  <si>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</si>
  <si>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</si>
  <si>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</si>
  <si>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</si>
  <si>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</si>
  <si>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</si>
  <si>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</si>
  <si>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</si>
  <si>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</si>
  <si>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</si>
  <si>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</si>
  <si>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</si>
  <si>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</si>
  <si>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</si>
  <si>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</si>
  <si>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</si>
  <si>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</si>
  <si>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</si>
  <si>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</si>
  <si>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</si>
  <si>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</si>
  <si>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</si>
  <si>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</si>
  <si>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</si>
  <si>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</si>
  <si>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</si>
  <si>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</si>
  <si>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</si>
  <si>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</si>
  <si>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</si>
  <si>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</si>
  <si>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</si>
  <si>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</si>
  <si>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</si>
  <si>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</si>
  <si>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</si>
  <si>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</si>
  <si>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</si>
  <si>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</si>
  <si>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</si>
  <si>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</si>
  <si>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</si>
  <si>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</si>
  <si>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</si>
  <si>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</si>
  <si>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</si>
  <si>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</si>
  <si>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</si>
  <si>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</si>
  <si>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</si>
  <si>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</si>
  <si>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</si>
  <si>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</si>
  <si>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</si>
  <si>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</si>
  <si>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</si>
  <si>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</si>
  <si>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</si>
  <si>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</si>
  <si>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</si>
  <si>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</si>
  <si>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</si>
  <si>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</si>
  <si>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</si>
  <si>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</si>
  <si>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</si>
  <si>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</si>
  <si>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</si>
  <si>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</si>
  <si>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</si>
  <si>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</si>
  <si>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</si>
  <si>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</si>
  <si>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</si>
  <si>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</si>
  <si>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</si>
  <si>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</si>
  <si>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</si>
  <si>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</si>
  <si>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</si>
  <si>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</si>
  <si>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</si>
  <si>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</si>
  <si>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</si>
  <si>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</si>
  <si>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</si>
  <si>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</si>
  <si>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</si>
  <si>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</si>
  <si>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</si>
  <si>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</si>
  <si>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</si>
  <si>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</si>
  <si>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</si>
  <si>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</si>
  <si>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</si>
  <si>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</si>
  <si>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</si>
  <si>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</si>
  <si>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</si>
  <si>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</si>
  <si>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</si>
  <si>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</si>
  <si>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</si>
  <si>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</si>
  <si>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</si>
  <si>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</si>
  <si>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</si>
  <si>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</si>
  <si>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</si>
  <si>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</si>
  <si>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</si>
  <si>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</si>
  <si>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</si>
  <si>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</si>
  <si>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</si>
  <si>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</si>
  <si>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</si>
  <si>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</si>
  <si>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</si>
  <si>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</si>
  <si>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</si>
  <si>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</si>
  <si>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</si>
  <si>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</si>
  <si>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</si>
  <si>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</si>
  <si>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</si>
  <si>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</si>
  <si>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</si>
  <si>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</si>
  <si>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</si>
  <si>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</si>
  <si>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</si>
  <si>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</si>
  <si>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</si>
  <si>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</si>
  <si>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</si>
  <si>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</si>
  <si>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</si>
  <si>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</si>
  <si>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</si>
  <si>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</si>
  <si>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</si>
  <si>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</si>
  <si>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</si>
  <si>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</si>
  <si>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</si>
  <si>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</si>
  <si>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</si>
  <si>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</si>
  <si>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</si>
  <si>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</si>
  <si>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</si>
  <si>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</si>
  <si>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</si>
  <si>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</si>
  <si>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</si>
  <si>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</si>
  <si>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</si>
  <si>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</si>
  <si>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</si>
  <si>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</si>
  <si>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</si>
  <si>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</si>
  <si>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</si>
  <si>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</si>
  <si>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</si>
  <si>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</si>
  <si>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</si>
  <si>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</si>
  <si>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</si>
  <si>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</si>
  <si>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</si>
  <si>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</si>
  <si>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</si>
  <si>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</si>
  <si>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</si>
  <si>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</si>
  <si>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</si>
  <si>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</si>
  <si>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</si>
  <si>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</si>
  <si>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</si>
  <si>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</si>
  <si>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</si>
  <si>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</si>
  <si>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</si>
  <si>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</si>
  <si>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</si>
  <si>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</si>
  <si>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</si>
  <si>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</si>
  <si>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</si>
  <si>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</si>
  <si>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</si>
  <si>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</si>
  <si>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</si>
  <si>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</si>
  <si>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</si>
  <si>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</si>
  <si>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</si>
  <si>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</si>
  <si>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</si>
  <si>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</si>
  <si>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</si>
  <si>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</si>
  <si>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</si>
  <si>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</si>
  <si>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</si>
  <si>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</si>
  <si>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</si>
  <si>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</si>
  <si>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</si>
  <si>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</si>
  <si>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</si>
  <si>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</si>
  <si>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</si>
  <si>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</si>
  <si>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</si>
  <si>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</si>
  <si>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</si>
  <si>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</si>
  <si>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</si>
  <si>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</si>
  <si>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</si>
  <si>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</si>
  <si>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</si>
  <si>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</si>
  <si>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</si>
  <si>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</si>
  <si>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</si>
  <si>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</si>
  <si>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</si>
  <si>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</si>
  <si>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</si>
  <si>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</si>
  <si>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</si>
  <si>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</si>
  <si>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</si>
  <si>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</si>
  <si>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</si>
  <si>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</si>
  <si>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</si>
  <si>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</si>
  <si>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</si>
  <si>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</si>
  <si>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</si>
  <si>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</si>
  <si>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</si>
  <si>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</si>
  <si>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</si>
  <si>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</si>
  <si>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</si>
  <si>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</si>
  <si>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</si>
  <si>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</si>
  <si>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</si>
  <si>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</si>
  <si>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</si>
  <si>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</si>
  <si>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</si>
  <si>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</si>
  <si>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</si>
  <si>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</si>
  <si>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</si>
  <si>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</si>
  <si>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</si>
  <si>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</si>
  <si>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</si>
  <si>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</si>
  <si>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</si>
  <si>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</si>
  <si>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</si>
  <si>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</si>
  <si>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</si>
  <si>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</si>
  <si>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</si>
  <si>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</si>
  <si>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</si>
  <si>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</si>
  <si>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</si>
  <si>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</si>
  <si>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</si>
  <si>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</si>
  <si>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</si>
  <si>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</si>
  <si>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</si>
  <si>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</si>
  <si>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</si>
  <si>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</si>
  <si>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</si>
  <si>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</si>
  <si>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</si>
  <si>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</si>
  <si>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</si>
  <si>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</si>
  <si>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</si>
  <si>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</si>
  <si>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</si>
  <si>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</si>
  <si>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</si>
  <si>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</si>
  <si>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</si>
  <si>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</si>
  <si>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</si>
  <si>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</si>
  <si>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</si>
  <si>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</si>
  <si>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</si>
  <si>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</si>
  <si>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</si>
  <si>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</si>
  <si>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</si>
  <si>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</si>
  <si>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</si>
  <si>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</si>
  <si>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</si>
  <si>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</si>
  <si>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</si>
  <si>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</si>
  <si>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</si>
  <si>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</si>
  <si>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</si>
  <si>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</si>
  <si>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</si>
  <si>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</si>
  <si>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</si>
  <si>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</si>
  <si>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</si>
  <si>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</si>
  <si>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</si>
  <si>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</si>
  <si>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</si>
  <si>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</si>
  <si>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</si>
  <si>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</si>
  <si>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</si>
  <si>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</si>
  <si>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</si>
  <si>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</si>
  <si>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</si>
  <si>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</si>
  <si>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</si>
  <si>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</si>
  <si>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</si>
  <si>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</si>
  <si>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</si>
  <si>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</si>
  <si>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</si>
  <si>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</si>
  <si>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</si>
  <si>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</si>
  <si>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</si>
  <si>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</si>
  <si>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</si>
  <si>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</si>
  <si>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</si>
  <si>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</si>
  <si>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</si>
  <si>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</si>
  <si>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</si>
  <si>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</si>
  <si>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</si>
  <si>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</si>
  <si>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</si>
  <si>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</si>
  <si>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</si>
  <si>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</si>
  <si>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</si>
  <si>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</si>
  <si>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</si>
  <si>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</si>
  <si>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</si>
  <si>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</si>
  <si>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</si>
  <si>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</si>
  <si>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</si>
  <si>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</si>
  <si>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</si>
  <si>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</si>
  <si>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</si>
  <si>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</si>
  <si>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</si>
  <si>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</si>
  <si>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</si>
  <si>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</si>
  <si>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</si>
  <si>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</si>
  <si>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</si>
  <si>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</si>
  <si>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</si>
  <si>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</si>
  <si>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</si>
  <si>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</si>
  <si>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</si>
  <si>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</si>
  <si>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</si>
  <si>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</si>
  <si>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</si>
  <si>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</si>
  <si>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</si>
  <si>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</si>
  <si>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</si>
  <si>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</si>
  <si>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</si>
  <si>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</si>
  <si>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</si>
  <si>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</si>
  <si>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</si>
  <si>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</si>
  <si>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</si>
  <si>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</si>
  <si>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</si>
  <si>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</si>
  <si>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</si>
  <si>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</si>
  <si>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</si>
  <si>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</si>
  <si>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</si>
  <si>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</si>
  <si>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</si>
  <si>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</si>
  <si>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</si>
  <si>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</si>
  <si>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</si>
  <si>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</si>
  <si>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</si>
  <si>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</si>
  <si>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</si>
  <si>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</si>
  <si>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</si>
  <si>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</si>
  <si>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</si>
  <si>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</si>
  <si>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</si>
  <si>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</si>
  <si>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</si>
  <si>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</si>
  <si>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</si>
  <si>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</si>
  <si>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</si>
  <si>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</si>
  <si>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</si>
  <si>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</si>
  <si>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</si>
  <si>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</si>
  <si>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</si>
  <si>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</si>
  <si>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</si>
  <si>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</si>
  <si>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</si>
  <si>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</si>
  <si>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</si>
  <si>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</si>
  <si>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</si>
  <si>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</si>
  <si>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</si>
  <si>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</si>
  <si>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</si>
  <si>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</si>
  <si>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</si>
  <si>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</si>
  <si>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</si>
  <si>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</si>
  <si>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</si>
  <si>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</si>
  <si>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</si>
  <si>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</si>
  <si>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</si>
  <si>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</si>
  <si>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</si>
  <si>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</si>
  <si>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</si>
  <si>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</si>
  <si>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</si>
  <si>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</si>
  <si>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</si>
  <si>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</si>
  <si>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</si>
  <si>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</si>
  <si>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</si>
  <si>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</si>
  <si>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</si>
  <si>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</si>
  <si>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</si>
  <si>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</si>
  <si>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</si>
  <si>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</si>
  <si>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</si>
  <si>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</si>
  <si>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</si>
  <si>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</si>
  <si>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</si>
  <si>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</si>
  <si>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</si>
  <si>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</si>
  <si>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</si>
  <si>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</si>
  <si>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</si>
  <si>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</si>
  <si>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</si>
  <si>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</si>
  <si>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</si>
  <si>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</si>
  <si>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</si>
  <si>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</si>
  <si>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</si>
  <si>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</si>
  <si>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</si>
  <si>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</si>
  <si>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</si>
  <si>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</si>
  <si>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</si>
  <si>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</si>
  <si>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</si>
  <si>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</si>
  <si>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</si>
  <si>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</si>
  <si>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</si>
  <si>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</si>
  <si>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</si>
  <si>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</si>
  <si>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</si>
  <si>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</si>
  <si>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</si>
  <si>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</si>
  <si>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</si>
  <si>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</si>
  <si>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</si>
  <si>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</si>
  <si>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</si>
  <si>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</si>
  <si>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</si>
  <si>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</si>
  <si>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</si>
  <si>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</si>
  <si>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</si>
  <si>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</si>
  <si>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</si>
  <si>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</si>
  <si>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</si>
  <si>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</si>
  <si>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</si>
  <si>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</si>
  <si>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</si>
  <si>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</si>
  <si>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</si>
  <si>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</si>
  <si>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</si>
  <si>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</si>
  <si>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</si>
  <si>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</si>
  <si>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</si>
  <si>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</si>
  <si>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</si>
  <si>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</si>
  <si>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</si>
  <si>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</si>
  <si>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</si>
  <si>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</si>
  <si>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</si>
  <si>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</si>
  <si>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</si>
  <si>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</si>
  <si>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</si>
  <si>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</si>
  <si>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</si>
  <si>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</si>
  <si>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</si>
  <si>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</si>
  <si>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</si>
  <si>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</si>
  <si>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</si>
  <si>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</si>
  <si>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</si>
  <si>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</si>
  <si>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</si>
  <si>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</si>
  <si>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</si>
  <si>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</si>
  <si>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</si>
  <si>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</si>
  <si>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</si>
  <si>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</si>
  <si>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</si>
  <si>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</si>
  <si>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</si>
  <si>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</si>
  <si>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</si>
  <si>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</si>
  <si>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</si>
  <si>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</si>
  <si>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</si>
  <si>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</si>
  <si>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</si>
  <si>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</si>
  <si>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</si>
  <si>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</si>
  <si>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</si>
  <si>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</si>
  <si>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</si>
  <si>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</si>
  <si>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</si>
  <si>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</si>
  <si>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</si>
  <si>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</si>
  <si>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</si>
  <si>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</si>
  <si>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</si>
  <si>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</si>
  <si>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</si>
  <si>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</si>
  <si>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</si>
  <si>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</si>
  <si>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</si>
  <si>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</si>
  <si>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</si>
  <si>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</si>
  <si>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</si>
  <si>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</si>
  <si>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</si>
  <si>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</si>
  <si>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</si>
  <si>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</si>
  <si>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</si>
  <si>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</si>
  <si>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</si>
  <si>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</si>
  <si>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</si>
  <si>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</si>
  <si>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</si>
  <si>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</si>
  <si>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</si>
  <si>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</si>
  <si>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</si>
  <si>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</si>
  <si>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</si>
  <si>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</si>
  <si>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</si>
  <si>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</si>
  <si>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</si>
  <si>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</si>
  <si>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</si>
  <si>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</si>
  <si>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</si>
  <si>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</si>
  <si>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</si>
  <si>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</si>
  <si>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</si>
  <si>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</si>
  <si>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</si>
  <si>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</si>
  <si>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</si>
  <si>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</si>
  <si>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</si>
  <si>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</si>
  <si>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</si>
  <si>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</si>
  <si>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</si>
  <si>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</si>
  <si>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</si>
  <si>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</si>
  <si>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</si>
  <si>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</si>
  <si>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</si>
  <si>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</si>
  <si>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</si>
  <si>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</si>
  <si>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</si>
  <si>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</si>
  <si>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</si>
  <si>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</si>
  <si>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</si>
  <si>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</si>
  <si>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</si>
  <si>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</si>
  <si>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</si>
  <si>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</si>
  <si>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</si>
  <si>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</si>
  <si>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</si>
  <si>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</si>
  <si>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</si>
  <si>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</si>
  <si>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</si>
  <si>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</si>
  <si>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</si>
  <si>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</si>
  <si>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</si>
  <si>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</si>
  <si>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</si>
  <si>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</si>
  <si>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</si>
  <si>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</si>
  <si>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</si>
  <si>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</si>
  <si>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</si>
  <si>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</si>
  <si>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</si>
  <si>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</si>
  <si>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</si>
  <si>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</si>
  <si>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</si>
  <si>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</si>
  <si>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</si>
  <si>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</si>
  <si>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</si>
  <si>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</si>
  <si>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</si>
  <si>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</si>
  <si>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</si>
  <si>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</si>
  <si>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</si>
  <si>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</si>
  <si>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</si>
  <si>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</si>
  <si>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</si>
  <si>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</si>
  <si>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</si>
  <si>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</si>
  <si>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</si>
  <si>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</si>
  <si>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</si>
  <si>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</si>
  <si>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</si>
  <si>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</si>
  <si>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</si>
  <si>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</si>
  <si>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</si>
  <si>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</si>
  <si>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</si>
  <si>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</si>
  <si>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</si>
  <si>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</si>
  <si>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</si>
  <si>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</si>
  <si>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</si>
  <si>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</si>
  <si>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</si>
  <si>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</si>
  <si>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</si>
  <si>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</si>
  <si>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</si>
  <si>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</si>
  <si>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</si>
  <si>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</si>
  <si>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</si>
  <si>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</si>
  <si>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</si>
  <si>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</si>
  <si>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</si>
  <si>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</si>
  <si>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</si>
  <si>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</si>
  <si>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</si>
  <si>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</si>
  <si>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</si>
  <si>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</si>
  <si>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</si>
  <si>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</si>
  <si>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</si>
  <si>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</si>
  <si>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</si>
  <si>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</si>
  <si>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</si>
  <si>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</si>
  <si>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</si>
  <si>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</si>
  <si>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</si>
  <si>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</si>
  <si>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</si>
  <si>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</si>
  <si>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</si>
  <si>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</si>
  <si>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</si>
  <si>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</si>
  <si>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</si>
  <si>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</si>
  <si>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</si>
  <si>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</si>
  <si>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</si>
  <si>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</si>
  <si>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</si>
  <si>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</si>
  <si>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</si>
  <si>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</si>
  <si>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</si>
  <si>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</si>
  <si>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</si>
  <si>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</si>
  <si>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</si>
  <si>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</si>
  <si>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</si>
  <si>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</si>
  <si>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</si>
  <si>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</si>
  <si>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</si>
  <si>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</si>
  <si>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</si>
  <si>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</si>
  <si>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</si>
  <si>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</si>
  <si>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</si>
  <si>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</si>
  <si>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</si>
  <si>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</si>
  <si>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</si>
  <si>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</si>
  <si>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</si>
  <si>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</si>
  <si>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</si>
  <si>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</si>
  <si>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</si>
  <si>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</si>
  <si>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</si>
  <si>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</si>
  <si>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</si>
  <si>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</si>
  <si>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</si>
  <si>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</si>
  <si>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</si>
  <si>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</si>
  <si>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</si>
  <si>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</si>
  <si>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</si>
  <si>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</si>
  <si>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</si>
  <si>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</si>
  <si>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</si>
  <si>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</si>
  <si>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</si>
  <si>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</si>
  <si>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</si>
  <si>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</si>
  <si>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</si>
  <si>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</si>
  <si>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</si>
  <si>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</si>
  <si>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</si>
  <si>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</si>
  <si>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</si>
  <si>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</si>
  <si>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</si>
  <si>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</si>
  <si>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</si>
  <si>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</si>
  <si>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</si>
  <si>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</si>
  <si>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</si>
  <si>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</si>
  <si>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</si>
  <si>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</si>
  <si>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</si>
  <si>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</si>
  <si>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</si>
  <si>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</si>
  <si>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</si>
  <si>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</si>
  <si>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</si>
  <si>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</si>
  <si>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</si>
  <si>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</si>
  <si>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</si>
  <si>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</si>
  <si>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</si>
  <si>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</si>
  <si>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</si>
  <si>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</si>
  <si>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</si>
  <si>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</si>
  <si>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</si>
  <si>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</si>
  <si>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</si>
  <si>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</si>
  <si>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</si>
  <si>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</si>
  <si>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</si>
  <si>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</si>
  <si>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</si>
  <si>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</si>
  <si>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</si>
  <si>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</si>
  <si>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</si>
  <si>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</si>
  <si>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</si>
  <si>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</si>
  <si>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</si>
  <si>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</si>
  <si>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</si>
  <si>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</si>
  <si>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</si>
  <si>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</si>
  <si>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</si>
  <si>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</si>
  <si>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</si>
  <si>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</si>
  <si>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</si>
  <si>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</si>
  <si>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</si>
  <si>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</si>
  <si>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</si>
  <si>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</si>
  <si>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</si>
  <si>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</si>
  <si>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</si>
  <si>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</si>
  <si>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</si>
  <si>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</si>
  <si>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</si>
  <si>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</si>
  <si>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</si>
  <si>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</si>
  <si>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</si>
  <si>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</si>
  <si>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</si>
  <si>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</si>
  <si>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</si>
  <si>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</si>
  <si>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</si>
  <si>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</si>
  <si>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</si>
  <si>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</si>
  <si>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</si>
  <si>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</si>
  <si>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</si>
  <si>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</si>
  <si>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</si>
  <si>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</si>
  <si>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</si>
  <si>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</si>
  <si>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</si>
  <si>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</si>
  <si>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</si>
  <si>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</si>
  <si>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</si>
  <si>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</si>
  <si>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</si>
  <si>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</si>
  <si>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</si>
  <si>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</si>
  <si>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</si>
  <si>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</si>
  <si>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</si>
  <si>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</si>
  <si>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</si>
  <si>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</si>
  <si>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</si>
  <si>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</si>
  <si>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</si>
  <si>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</si>
  <si>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</si>
  <si>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</si>
  <si>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</si>
  <si>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</si>
  <si>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</si>
  <si>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</si>
  <si>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</si>
  <si>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</si>
  <si>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</si>
  <si>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</si>
  <si>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</si>
  <si>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</si>
  <si>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</si>
  <si>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</si>
  <si>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</si>
  <si>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</si>
  <si>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</si>
  <si>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</si>
  <si>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</si>
  <si>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</si>
  <si>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</si>
  <si>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</si>
  <si>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</si>
  <si>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</si>
  <si>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</si>
  <si>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</si>
  <si>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</si>
  <si>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</si>
  <si>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</si>
  <si>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</si>
  <si>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</si>
  <si>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</si>
  <si>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</si>
  <si>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</si>
  <si>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</si>
  <si>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</si>
  <si>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</si>
  <si>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</si>
  <si>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</si>
  <si>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</si>
  <si>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</si>
  <si>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</si>
  <si>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</si>
  <si>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</si>
  <si>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</si>
  <si>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</si>
  <si>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</si>
  <si>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</si>
  <si>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</si>
  <si>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</si>
  <si>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</si>
  <si>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</si>
  <si>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</si>
  <si>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</si>
  <si>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</si>
  <si>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</si>
  <si>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</si>
  <si>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</si>
  <si>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</si>
  <si>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</si>
  <si>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</si>
  <si>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</si>
  <si>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</si>
  <si>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</si>
  <si>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</si>
  <si>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</si>
  <si>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</si>
  <si>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</si>
  <si>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</si>
  <si>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</si>
  <si>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</si>
  <si>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</si>
  <si>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</si>
  <si>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</si>
  <si>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</si>
  <si>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</si>
  <si>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</si>
  <si>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</si>
  <si>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</si>
  <si>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</si>
  <si>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</si>
  <si>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</si>
  <si>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</si>
  <si>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</si>
  <si>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</si>
  <si>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</si>
  <si>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</si>
  <si>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</si>
  <si>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</si>
  <si>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</si>
  <si>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</si>
  <si>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</si>
  <si>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</si>
  <si>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</si>
  <si>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</si>
  <si>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</si>
  <si>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</si>
  <si>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</si>
  <si>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</si>
  <si>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</si>
  <si>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</si>
  <si>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</si>
  <si>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</si>
  <si>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</si>
  <si>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</si>
  <si>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</si>
  <si>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</si>
  <si>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</si>
  <si>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</si>
  <si>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</si>
  <si>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</si>
  <si>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</si>
  <si>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</si>
  <si>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</si>
  <si>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</si>
  <si>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</si>
  <si>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</si>
  <si>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</si>
  <si>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</si>
  <si>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</si>
  <si>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</si>
  <si>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</si>
  <si>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</si>
  <si>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</si>
  <si>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</si>
  <si>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</si>
  <si>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</si>
  <si>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</si>
  <si>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</si>
  <si>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</si>
  <si>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</si>
  <si>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</si>
  <si>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</si>
  <si>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</si>
  <si>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</si>
  <si>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</si>
  <si>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</si>
  <si>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</si>
  <si>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</si>
  <si>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</si>
  <si>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</si>
  <si>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</si>
  <si>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</si>
  <si>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</si>
  <si>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</si>
  <si>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</si>
  <si>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</si>
  <si>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</si>
  <si>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</si>
  <si>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</si>
  <si>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</si>
  <si>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</si>
  <si>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</si>
  <si>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</si>
  <si>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</si>
  <si>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</si>
  <si>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</si>
  <si>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</si>
  <si>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</si>
  <si>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</si>
  <si>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</si>
  <si>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</si>
  <si>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</si>
  <si>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</si>
  <si>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</si>
  <si>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</si>
  <si>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</si>
  <si>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</si>
  <si>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</si>
  <si>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</si>
  <si>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</si>
  <si>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</si>
  <si>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</si>
  <si>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</si>
  <si>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</si>
  <si>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</si>
  <si>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</si>
  <si>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</si>
  <si>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</si>
  <si>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</si>
  <si>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</si>
  <si>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</si>
  <si>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</si>
  <si>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</si>
  <si>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</si>
  <si>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</si>
  <si>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</si>
  <si>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</si>
  <si>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</si>
  <si>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</si>
  <si>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</si>
  <si>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</si>
  <si>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</si>
  <si>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</si>
  <si>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</si>
  <si>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</si>
  <si>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</si>
  <si>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</si>
  <si>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</si>
  <si>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</si>
  <si>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</si>
  <si>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</si>
  <si>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</si>
  <si>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</si>
  <si>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</si>
  <si>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</si>
  <si>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</si>
  <si>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</si>
  <si>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</si>
  <si>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</si>
  <si>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</si>
  <si>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</si>
  <si>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</si>
  <si>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</si>
  <si>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</si>
  <si>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</si>
  <si>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</si>
  <si>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</si>
  <si>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</si>
  <si>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</si>
  <si>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</si>
  <si>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</si>
  <si>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</si>
  <si>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</si>
  <si>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</si>
  <si>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</si>
  <si>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</si>
  <si>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</si>
  <si>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</si>
  <si>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</si>
  <si>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</si>
  <si>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</si>
  <si>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</si>
  <si>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</si>
  <si>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</si>
  <si>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</si>
  <si>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</si>
  <si>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</si>
  <si>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</si>
  <si>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</si>
  <si>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</si>
  <si>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</si>
  <si>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</si>
  <si>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</si>
  <si>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</si>
  <si>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</si>
  <si>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</si>
  <si>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</si>
  <si>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</si>
  <si>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</si>
  <si>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</si>
  <si>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</si>
  <si>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</si>
  <si>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</si>
  <si>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</si>
  <si>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</si>
  <si>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</si>
  <si>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</si>
  <si>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</si>
  <si>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</si>
  <si>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</si>
  <si>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</si>
  <si>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</si>
  <si>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</si>
  <si>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</si>
  <si>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</si>
  <si>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</si>
  <si>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</si>
  <si>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</si>
  <si>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</si>
  <si>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</si>
  <si>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</si>
  <si>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</si>
  <si>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</si>
  <si>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</si>
  <si>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</si>
  <si>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</si>
  <si>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</si>
  <si>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</si>
  <si>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</si>
  <si>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</si>
  <si>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</si>
  <si>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</si>
  <si>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</si>
  <si>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</si>
  <si>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</si>
  <si>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</si>
  <si>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</si>
  <si>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</si>
  <si>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</si>
  <si>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</si>
  <si>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</si>
  <si>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</si>
  <si>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</si>
  <si>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</si>
  <si>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</si>
  <si>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</si>
  <si>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</si>
  <si>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</si>
  <si>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</si>
  <si>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</si>
  <si>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</si>
  <si>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</si>
  <si>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</si>
  <si>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</si>
  <si>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</si>
  <si>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</si>
  <si>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</si>
  <si>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</si>
  <si>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</si>
  <si>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</si>
  <si>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</si>
  <si>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</si>
  <si>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</si>
  <si>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</si>
  <si>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</si>
  <si>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</si>
  <si>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</si>
  <si>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</si>
  <si>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</si>
  <si>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</si>
  <si>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</si>
  <si>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</si>
  <si>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</si>
  <si>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</si>
  <si>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</si>
  <si>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</si>
  <si>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</si>
  <si>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</si>
  <si>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</si>
  <si>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</si>
  <si>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</si>
  <si>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</si>
  <si>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</si>
  <si>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</si>
  <si>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</si>
  <si>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</si>
  <si>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</si>
  <si>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</si>
  <si>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</si>
  <si>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</si>
  <si>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</si>
  <si>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</si>
  <si>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</si>
  <si>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</si>
  <si>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</si>
  <si>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</si>
  <si>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</si>
  <si>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</si>
  <si>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</si>
  <si>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</si>
  <si>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</si>
  <si>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</si>
  <si>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</si>
  <si>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</si>
  <si>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</si>
  <si>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</si>
  <si>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</si>
  <si>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</si>
  <si>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</si>
  <si>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</si>
  <si>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</si>
  <si>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</si>
  <si>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</si>
  <si>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</si>
  <si>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</si>
  <si>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</si>
  <si>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</si>
  <si>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</si>
  <si>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</si>
  <si>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</si>
  <si>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</si>
  <si>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</si>
  <si>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</si>
  <si>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</si>
  <si>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</si>
  <si>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</si>
  <si>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</si>
  <si>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</si>
  <si>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</si>
  <si>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</si>
  <si>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</si>
  <si>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</si>
  <si>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</si>
  <si>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</si>
  <si>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</si>
  <si>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</si>
  <si>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</si>
  <si>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</si>
  <si>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</si>
  <si>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</si>
  <si>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</si>
  <si>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</si>
  <si>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</si>
  <si>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</si>
  <si>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</si>
  <si>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</si>
  <si>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</si>
  <si>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</si>
  <si>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</si>
  <si>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</si>
  <si>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</si>
  <si>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</si>
  <si>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</si>
  <si>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</si>
  <si>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</si>
  <si>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</si>
  <si>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</si>
  <si>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</si>
  <si>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</si>
  <si>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</si>
  <si>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</si>
  <si>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</si>
  <si>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</si>
  <si>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</si>
  <si>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</si>
  <si>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</si>
  <si>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</si>
  <si>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</si>
  <si>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</si>
  <si>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</si>
  <si>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</si>
  <si>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</si>
  <si>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</si>
  <si>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</si>
  <si>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</si>
  <si>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</si>
  <si>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</si>
  <si>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</si>
  <si>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</si>
  <si>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</si>
  <si>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</si>
  <si>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</si>
  <si>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</si>
  <si>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</si>
  <si>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</si>
  <si>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</si>
  <si>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</si>
  <si>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</si>
  <si>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</si>
  <si>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</si>
  <si>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</si>
  <si>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</si>
  <si>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</si>
  <si>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</si>
  <si>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</si>
  <si>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</si>
  <si>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</si>
  <si>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</si>
  <si>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</si>
  <si>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</si>
  <si>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</si>
  <si>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</si>
  <si>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</si>
  <si>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</si>
  <si>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</si>
  <si>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</si>
  <si>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</si>
  <si>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</si>
  <si>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</si>
  <si>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</si>
  <si>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</si>
  <si>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</si>
  <si>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</si>
  <si>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</si>
  <si>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</si>
  <si>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</si>
  <si>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</si>
  <si>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</si>
  <si>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</si>
  <si>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</si>
  <si>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</si>
  <si>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</si>
  <si>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</si>
  <si>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</si>
  <si>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</si>
  <si>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</si>
  <si>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</si>
  <si>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</si>
  <si>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</si>
  <si>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</si>
  <si>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</si>
  <si>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</si>
  <si>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</si>
  <si>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</si>
  <si>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</si>
  <si>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</si>
  <si>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</si>
  <si>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</si>
  <si>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</si>
  <si>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</si>
  <si>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</si>
  <si>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</si>
  <si>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</si>
  <si>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</si>
  <si>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</si>
  <si>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</si>
  <si>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</si>
  <si>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</si>
  <si>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</si>
  <si>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</si>
  <si>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</si>
  <si>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</si>
  <si>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</si>
  <si>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</si>
  <si>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</si>
  <si>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</si>
  <si>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</si>
  <si>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</si>
  <si>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</si>
  <si>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</si>
  <si>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</si>
  <si>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</si>
  <si>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</si>
  <si>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</si>
  <si>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</si>
  <si>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</si>
  <si>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</si>
  <si>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</si>
  <si>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</si>
  <si>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</si>
  <si>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</si>
  <si>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</si>
  <si>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</si>
  <si>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</si>
  <si>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</si>
  <si>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</si>
  <si>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</si>
  <si>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</si>
  <si>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</si>
  <si>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</si>
  <si>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</si>
  <si>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</si>
  <si>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</si>
  <si>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</si>
  <si>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</si>
  <si>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</si>
  <si>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</si>
  <si>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</si>
  <si>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</si>
  <si>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</si>
  <si>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</si>
  <si>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</si>
  <si>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</si>
  <si>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</si>
  <si>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</si>
  <si>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</si>
  <si>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</si>
  <si>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</si>
  <si>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</si>
  <si>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</si>
  <si>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</si>
  <si>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</si>
  <si>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</si>
  <si>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</si>
  <si>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</si>
  <si>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</si>
  <si>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</si>
  <si>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</si>
  <si>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</si>
  <si>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</si>
  <si>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</si>
  <si>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</si>
  <si>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</si>
  <si>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</si>
  <si>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</si>
  <si>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</si>
  <si>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</si>
  <si>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</si>
  <si>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</si>
  <si>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</si>
  <si>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</si>
  <si>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</si>
  <si>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</si>
  <si>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</si>
  <si>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</si>
  <si>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</si>
  <si>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</si>
  <si>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</si>
  <si>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</si>
  <si>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</si>
  <si>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</si>
  <si>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</si>
  <si>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</si>
  <si>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</si>
  <si>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</si>
  <si>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</si>
  <si>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</si>
  <si>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</si>
  <si>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</si>
  <si>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</si>
  <si>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</si>
  <si>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</si>
  <si>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</si>
  <si>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</si>
  <si>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</si>
  <si>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</si>
  <si>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</si>
  <si>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</si>
  <si>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</si>
  <si>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</si>
  <si>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</si>
  <si>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</si>
  <si>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</si>
  <si>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</si>
  <si>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</si>
  <si>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</si>
  <si>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</si>
  <si>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</si>
  <si>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</si>
  <si>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</si>
  <si>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</si>
  <si>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</si>
  <si>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</si>
  <si>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</si>
  <si>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</si>
  <si>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</si>
  <si>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</si>
  <si>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</si>
  <si>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</si>
  <si>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</si>
  <si>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</si>
  <si>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</si>
  <si>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</si>
  <si>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</si>
  <si>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</si>
  <si>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</si>
  <si>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</si>
  <si>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</si>
  <si>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</si>
  <si>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</si>
  <si>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</si>
  <si>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</si>
  <si>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</si>
  <si>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</si>
  <si>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</si>
  <si>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</si>
  <si>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</si>
  <si>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</si>
  <si>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</si>
  <si>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</si>
  <si>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</si>
  <si>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</si>
  <si>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</si>
  <si>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</si>
  <si>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</si>
  <si>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</si>
  <si>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</si>
  <si>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</si>
  <si>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</si>
  <si>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</si>
  <si>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</si>
  <si>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</si>
  <si>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</si>
  <si>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</si>
  <si>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</si>
  <si>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</si>
  <si>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</si>
  <si>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</si>
  <si>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</si>
  <si>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</si>
  <si>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</si>
  <si>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</si>
  <si>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</si>
  <si>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</si>
  <si>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</si>
  <si>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</si>
  <si>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</si>
  <si>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</si>
  <si>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</si>
  <si>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</si>
  <si>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</si>
  <si>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</si>
  <si>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</si>
  <si>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</si>
  <si>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</si>
  <si>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</si>
  <si>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</si>
  <si>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</si>
  <si>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</si>
  <si>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</si>
  <si>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</si>
  <si>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</si>
  <si>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</si>
  <si>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</si>
  <si>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</si>
  <si>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</si>
  <si>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</si>
  <si>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</si>
  <si>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</si>
  <si>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</si>
  <si>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</si>
  <si>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</si>
  <si>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</si>
  <si>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</si>
  <si>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</si>
  <si>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</si>
  <si>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</si>
  <si>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</si>
  <si>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</si>
  <si>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</si>
  <si>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</si>
  <si>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</si>
  <si>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</si>
  <si>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</si>
  <si>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</si>
  <si>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</si>
  <si>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</si>
  <si>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</si>
  <si>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</si>
  <si>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</si>
  <si>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</si>
  <si>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</si>
  <si>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</si>
  <si>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</si>
  <si>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</si>
  <si>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</si>
  <si>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</si>
  <si>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</si>
  <si>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</si>
  <si>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</si>
  <si>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</si>
  <si>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</si>
  <si>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</si>
  <si>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</si>
  <si>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</si>
  <si>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</si>
  <si>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</si>
  <si>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</si>
  <si>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</si>
  <si>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</si>
  <si>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</si>
  <si>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</si>
  <si>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</si>
  <si>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</si>
  <si>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</si>
  <si>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</si>
  <si>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</si>
  <si>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</si>
  <si>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</si>
  <si>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</si>
  <si>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</si>
  <si>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</si>
  <si>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</si>
  <si>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</si>
  <si>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</si>
  <si>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</si>
  <si>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</si>
  <si>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</si>
  <si>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</si>
  <si>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</si>
  <si>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</si>
  <si>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</si>
  <si>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</si>
  <si>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</si>
  <si>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</si>
  <si>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</si>
  <si>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</si>
  <si>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</si>
  <si>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</si>
  <si>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</si>
  <si>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</si>
  <si>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</si>
  <si>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</si>
  <si>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</si>
  <si>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</si>
  <si>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</si>
  <si>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</si>
  <si>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</si>
  <si>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</si>
  <si>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</si>
  <si>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</si>
  <si>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</si>
  <si>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</si>
  <si>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</si>
  <si>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</si>
  <si>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</si>
  <si>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</si>
  <si>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</si>
  <si>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</si>
  <si>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</si>
  <si>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</si>
  <si>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</si>
  <si>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</si>
  <si>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</si>
  <si>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</si>
  <si>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</si>
  <si>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</si>
  <si>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</si>
  <si>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</si>
  <si>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</si>
  <si>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</si>
  <si>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</si>
  <si>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</si>
  <si>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</si>
  <si>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</si>
  <si>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</si>
  <si>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</si>
  <si>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</si>
  <si>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</si>
  <si>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</si>
  <si>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</si>
  <si>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</si>
  <si>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</si>
  <si>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</si>
  <si>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</si>
  <si>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</si>
  <si>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</si>
  <si>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</si>
  <si>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</si>
  <si>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</si>
  <si>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</si>
  <si>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</si>
  <si>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</si>
  <si>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</si>
  <si>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</si>
  <si>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</si>
  <si>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</si>
  <si>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</si>
  <si>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</si>
  <si>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</si>
  <si>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</si>
  <si>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</si>
  <si>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</si>
  <si>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</si>
  <si>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</si>
  <si>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</si>
  <si>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</si>
  <si>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</si>
  <si>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</si>
  <si>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</si>
  <si>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</si>
  <si>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</si>
  <si>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</si>
  <si>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</si>
  <si>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</si>
  <si>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</si>
  <si>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</si>
  <si>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</si>
  <si>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</si>
  <si>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</si>
  <si>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</si>
  <si>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</si>
  <si>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</si>
  <si>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</si>
  <si>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</si>
  <si>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</si>
  <si>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</si>
  <si>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</si>
  <si>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</si>
  <si>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</si>
  <si>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</si>
  <si>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</si>
  <si>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</si>
  <si>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</si>
  <si>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</si>
  <si>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</si>
  <si>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</si>
  <si>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</si>
  <si>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</si>
  <si>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</si>
  <si>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</si>
  <si>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</si>
  <si>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</si>
  <si>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</si>
  <si>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</si>
  <si>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</si>
  <si>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</si>
  <si>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</si>
  <si>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</si>
  <si>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</si>
  <si>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</si>
  <si>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</si>
  <si>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</si>
  <si>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</si>
  <si>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</si>
  <si>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</si>
  <si>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</si>
  <si>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</si>
  <si>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</si>
  <si>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</si>
  <si>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</si>
  <si>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</si>
  <si>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</si>
  <si>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</si>
  <si>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</si>
  <si>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</si>
  <si>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</si>
  <si>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</si>
  <si>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</si>
  <si>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</si>
  <si>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</si>
  <si>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</si>
  <si>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</si>
  <si>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</si>
  <si>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</si>
  <si>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</si>
  <si>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</si>
  <si>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</si>
  <si>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</si>
  <si>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</si>
  <si>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</si>
  <si>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</si>
  <si>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</si>
  <si>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</si>
  <si>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</si>
  <si>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</si>
  <si>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</si>
  <si>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</si>
  <si>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</si>
  <si>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</si>
  <si>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</si>
  <si>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</si>
  <si>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</si>
  <si>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</si>
  <si>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</si>
  <si>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</si>
  <si>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</si>
  <si>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</si>
  <si>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</si>
  <si>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</si>
  <si>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</si>
  <si>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</si>
  <si>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</si>
  <si>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</si>
  <si>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</si>
  <si>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</si>
  <si>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</si>
  <si>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</si>
  <si>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</si>
  <si>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</si>
  <si>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</si>
  <si>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</si>
  <si>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</si>
  <si>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</si>
  <si>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</si>
  <si>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</si>
  <si>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</si>
  <si>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</si>
  <si>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</si>
  <si>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</si>
  <si>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</si>
  <si>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</si>
  <si>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</si>
  <si>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</si>
  <si>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</si>
  <si>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</si>
  <si>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</si>
  <si>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</si>
  <si>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</si>
  <si>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</si>
  <si>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</si>
  <si>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</si>
  <si>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</si>
  <si>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</si>
  <si>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</si>
  <si>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</si>
  <si>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</si>
  <si>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</si>
  <si>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</si>
  <si>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</si>
  <si>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</si>
  <si>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</si>
  <si>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</si>
  <si>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</si>
  <si>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</si>
  <si>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</si>
  <si>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</si>
  <si>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</si>
  <si>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</si>
  <si>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</si>
  <si>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</si>
  <si>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</si>
  <si>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</si>
  <si>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</si>
  <si>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</si>
  <si>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</si>
  <si>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</si>
  <si>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</si>
  <si>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</si>
  <si>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</si>
  <si>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</si>
  <si>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</si>
  <si>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</si>
  <si>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</si>
  <si>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</si>
  <si>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</si>
  <si>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</si>
  <si>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</si>
  <si>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</si>
  <si>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</si>
  <si>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</si>
  <si>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</si>
  <si>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</si>
  <si>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</si>
  <si>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</si>
  <si>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</si>
  <si>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</si>
  <si>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</si>
  <si>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</si>
  <si>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</si>
  <si>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</si>
  <si>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</si>
  <si>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</si>
  <si>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</si>
  <si>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</si>
  <si>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</si>
  <si>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</si>
  <si>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</si>
  <si>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</si>
  <si>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</si>
  <si>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</si>
  <si>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</si>
  <si>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</si>
  <si>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</si>
  <si>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</si>
  <si>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</si>
  <si>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</si>
  <si>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</si>
  <si>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</si>
  <si>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</si>
  <si>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</si>
  <si>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</si>
  <si>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</si>
  <si>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</si>
  <si>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</si>
  <si>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</si>
  <si>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</si>
  <si>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</si>
  <si>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</si>
  <si>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</si>
  <si>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</si>
  <si>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</si>
  <si>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</si>
  <si>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</si>
  <si>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</si>
  <si>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</si>
  <si>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</si>
  <si>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</si>
  <si>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</si>
  <si>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</si>
  <si>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</si>
  <si>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</si>
  <si>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</si>
  <si>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</si>
  <si>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</si>
  <si>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</si>
  <si>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</si>
  <si>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</si>
  <si>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</si>
  <si>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</si>
  <si>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</si>
  <si>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</si>
  <si>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</si>
  <si>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</si>
  <si>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</si>
  <si>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</si>
  <si>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</si>
  <si>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</si>
  <si>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</si>
  <si>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</si>
  <si>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</si>
  <si>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</si>
  <si>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</si>
  <si>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</si>
  <si>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</si>
  <si>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</si>
  <si>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</si>
  <si>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</si>
  <si>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</si>
  <si>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</si>
  <si>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</si>
  <si>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</si>
  <si>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</si>
  <si>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</si>
  <si>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</si>
  <si>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</si>
  <si>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</si>
  <si>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</si>
  <si>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</si>
  <si>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</si>
  <si>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</si>
  <si>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</si>
  <si>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</si>
  <si>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</si>
  <si>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</si>
  <si>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</si>
  <si>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</si>
  <si>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</si>
  <si>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</si>
  <si>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</si>
  <si>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</si>
  <si>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</si>
  <si>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</si>
  <si>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</si>
  <si>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</si>
  <si>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</si>
  <si>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</si>
  <si>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</si>
  <si>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</si>
  <si>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</si>
  <si>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</si>
  <si>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</si>
  <si>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</si>
  <si>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</si>
  <si>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</si>
  <si>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</si>
  <si>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</si>
  <si>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</si>
  <si>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</si>
  <si>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</si>
  <si>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</si>
  <si>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</si>
  <si>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</si>
  <si>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</si>
  <si>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</si>
  <si>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</si>
  <si>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</si>
  <si>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</si>
  <si>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</si>
  <si>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</si>
  <si>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</si>
  <si>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</si>
  <si>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</si>
  <si>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</si>
  <si>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</si>
  <si>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</si>
  <si>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</si>
  <si>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</si>
  <si>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</si>
  <si>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</si>
  <si>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</si>
  <si>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</si>
  <si>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</si>
  <si>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</si>
  <si>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</si>
  <si>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</si>
  <si>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</si>
  <si>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</si>
  <si>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</si>
  <si>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</si>
  <si>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</si>
  <si>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</si>
  <si>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</si>
  <si>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</si>
  <si>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</si>
  <si>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</si>
  <si>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</si>
  <si>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</si>
  <si>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</si>
  <si>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</si>
  <si>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</si>
  <si>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</si>
  <si>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</si>
  <si>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</si>
  <si>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</si>
  <si>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</si>
  <si>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</si>
  <si>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</si>
  <si>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</si>
  <si>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</si>
  <si>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</si>
  <si>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</si>
  <si>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</si>
  <si>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</si>
  <si>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</si>
  <si>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</si>
  <si>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</si>
  <si>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</si>
  <si>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</si>
  <si>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</si>
  <si>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</si>
  <si>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</si>
  <si>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</si>
  <si>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</si>
  <si>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</si>
  <si>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</si>
  <si>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</si>
  <si>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</si>
  <si>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</si>
  <si>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</si>
  <si>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</si>
  <si>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</si>
  <si>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</si>
  <si>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</si>
  <si>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</si>
  <si>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</si>
  <si>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</si>
  <si>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</si>
  <si>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</si>
  <si>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</si>
  <si>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</si>
  <si>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</si>
  <si>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</si>
  <si>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</si>
  <si>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</si>
  <si>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</si>
  <si>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</si>
  <si>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</si>
  <si>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</si>
  <si>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</si>
  <si>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</si>
  <si>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</si>
  <si>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</si>
  <si>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</si>
  <si>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</si>
  <si>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</si>
  <si>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</si>
  <si>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</si>
  <si>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</si>
  <si>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</si>
  <si>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</si>
  <si>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</si>
  <si>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</si>
  <si>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</si>
  <si>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</si>
  <si>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</si>
  <si>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</si>
  <si>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</si>
  <si>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</si>
  <si>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</si>
  <si>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</si>
  <si>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</si>
  <si>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</si>
  <si>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</si>
  <si>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</si>
  <si>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</si>
  <si>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</si>
  <si>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</si>
  <si>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</si>
  <si>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</si>
  <si>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</si>
  <si>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</si>
  <si>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</si>
  <si>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</si>
  <si>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</si>
  <si>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</si>
  <si>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</si>
  <si>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</si>
  <si>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</si>
  <si>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</si>
  <si>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</si>
  <si>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</si>
  <si>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</si>
  <si>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</si>
  <si>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</si>
  <si>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</si>
  <si>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</si>
  <si>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</si>
  <si>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</si>
  <si>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</si>
  <si>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</si>
  <si>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r>
      <rPr>
        <sz val="10"/>
        <color theme="9" tint="-0.249977111117893"/>
        <rFont val="宋体"/>
        <family val="3"/>
        <charset val="134"/>
      </rPr>
      <t>海淀区西杉创意园一区</t>
    </r>
    <r>
      <rPr>
        <sz val="10"/>
        <color theme="9" tint="-0.249977111117893"/>
        <rFont val="Arial"/>
        <family val="2"/>
      </rPr>
      <t>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号楼</t>
    </r>
    <phoneticPr fontId="6"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</si>
  <si>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</si>
  <si>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</si>
  <si>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6</t>
    </r>
    <r>
      <rPr>
        <sz val="10"/>
        <color indexed="8"/>
        <rFont val="宋体"/>
        <family val="3"/>
        <charset val="134"/>
      </rPr>
      <t>号楼</t>
    </r>
    <phoneticPr fontId="3" type="noConversion"/>
  </si>
  <si>
    <t>地上</t>
  </si>
  <si>
    <t>办公楼</t>
  </si>
  <si>
    <t>底商</t>
  </si>
  <si>
    <t>地下</t>
  </si>
  <si>
    <t>是</t>
  </si>
  <si>
    <t>1、2、6号楼</t>
  </si>
  <si>
    <t>1、2、6号楼</t>
    <phoneticPr fontId="7" type="noConversion"/>
  </si>
  <si>
    <t>直线</t>
    <phoneticPr fontId="3" type="noConversion"/>
  </si>
  <si>
    <t>观察</t>
    <phoneticPr fontId="3" type="noConversion"/>
  </si>
  <si>
    <t>成新度</t>
  </si>
  <si>
    <t>收益法</t>
  </si>
  <si>
    <t>押一</t>
  </si>
  <si>
    <t>钢混</t>
  </si>
  <si>
    <t>非生产用房</t>
  </si>
  <si>
    <t>否</t>
  </si>
  <si>
    <t>项目模式</t>
  </si>
  <si>
    <t>售价</t>
  </si>
  <si>
    <t>挂牌</t>
  </si>
  <si>
    <t>挂牌</t>
    <phoneticPr fontId="30" type="noConversion"/>
  </si>
  <si>
    <t>工业</t>
    <phoneticPr fontId="30" type="noConversion"/>
  </si>
  <si>
    <t>商业</t>
    <phoneticPr fontId="30" type="noConversion"/>
  </si>
  <si>
    <t>益园文化创意产业基地</t>
    <phoneticPr fontId="3" type="noConversion"/>
  </si>
  <si>
    <t>较好</t>
  </si>
  <si>
    <t>一般</t>
  </si>
  <si>
    <t>七通</t>
  </si>
  <si>
    <t>整栋</t>
    <phoneticPr fontId="30" type="noConversion"/>
  </si>
  <si>
    <t>单套</t>
    <phoneticPr fontId="30" type="noConversion"/>
  </si>
  <si>
    <t>整栋</t>
    <phoneticPr fontId="30" type="noConversion"/>
  </si>
  <si>
    <r>
      <t>1</t>
    </r>
    <r>
      <rPr>
        <sz val="11"/>
        <color indexed="8"/>
        <rFont val="宋体"/>
        <family val="3"/>
        <charset val="134"/>
      </rPr>
      <t>层</t>
    </r>
    <phoneticPr fontId="30" type="noConversion"/>
  </si>
  <si>
    <t>1层</t>
  </si>
  <si>
    <r>
      <t>-1-3</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</si>
  <si>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</si>
  <si>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</si>
  <si>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-1-3层</t>
  </si>
  <si>
    <t>单套</t>
    <phoneticPr fontId="30" type="noConversion"/>
  </si>
  <si>
    <t>田村玉泉路独栋</t>
    <phoneticPr fontId="3" type="noConversion"/>
  </si>
  <si>
    <r>
      <t>1-4</t>
    </r>
    <r>
      <rPr>
        <sz val="11"/>
        <color indexed="8"/>
        <rFont val="宋体"/>
        <family val="3"/>
        <charset val="134"/>
      </rPr>
      <t>层</t>
    </r>
    <phoneticPr fontId="30" type="noConversion"/>
  </si>
  <si>
    <t>1-4层</t>
  </si>
  <si>
    <t>玉海园</t>
    <phoneticPr fontId="3" type="noConversion"/>
  </si>
  <si>
    <r>
      <t>1-2</t>
    </r>
    <r>
      <rPr>
        <sz val="11"/>
        <color indexed="8"/>
        <rFont val="宋体"/>
        <family val="3"/>
        <charset val="134"/>
      </rPr>
      <t>层</t>
    </r>
    <phoneticPr fontId="30" type="noConversion"/>
  </si>
  <si>
    <t>1-2层</t>
  </si>
  <si>
    <t>正常</t>
  </si>
  <si>
    <t>比较法-商业</t>
  </si>
  <si>
    <r>
      <t>2023</t>
    </r>
    <r>
      <rPr>
        <sz val="10"/>
        <color indexed="8"/>
        <rFont val="宋体"/>
        <family val="3"/>
        <charset val="134"/>
      </rPr>
      <t>年估值</t>
    </r>
    <phoneticPr fontId="8" type="noConversion"/>
  </si>
  <si>
    <t>总价</t>
  </si>
  <si>
    <t>楼号</t>
    <phoneticPr fontId="134" type="noConversion"/>
  </si>
  <si>
    <t>房号</t>
    <phoneticPr fontId="134" type="noConversion"/>
  </si>
  <si>
    <t>楼层</t>
    <phoneticPr fontId="134" type="noConversion"/>
  </si>
  <si>
    <t>建筑面积</t>
    <phoneticPr fontId="134" type="noConversion"/>
  </si>
  <si>
    <t>规划用途</t>
    <phoneticPr fontId="134" type="noConversion"/>
  </si>
  <si>
    <t>现状用途</t>
    <phoneticPr fontId="134" type="noConversion"/>
  </si>
  <si>
    <t>西杉创意园一区1号楼</t>
    <phoneticPr fontId="134" type="noConversion"/>
  </si>
  <si>
    <r>
      <t>1</t>
    </r>
    <r>
      <rPr>
        <sz val="11"/>
        <color theme="1"/>
        <rFont val="宋体"/>
        <family val="3"/>
        <charset val="134"/>
        <scheme val="minor"/>
      </rPr>
      <t>01号</t>
    </r>
    <phoneticPr fontId="134" type="noConversion"/>
  </si>
  <si>
    <t>1层</t>
    <phoneticPr fontId="134" type="noConversion"/>
  </si>
  <si>
    <t>工坊</t>
    <phoneticPr fontId="134" type="noConversion"/>
  </si>
  <si>
    <t>工坊</t>
    <phoneticPr fontId="134" type="noConversion"/>
  </si>
  <si>
    <t>办公</t>
    <phoneticPr fontId="134" type="noConversion"/>
  </si>
  <si>
    <r>
      <t>1</t>
    </r>
    <r>
      <rPr>
        <sz val="11"/>
        <color theme="1"/>
        <rFont val="宋体"/>
        <family val="3"/>
        <charset val="134"/>
        <scheme val="minor"/>
      </rPr>
      <t>10号</t>
    </r>
    <phoneticPr fontId="134" type="noConversion"/>
  </si>
  <si>
    <t>1号楼</t>
    <phoneticPr fontId="134" type="noConversion"/>
  </si>
  <si>
    <t>111号</t>
    <phoneticPr fontId="134" type="noConversion"/>
  </si>
  <si>
    <t>仓储</t>
    <phoneticPr fontId="134" type="noConversion"/>
  </si>
  <si>
    <t>113号</t>
    <phoneticPr fontId="134" type="noConversion"/>
  </si>
  <si>
    <t>135号</t>
    <phoneticPr fontId="134" type="noConversion"/>
  </si>
  <si>
    <r>
      <t>1</t>
    </r>
    <r>
      <rPr>
        <sz val="11"/>
        <color theme="1"/>
        <rFont val="宋体"/>
        <family val="3"/>
        <charset val="134"/>
        <scheme val="minor"/>
      </rPr>
      <t>50号</t>
    </r>
    <phoneticPr fontId="134" type="noConversion"/>
  </si>
  <si>
    <t>208号</t>
    <phoneticPr fontId="134" type="noConversion"/>
  </si>
  <si>
    <t>2层</t>
    <phoneticPr fontId="134" type="noConversion"/>
  </si>
  <si>
    <t>商业</t>
    <phoneticPr fontId="134" type="noConversion"/>
  </si>
  <si>
    <t>301号</t>
    <phoneticPr fontId="134" type="noConversion"/>
  </si>
  <si>
    <t>3层</t>
    <phoneticPr fontId="134" type="noConversion"/>
  </si>
  <si>
    <t>305号</t>
    <phoneticPr fontId="134" type="noConversion"/>
  </si>
  <si>
    <t>306号</t>
    <phoneticPr fontId="134" type="noConversion"/>
  </si>
  <si>
    <t>308号</t>
    <phoneticPr fontId="134" type="noConversion"/>
  </si>
  <si>
    <t>312号</t>
    <phoneticPr fontId="134" type="noConversion"/>
  </si>
  <si>
    <t>323号</t>
    <phoneticPr fontId="134" type="noConversion"/>
  </si>
  <si>
    <t>-101号</t>
    <phoneticPr fontId="134" type="noConversion"/>
  </si>
  <si>
    <r>
      <t>-</t>
    </r>
    <r>
      <rPr>
        <sz val="11"/>
        <color theme="1"/>
        <rFont val="宋体"/>
        <family val="3"/>
        <charset val="134"/>
        <scheme val="minor"/>
      </rPr>
      <t>1层</t>
    </r>
    <phoneticPr fontId="134" type="noConversion"/>
  </si>
  <si>
    <t>地下仓储</t>
    <phoneticPr fontId="134" type="noConversion"/>
  </si>
  <si>
    <t>仓储</t>
    <phoneticPr fontId="134" type="noConversion"/>
  </si>
  <si>
    <t>-102号</t>
    <phoneticPr fontId="134" type="noConversion"/>
  </si>
  <si>
    <r>
      <t>-</t>
    </r>
    <r>
      <rPr>
        <sz val="11"/>
        <color theme="1"/>
        <rFont val="宋体"/>
        <family val="3"/>
        <charset val="134"/>
        <scheme val="minor"/>
      </rPr>
      <t>1层</t>
    </r>
    <phoneticPr fontId="134" type="noConversion"/>
  </si>
  <si>
    <t>-103号</t>
    <phoneticPr fontId="134" type="noConversion"/>
  </si>
  <si>
    <t>-104号</t>
    <phoneticPr fontId="134" type="noConversion"/>
  </si>
  <si>
    <t>-105号</t>
    <phoneticPr fontId="134" type="noConversion"/>
  </si>
  <si>
    <t>-106号</t>
    <phoneticPr fontId="134" type="noConversion"/>
  </si>
  <si>
    <t>小计</t>
    <phoneticPr fontId="134" type="noConversion"/>
  </si>
  <si>
    <t>——</t>
    <phoneticPr fontId="134" type="noConversion"/>
  </si>
  <si>
    <t>西杉创意园一区2号楼</t>
    <phoneticPr fontId="134" type="noConversion"/>
  </si>
  <si>
    <t>101号</t>
    <phoneticPr fontId="134" type="noConversion"/>
  </si>
  <si>
    <t>1层</t>
    <phoneticPr fontId="134" type="noConversion"/>
  </si>
  <si>
    <t>研发工作室</t>
    <phoneticPr fontId="134" type="noConversion"/>
  </si>
  <si>
    <t>商业</t>
    <phoneticPr fontId="134" type="noConversion"/>
  </si>
  <si>
    <t>102号</t>
    <phoneticPr fontId="134" type="noConversion"/>
  </si>
  <si>
    <t>103号</t>
    <phoneticPr fontId="134" type="noConversion"/>
  </si>
  <si>
    <t>104号</t>
  </si>
  <si>
    <t>105号</t>
  </si>
  <si>
    <t>106号</t>
  </si>
  <si>
    <t>107号</t>
  </si>
  <si>
    <t>201号</t>
    <phoneticPr fontId="134" type="noConversion"/>
  </si>
  <si>
    <t>2层</t>
    <phoneticPr fontId="134" type="noConversion"/>
  </si>
  <si>
    <t>办公</t>
    <phoneticPr fontId="134" type="noConversion"/>
  </si>
  <si>
    <t>301号</t>
    <phoneticPr fontId="134" type="noConversion"/>
  </si>
  <si>
    <t>3层</t>
    <phoneticPr fontId="134" type="noConversion"/>
  </si>
  <si>
    <t>302号</t>
    <phoneticPr fontId="134" type="noConversion"/>
  </si>
  <si>
    <t>西杉创意园一区6号楼</t>
    <phoneticPr fontId="134" type="noConversion"/>
  </si>
  <si>
    <t>-1-3层</t>
    <phoneticPr fontId="134" type="noConversion"/>
  </si>
  <si>
    <t>配套公共服务设施</t>
    <phoneticPr fontId="134" type="noConversion"/>
  </si>
  <si>
    <t>电影院</t>
    <phoneticPr fontId="134" type="noConversion"/>
  </si>
  <si>
    <t>总计</t>
    <phoneticPr fontId="134" type="noConversion"/>
  </si>
  <si>
    <t>楼号</t>
    <phoneticPr fontId="134" type="noConversion"/>
  </si>
  <si>
    <t>外墙</t>
    <phoneticPr fontId="134" type="noConversion"/>
  </si>
  <si>
    <t>天棚</t>
    <phoneticPr fontId="134" type="noConversion"/>
  </si>
  <si>
    <t>内墙</t>
    <phoneticPr fontId="134" type="noConversion"/>
  </si>
  <si>
    <t>地面</t>
    <phoneticPr fontId="134" type="noConversion"/>
  </si>
  <si>
    <t>1号楼（工坊）</t>
    <phoneticPr fontId="134" type="noConversion"/>
  </si>
  <si>
    <t>装饰面幕墙、涂料</t>
    <phoneticPr fontId="134" type="noConversion"/>
  </si>
  <si>
    <t>涂料、装饰吊顶</t>
    <phoneticPr fontId="134" type="noConversion"/>
  </si>
  <si>
    <t>涂料</t>
    <phoneticPr fontId="134" type="noConversion"/>
  </si>
  <si>
    <t>木地板、地胶、地砖</t>
    <phoneticPr fontId="134" type="noConversion"/>
  </si>
  <si>
    <t>1号楼（仓储）</t>
    <phoneticPr fontId="134" type="noConversion"/>
  </si>
  <si>
    <t>水泥</t>
    <phoneticPr fontId="134" type="noConversion"/>
  </si>
  <si>
    <t>2号楼</t>
    <phoneticPr fontId="134" type="noConversion"/>
  </si>
  <si>
    <t>装饰面幕墙、墙砖</t>
    <phoneticPr fontId="134" type="noConversion"/>
  </si>
  <si>
    <t>木地板、地砖、地胶</t>
    <phoneticPr fontId="134" type="noConversion"/>
  </si>
  <si>
    <t>6号楼</t>
    <phoneticPr fontId="134" type="noConversion"/>
  </si>
  <si>
    <t>地砖、地胶</t>
    <phoneticPr fontId="134" type="noConversion"/>
  </si>
  <si>
    <t>序号</t>
    <phoneticPr fontId="134" type="noConversion"/>
  </si>
  <si>
    <t>房号</t>
  </si>
  <si>
    <t>承租方</t>
  </si>
  <si>
    <t>面积</t>
  </si>
  <si>
    <t>年租金</t>
  </si>
  <si>
    <t>单价</t>
    <phoneticPr fontId="134" type="noConversion"/>
  </si>
  <si>
    <t>一区2号楼101/102号房</t>
  </si>
  <si>
    <t>北京吉野家快餐有限公司</t>
  </si>
  <si>
    <t>一区2号楼107号房</t>
  </si>
  <si>
    <t>北京开拍文化传播有限公司</t>
  </si>
  <si>
    <t>一区2号楼103/104号房</t>
  </si>
  <si>
    <t>北京洞庭赋餐饮管理有限责任公司</t>
  </si>
  <si>
    <t>一区2号楼105/106</t>
  </si>
  <si>
    <t>北京西部马华餐饮有限公司巨山分店</t>
  </si>
  <si>
    <t>B-113</t>
  </si>
  <si>
    <t>北京布言布语服饰文化艺术有限公司</t>
  </si>
  <si>
    <t>一区1号楼135-2</t>
  </si>
  <si>
    <t>北京艾格尼科酒业有限公司</t>
  </si>
  <si>
    <t>一区1号楼323号房</t>
  </si>
  <si>
    <t>都市更新（北京）控股集团有限公司</t>
  </si>
  <si>
    <t>一区1号楼二层208-1,208-2</t>
  </si>
  <si>
    <t>景成金石控股有限公司</t>
  </si>
  <si>
    <t>一区1号楼三层301-1,301-2</t>
  </si>
  <si>
    <t>韩冬冬</t>
  </si>
  <si>
    <t>北京福合兴餐饮管理有限公司</t>
  </si>
  <si>
    <t>北京玥华美容美发有限公司</t>
  </si>
  <si>
    <t>一区4号楼114、117</t>
  </si>
  <si>
    <t>金石艺馨（北京）体育文化发展有限公司</t>
  </si>
  <si>
    <t>一区4号楼107东侧、108、109、110、204、303</t>
  </si>
  <si>
    <t>西山公司出租房屋明细表（截止2023.2.24）</t>
    <phoneticPr fontId="3" type="noConversion"/>
  </si>
  <si>
    <t>序号</t>
    <phoneticPr fontId="3" type="noConversion"/>
  </si>
  <si>
    <t>房号</t>
    <phoneticPr fontId="3" type="noConversion"/>
  </si>
  <si>
    <t>承租方</t>
    <phoneticPr fontId="3" type="noConversion"/>
  </si>
  <si>
    <t>面积</t>
    <phoneticPr fontId="3" type="noConversion"/>
  </si>
  <si>
    <t>年租金</t>
    <phoneticPr fontId="3" type="noConversion"/>
  </si>
  <si>
    <t>汇入银行</t>
    <phoneticPr fontId="247" type="noConversion"/>
  </si>
  <si>
    <t>F2-101</t>
    <phoneticPr fontId="3" type="noConversion"/>
  </si>
  <si>
    <t>麦当劳</t>
    <phoneticPr fontId="3" type="noConversion"/>
  </si>
  <si>
    <t>F2-3-104/105/106/203</t>
    <phoneticPr fontId="3" type="noConversion"/>
  </si>
  <si>
    <t>眉州东坡</t>
    <phoneticPr fontId="3" type="noConversion"/>
  </si>
  <si>
    <t>F2-3-203东侧通道及南侧阳台</t>
    <phoneticPr fontId="3" type="noConversion"/>
  </si>
  <si>
    <t>F2-3地下室（补充）</t>
    <phoneticPr fontId="3" type="noConversion"/>
  </si>
  <si>
    <t>F2-3-104东侧门厅</t>
    <phoneticPr fontId="3" type="noConversion"/>
  </si>
  <si>
    <t>F2-4-107</t>
    <phoneticPr fontId="3" type="noConversion"/>
  </si>
  <si>
    <t>星巴克</t>
    <phoneticPr fontId="3" type="noConversion"/>
  </si>
  <si>
    <t>一区4号楼201</t>
    <phoneticPr fontId="247" type="noConversion"/>
  </si>
  <si>
    <t>北京海融慧泽教育科技发展有限公司</t>
    <phoneticPr fontId="247" type="noConversion"/>
  </si>
  <si>
    <t>北京银行</t>
    <phoneticPr fontId="247" type="noConversion"/>
  </si>
  <si>
    <t>一区4号楼111/112</t>
    <phoneticPr fontId="247" type="noConversion"/>
  </si>
  <si>
    <t>北京梦想蜂连锁商业有限公司</t>
    <phoneticPr fontId="247" type="noConversion"/>
  </si>
  <si>
    <t>一区4号楼F2-4-B1部分地下室</t>
    <phoneticPr fontId="247" type="noConversion"/>
  </si>
  <si>
    <t>北京西部马华餐饮有限公司巨山分店</t>
    <phoneticPr fontId="247" type="noConversion"/>
  </si>
  <si>
    <t>F2-4-303南侧、F2-5-304、F2-6-305部分</t>
    <phoneticPr fontId="247" type="noConversion"/>
  </si>
  <si>
    <t>北京师德凯艺教育科技有限公司</t>
    <phoneticPr fontId="247" type="noConversion"/>
  </si>
  <si>
    <t>一区4号楼202/301号房</t>
    <phoneticPr fontId="247" type="noConversion"/>
  </si>
  <si>
    <t>北京福合埕餐饮管理有限公司餐饮二分店</t>
    <phoneticPr fontId="247" type="noConversion"/>
  </si>
  <si>
    <t>F2-2-B1地下室局部</t>
    <phoneticPr fontId="247" type="noConversion"/>
  </si>
  <si>
    <t>一区4号楼115号房</t>
    <phoneticPr fontId="247" type="noConversion"/>
  </si>
  <si>
    <t>一区4号楼116</t>
    <phoneticPr fontId="247" type="noConversion"/>
  </si>
  <si>
    <t>北京国际酒类交易所有限公司</t>
    <phoneticPr fontId="247" type="noConversion"/>
  </si>
  <si>
    <t>一区4号楼206西侧</t>
    <phoneticPr fontId="247" type="noConversion"/>
  </si>
  <si>
    <t>一区4号楼205</t>
    <phoneticPr fontId="247" type="noConversion"/>
  </si>
  <si>
    <t>北京快乐鸟摄影有限责任公司</t>
    <phoneticPr fontId="247" type="noConversion"/>
  </si>
  <si>
    <t>一区4号楼206东侧</t>
    <phoneticPr fontId="247" type="noConversion"/>
  </si>
  <si>
    <t>一区4号楼302号房</t>
    <phoneticPr fontId="247" type="noConversion"/>
  </si>
  <si>
    <t>北京爱悦容颜健康管理有限公司</t>
    <phoneticPr fontId="247" type="noConversion"/>
  </si>
  <si>
    <t>一区4号楼F2-4号楼地下一层部分</t>
    <phoneticPr fontId="247" type="noConversion"/>
  </si>
  <si>
    <t>北京洞庭赋餐饮管理有限责任公司</t>
    <phoneticPr fontId="247" type="noConversion"/>
  </si>
  <si>
    <t>一区4号楼102号</t>
    <phoneticPr fontId="247" type="noConversion"/>
  </si>
  <si>
    <t>中国建设银行股份有限公司北京市分行</t>
    <phoneticPr fontId="247" type="noConversion"/>
  </si>
  <si>
    <t>北京清大设迹科技有限公司</t>
    <phoneticPr fontId="247" type="noConversion"/>
  </si>
  <si>
    <t>一区2号楼101/102号房</t>
    <phoneticPr fontId="247" type="noConversion"/>
  </si>
  <si>
    <t>北京吉野家快餐有限公司</t>
    <phoneticPr fontId="247" type="noConversion"/>
  </si>
  <si>
    <t>一区2号楼107号房</t>
    <phoneticPr fontId="247" type="noConversion"/>
  </si>
  <si>
    <t>北京开拍文化传播有限公司</t>
    <phoneticPr fontId="247" type="noConversion"/>
  </si>
  <si>
    <t>一区2号楼103/104号房</t>
    <phoneticPr fontId="247" type="noConversion"/>
  </si>
  <si>
    <t>一区2号楼105/106</t>
    <phoneticPr fontId="247" type="noConversion"/>
  </si>
  <si>
    <t>B-113</t>
    <phoneticPr fontId="247" type="noConversion"/>
  </si>
  <si>
    <t>北京布言布语服饰文化艺术有限公司</t>
    <phoneticPr fontId="247" type="noConversion"/>
  </si>
  <si>
    <t>一区1号楼135-2</t>
    <phoneticPr fontId="247" type="noConversion"/>
  </si>
  <si>
    <t>北京艾格尼科酒业有限公司</t>
    <phoneticPr fontId="247" type="noConversion"/>
  </si>
  <si>
    <t>一区1号楼323号房</t>
    <phoneticPr fontId="247" type="noConversion"/>
  </si>
  <si>
    <t>一区1号楼二层208-1,208-2</t>
    <phoneticPr fontId="247" type="noConversion"/>
  </si>
  <si>
    <t>景成金石控股有限公司</t>
    <phoneticPr fontId="247" type="noConversion"/>
  </si>
  <si>
    <t>一区1号楼三层301-1,301-2</t>
    <phoneticPr fontId="247" type="noConversion"/>
  </si>
  <si>
    <t>韩冬冬</t>
    <phoneticPr fontId="247" type="noConversion"/>
  </si>
  <si>
    <t>一区9幢-0102号房屋</t>
    <phoneticPr fontId="247"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</si>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</sst>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20"/>
      <color theme="1"/>
      <name val="宋体"/>
      <family val="3"/>
      <charset val="134"/>
      <scheme val="minor"/>
    </font>
    <font>
      <sz val="20"/>
      <color theme="1"/>
      <name val="宋体"/>
      <family val="3"/>
      <charset val="134"/>
      <scheme val="minor"/>
    </font>
    <font>
      <sz val="20"/>
      <color indexed="8"/>
      <name val="宋体"/>
      <family val="3"/>
      <charset val="134"/>
    </font>
    <font>
      <b/>
      <sz val="22"/>
      <color indexed="81"/>
      <name val="宋体"/>
      <family val="3"/>
      <charset val="134"/>
    </font>
    <font>
      <sz val="22"/>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43" fontId="128" fillId="0" borderId="0" applyFont="0" applyFill="0" applyBorder="0" applyAlignment="0" applyProtection="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5" fillId="0" borderId="1" xfId="0" applyFont="1" applyBorder="1">
      <alignment vertical="center"/>
    </xf>
    <xf numFmtId="0" fontId="95" fillId="0" borderId="13" xfId="0" applyFont="1" applyBorder="1" applyAlignment="1">
      <alignment vertical="center" wrapText="1"/>
    </xf>
    <xf numFmtId="0" fontId="0" fillId="0" borderId="1" xfId="0" applyBorder="1">
      <alignment vertical="center"/>
    </xf>
    <xf numFmtId="0" fontId="0" fillId="0" borderId="15" xfId="0" applyBorder="1" applyAlignment="1">
      <alignment vertical="center" wrapText="1"/>
    </xf>
    <xf numFmtId="0" fontId="95" fillId="0" borderId="0" xfId="0" applyFont="1">
      <alignment vertical="center"/>
    </xf>
    <xf numFmtId="49" fontId="95" fillId="0" borderId="1" xfId="0" applyNumberFormat="1" applyFont="1" applyBorder="1">
      <alignment vertical="center"/>
    </xf>
    <xf numFmtId="0" fontId="0" fillId="0" borderId="2" xfId="0" applyBorder="1" applyAlignment="1">
      <alignment vertical="center" wrapText="1"/>
    </xf>
    <xf numFmtId="0" fontId="95" fillId="0" borderId="1" xfId="0" applyFont="1" applyBorder="1" applyAlignment="1">
      <alignment vertical="center" wrapText="1"/>
    </xf>
    <xf numFmtId="0" fontId="95" fillId="0" borderId="1" xfId="0" applyFont="1" applyFill="1" applyBorder="1">
      <alignment vertical="center"/>
    </xf>
    <xf numFmtId="0" fontId="270" fillId="7" borderId="60" xfId="1" applyFont="1" applyFill="1" applyBorder="1" applyAlignment="1">
      <alignment horizontal="center" vertical="center"/>
    </xf>
    <xf numFmtId="0" fontId="271" fillId="7" borderId="0" xfId="1" applyFont="1" applyFill="1">
      <alignment vertical="center"/>
    </xf>
    <xf numFmtId="0" fontId="270" fillId="7" borderId="1" xfId="1" applyFont="1" applyFill="1" applyBorder="1" applyAlignment="1">
      <alignment horizontal="center" vertical="center"/>
    </xf>
    <xf numFmtId="0" fontId="270" fillId="7" borderId="1" xfId="1" applyFont="1" applyFill="1" applyBorder="1" applyAlignment="1">
      <alignment horizontal="center" vertical="center" wrapText="1"/>
    </xf>
    <xf numFmtId="43" fontId="270" fillId="7" borderId="1" xfId="20" applyFont="1" applyFill="1" applyBorder="1" applyAlignment="1">
      <alignment horizontal="center" vertical="center" wrapText="1"/>
    </xf>
    <xf numFmtId="0" fontId="270" fillId="7" borderId="0" xfId="1" applyFont="1" applyFill="1" applyAlignment="1">
      <alignment horizontal="center" vertical="center"/>
    </xf>
    <xf numFmtId="0" fontId="271" fillId="0" borderId="1" xfId="1" applyFont="1" applyFill="1" applyBorder="1" applyAlignment="1">
      <alignment horizontal="center" vertical="center"/>
    </xf>
    <xf numFmtId="0" fontId="271" fillId="7" borderId="1" xfId="1" applyFont="1" applyFill="1" applyBorder="1" applyAlignment="1">
      <alignment horizontal="center" vertical="center"/>
    </xf>
    <xf numFmtId="0" fontId="271" fillId="0" borderId="1" xfId="1" applyFont="1" applyFill="1" applyBorder="1" applyAlignment="1">
      <alignment vertical="center" wrapText="1"/>
    </xf>
    <xf numFmtId="43" fontId="271" fillId="7" borderId="1" xfId="20" applyFont="1" applyFill="1" applyBorder="1" applyAlignment="1">
      <alignment horizontal="center" vertical="center"/>
    </xf>
    <xf numFmtId="0" fontId="271" fillId="0" borderId="1" xfId="1" applyFont="1" applyFill="1" applyBorder="1">
      <alignment vertical="center"/>
    </xf>
    <xf numFmtId="0" fontId="271" fillId="0" borderId="0" xfId="1" applyFont="1" applyFill="1">
      <alignment vertical="center"/>
    </xf>
    <xf numFmtId="0" fontId="272" fillId="7" borderId="1" xfId="1" applyFont="1" applyFill="1" applyBorder="1" applyAlignment="1">
      <alignment horizontal="center" vertical="center" wrapText="1"/>
    </xf>
    <xf numFmtId="0" fontId="272" fillId="0" borderId="3" xfId="1" applyFont="1" applyFill="1" applyBorder="1" applyAlignment="1">
      <alignment horizontal="center" vertical="center" wrapText="1"/>
    </xf>
    <xf numFmtId="0" fontId="272" fillId="0" borderId="1" xfId="1" applyFont="1" applyFill="1" applyBorder="1" applyAlignment="1">
      <alignment horizontal="center" vertical="center" wrapText="1"/>
    </xf>
    <xf numFmtId="43" fontId="271" fillId="0" borderId="1" xfId="20" applyFont="1" applyFill="1" applyBorder="1" applyAlignment="1">
      <alignment horizontal="center" vertical="center"/>
    </xf>
    <xf numFmtId="0" fontId="272" fillId="7" borderId="3" xfId="1" applyFont="1" applyFill="1" applyBorder="1" applyAlignment="1">
      <alignment horizontal="center" vertical="center" wrapText="1"/>
    </xf>
    <xf numFmtId="0" fontId="272" fillId="0" borderId="1" xfId="1" applyFont="1" applyFill="1" applyBorder="1" applyAlignment="1">
      <alignment vertical="center" wrapText="1"/>
    </xf>
    <xf numFmtId="0" fontId="271" fillId="0" borderId="3" xfId="1" applyFont="1" applyFill="1" applyBorder="1" applyAlignment="1">
      <alignment horizontal="center" vertical="center"/>
    </xf>
    <xf numFmtId="43" fontId="271" fillId="0" borderId="1" xfId="20" applyFont="1" applyFill="1" applyBorder="1" applyAlignment="1">
      <alignment horizontal="center" vertical="center" wrapText="1"/>
    </xf>
    <xf numFmtId="0" fontId="271" fillId="5" borderId="1" xfId="1" applyFont="1" applyFill="1" applyBorder="1" applyAlignment="1">
      <alignment horizontal="center" vertical="center"/>
    </xf>
    <xf numFmtId="0" fontId="271" fillId="5" borderId="3" xfId="1" applyFont="1" applyFill="1" applyBorder="1" applyAlignment="1">
      <alignment horizontal="center" vertical="center"/>
    </xf>
    <xf numFmtId="0" fontId="271" fillId="5" borderId="1" xfId="1" applyFont="1" applyFill="1" applyBorder="1" applyAlignment="1">
      <alignment vertical="center" wrapText="1"/>
    </xf>
    <xf numFmtId="43" fontId="271" fillId="5" borderId="1" xfId="20" applyFont="1" applyFill="1" applyBorder="1" applyAlignment="1">
      <alignment horizontal="center" vertical="center" wrapText="1"/>
    </xf>
    <xf numFmtId="0" fontId="271" fillId="5" borderId="1" xfId="1" applyFont="1" applyFill="1" applyBorder="1">
      <alignment vertical="center"/>
    </xf>
    <xf numFmtId="0" fontId="271" fillId="5" borderId="0" xfId="1" applyFont="1" applyFill="1">
      <alignment vertical="center"/>
    </xf>
    <xf numFmtId="43" fontId="271" fillId="0" borderId="0" xfId="1" applyNumberFormat="1" applyFont="1" applyFill="1">
      <alignment vertical="center"/>
    </xf>
    <xf numFmtId="196" fontId="271" fillId="0" borderId="0" xfId="1" applyNumberFormat="1" applyFont="1" applyFill="1">
      <alignment vertical="center"/>
    </xf>
    <xf numFmtId="0" fontId="272" fillId="5" borderId="1" xfId="1" applyFont="1" applyFill="1" applyBorder="1" applyAlignment="1">
      <alignment vertical="center" wrapText="1"/>
    </xf>
    <xf numFmtId="0" fontId="271" fillId="7" borderId="1" xfId="1" applyFont="1" applyFill="1" applyBorder="1">
      <alignment vertical="center"/>
    </xf>
    <xf numFmtId="0" fontId="271" fillId="7" borderId="1" xfId="1" applyFont="1" applyFill="1" applyBorder="1" applyAlignment="1">
      <alignment vertical="center" wrapText="1"/>
    </xf>
    <xf numFmtId="43" fontId="271" fillId="7" borderId="1" xfId="19" applyFont="1" applyFill="1" applyBorder="1" applyAlignment="1">
      <alignment horizontal="center" vertical="center"/>
    </xf>
    <xf numFmtId="0" fontId="271" fillId="7" borderId="0" xfId="1" applyFont="1" applyFill="1" applyAlignment="1">
      <alignment horizontal="center" vertical="center"/>
    </xf>
    <xf numFmtId="0" fontId="271" fillId="7" borderId="0" xfId="1" applyFont="1" applyFill="1" applyAlignment="1">
      <alignment vertical="center" wrapText="1"/>
    </xf>
    <xf numFmtId="43" fontId="271" fillId="7" borderId="0" xfId="20" applyFont="1" applyFill="1" applyAlignment="1">
      <alignment horizontal="center"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276226</xdr:colOff>
      <xdr:row>0</xdr:row>
      <xdr:rowOff>123824</xdr:rowOff>
    </xdr:from>
    <xdr:to>
      <xdr:col>9</xdr:col>
      <xdr:colOff>416762</xdr:colOff>
      <xdr:row>19</xdr:row>
      <xdr:rowOff>38099</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6" y="123824"/>
          <a:ext cx="6312736" cy="3171825"/>
        </a:xfrm>
        <a:prstGeom prst="rect">
          <a:avLst/>
        </a:prstGeom>
      </xdr:spPr>
    </xdr:pic>
    <xdr:clientData/>
  </xdr:twoCellAnchor>
  <xdr:twoCellAnchor editAs="oneCell">
    <xdr:from>
      <xdr:col>0</xdr:col>
      <xdr:colOff>342901</xdr:colOff>
      <xdr:row>19</xdr:row>
      <xdr:rowOff>123825</xdr:rowOff>
    </xdr:from>
    <xdr:to>
      <xdr:col>10</xdr:col>
      <xdr:colOff>647701</xdr:colOff>
      <xdr:row>41</xdr:row>
      <xdr:rowOff>101532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1" y="3381375"/>
          <a:ext cx="7162800" cy="3749607"/>
        </a:xfrm>
        <a:prstGeom prst="rect">
          <a:avLst/>
        </a:prstGeom>
      </xdr:spPr>
    </xdr:pic>
    <xdr:clientData/>
  </xdr:twoCellAnchor>
  <xdr:twoCellAnchor editAs="oneCell">
    <xdr:from>
      <xdr:col>0</xdr:col>
      <xdr:colOff>295276</xdr:colOff>
      <xdr:row>41</xdr:row>
      <xdr:rowOff>161925</xdr:rowOff>
    </xdr:from>
    <xdr:to>
      <xdr:col>10</xdr:col>
      <xdr:colOff>542925</xdr:colOff>
      <xdr:row>62</xdr:row>
      <xdr:rowOff>144380</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6" y="7191375"/>
          <a:ext cx="7105649" cy="358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6441;&#21019;&#24847;&#22253;-&#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租约"/>
      <sheetName val="数据-汇总表"/>
      <sheetName val="数据-取费表"/>
      <sheetName val="估价对象房地状况"/>
      <sheetName val="系统读取表"/>
      <sheetName val="成本法"/>
      <sheetName val="成本法 (元)"/>
      <sheetName val="假设开发法"/>
      <sheetName val="结果表（1号楼）"/>
      <sheetName val="比较法-办公（1号楼）"/>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2号楼）"/>
      <sheetName val="比较法-办公（2号楼）"/>
      <sheetName val="收益法(2号楼)"/>
      <sheetName val="结果表（6号楼）"/>
      <sheetName val="比较法-办公（6号楼）"/>
      <sheetName val="收益法(6号楼)"/>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269.8</v>
          </cell>
        </row>
        <row r="4">
          <cell r="E4">
            <v>215.03</v>
          </cell>
        </row>
        <row r="5">
          <cell r="E5">
            <v>224.17</v>
          </cell>
        </row>
        <row r="6">
          <cell r="E6">
            <v>187.72</v>
          </cell>
        </row>
        <row r="7">
          <cell r="E7">
            <v>293.47000000000003</v>
          </cell>
        </row>
        <row r="8">
          <cell r="E8">
            <v>226.49</v>
          </cell>
        </row>
        <row r="9">
          <cell r="E9">
            <v>221.13</v>
          </cell>
        </row>
        <row r="10">
          <cell r="E10">
            <v>167.82</v>
          </cell>
        </row>
        <row r="11">
          <cell r="E11">
            <v>167.69</v>
          </cell>
        </row>
        <row r="12">
          <cell r="E12">
            <v>225.82</v>
          </cell>
        </row>
        <row r="13">
          <cell r="E13">
            <v>168</v>
          </cell>
        </row>
        <row r="14">
          <cell r="E14">
            <v>178.61</v>
          </cell>
        </row>
        <row r="15">
          <cell r="E15">
            <v>1141.4100000000001</v>
          </cell>
        </row>
        <row r="16">
          <cell r="E16">
            <v>85.01</v>
          </cell>
        </row>
        <row r="17">
          <cell r="E17">
            <v>15.01</v>
          </cell>
        </row>
        <row r="18">
          <cell r="E18">
            <v>58.74</v>
          </cell>
        </row>
        <row r="19">
          <cell r="E19">
            <v>15.32</v>
          </cell>
        </row>
        <row r="20">
          <cell r="E20">
            <v>58.74</v>
          </cell>
        </row>
        <row r="21">
          <cell r="E21">
            <v>34.64</v>
          </cell>
        </row>
        <row r="23">
          <cell r="E23">
            <v>97.61</v>
          </cell>
        </row>
        <row r="24">
          <cell r="E24">
            <v>491.05</v>
          </cell>
        </row>
        <row r="25">
          <cell r="E25">
            <v>393.1</v>
          </cell>
        </row>
        <row r="26">
          <cell r="E26">
            <v>417.14</v>
          </cell>
        </row>
        <row r="27">
          <cell r="E27">
            <v>374.6</v>
          </cell>
        </row>
        <row r="28">
          <cell r="E28">
            <v>356.35</v>
          </cell>
        </row>
        <row r="29">
          <cell r="E29">
            <v>829.82</v>
          </cell>
        </row>
        <row r="30">
          <cell r="E30">
            <v>46.29</v>
          </cell>
        </row>
        <row r="31">
          <cell r="E31">
            <v>113.35</v>
          </cell>
        </row>
        <row r="32">
          <cell r="E32">
            <v>52.62</v>
          </cell>
        </row>
        <row r="34">
          <cell r="M34">
            <v>1807.03</v>
          </cell>
        </row>
        <row r="35">
          <cell r="M35">
            <v>700.13</v>
          </cell>
        </row>
        <row r="36">
          <cell r="M36">
            <v>211.25</v>
          </cell>
        </row>
        <row r="37">
          <cell r="M37">
            <v>423.71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海淀区西杉创意园一区1、2、6号楼房地产抵押价值预评估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受贵公司委托，我公司对海淀区西杉创意园一区1、2、6号楼房地产抵押价值进行了预评估。</v>
      </c>
    </row>
    <row r="7" spans="1:2" s="1203" customFormat="1">
      <c r="A7" s="1201" t="s">
        <v>566</v>
      </c>
      <c r="B7" s="1202" t="str">
        <f>'预评函-1'!A7</f>
        <v>估价对象为海淀区西杉创意园一区1、2、6号楼房地产，为所有。根据《国有土地使用证》[]，估价对象（分摊）出让国有建设用地使用权面积为0平方米，建筑面积为10268.67平方米。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海淀区西杉创意园一区1、2、6号楼房地产,属开发建设的，该项目尚在开发建设中。根据《国有土地使用证》[]，估价对象（分摊）出让国有建设用地使用权面积为0平方米，规划建筑面积为10268.67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海淀区西杉创意园一区1、2、6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2024年1月18日</v>
      </c>
    </row>
    <row r="13" spans="1:2" s="1203" customFormat="1">
      <c r="A13" s="1201" t="s">
        <v>529</v>
      </c>
      <c r="B13" s="1202"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31379</v>
      </c>
    </row>
    <row r="21" spans="1:2" s="1203" customFormat="1">
      <c r="A21" s="1201" t="s">
        <v>537</v>
      </c>
      <c r="B21" s="1202">
        <f ca="1">'预评函-2'!D7</f>
        <v>30558</v>
      </c>
    </row>
    <row r="22" spans="1:2" s="1203" customFormat="1">
      <c r="A22" s="1201" t="s">
        <v>538</v>
      </c>
      <c r="B22" s="1202" t="str">
        <f ca="1">'预评函-2'!D6</f>
        <v>叁亿壹仟叁佰柒拾玖万元整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31379</v>
      </c>
    </row>
    <row r="31" spans="1:2" s="1203" customFormat="1">
      <c r="A31" s="1201" t="s">
        <v>576</v>
      </c>
      <c r="B31" s="1202">
        <f ca="1">'预评函-2'!D15</f>
        <v>30558</v>
      </c>
    </row>
    <row r="32" spans="1:2" s="1203" customFormat="1">
      <c r="A32" s="1201" t="s">
        <v>543</v>
      </c>
      <c r="B32" s="1202" t="str">
        <f ca="1">'预评函-2'!D14</f>
        <v>叁亿壹仟叁佰柒拾玖万元整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海淀区西杉创意园一区1、2、6号楼房地产</v>
      </c>
    </row>
    <row r="42" spans="1:2" s="1203" customFormat="1">
      <c r="A42" s="1201" t="s">
        <v>590</v>
      </c>
      <c r="B42" s="1202" t="str">
        <f>'预评函-3'!B2</f>
        <v>建筑面积</v>
      </c>
    </row>
    <row r="43" spans="1:2" s="1203" customFormat="1">
      <c r="A43" s="1201" t="s">
        <v>591</v>
      </c>
      <c r="B43" s="1202">
        <f>'预评函-3'!B4</f>
        <v>10268.67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淀区西杉创意园一区1、2、6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45309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2.92</v>
      </c>
      <c r="D5" s="3025">
        <f>IF(ISERROR(ROUND(POWER(1+E5,A5-C5)*(POWER(1+E5,C5)-1)/(POWER(1+E5,A5)-1),3)),0,ROUND(POWER(1+E5,A5-C5)*(POWER(1+E5,C5)-1)/(POWER(1+E5,A5)-1),4))</f>
        <v>0.13669999999999999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12.92</v>
      </c>
      <c r="D6" s="3025">
        <f>IF(ISERROR(ROUND(POWER(1+E6,A6-C6)*(POWER(1+E6,C6)-1)/(POWER(1+E6,A6)-1),3)),0,ROUND(POWER(1+E6,A6-C6)*(POWER(1+E6,C6)-1)/(POWER(1+E6,A6)-1),4))</f>
        <v>0.46260000000000001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32.94</v>
      </c>
      <c r="D7" s="3025">
        <f>IF(ISERROR(ROUND(POWER(1+E7,A7-C7)*(POWER(1+E7,C7)-1)/(POWER(1+E7,A7)-1),3)),0,ROUND(POWER(1+E7,A7-C7)*(POWER(1+E7,C7)-1)/(POWER(1+E7,A7)-1),4))</f>
        <v>0.77500000000000002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K16" sqref="K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海淀区西杉创意园一区1、2、6号楼房地产抵押价值预评估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海淀区西杉创意园一区1、2、6号楼房地产抵押价值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海淀区西杉创意园一区1、2、6号楼房地产</v>
      </c>
      <c r="T2" s="1745"/>
      <c r="U2" s="1745"/>
      <c r="V2" s="1745"/>
      <c r="W2" s="1745"/>
      <c r="X2" s="1745"/>
      <c r="Y2" s="1745"/>
      <c r="Z2" s="1745"/>
      <c r="AA2" s="1745"/>
      <c r="AB2" s="1745"/>
    </row>
    <row r="3" spans="1:30">
      <c r="A3" s="302" t="s">
        <v>2170</v>
      </c>
      <c r="B3" s="2373"/>
      <c r="C3" s="2374" t="s">
        <v>2171</v>
      </c>
      <c r="D3" s="2373">
        <v>45309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3385</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57131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32.380000000000003</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10268.67</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10268.67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10268.67</v>
      </c>
      <c r="H5" s="13">
        <f t="shared" ref="H5:AT5" si="0">SUM(H13:H656)</f>
        <v>10268.67</v>
      </c>
      <c r="I5" s="13">
        <f t="shared" si="0"/>
        <v>5234.51</v>
      </c>
      <c r="J5" s="13">
        <f t="shared" si="0"/>
        <v>0</v>
      </c>
      <c r="K5" s="13">
        <f t="shared" si="0"/>
        <v>2959.67</v>
      </c>
      <c r="L5" s="13">
        <f t="shared" si="0"/>
        <v>0</v>
      </c>
      <c r="M5" s="13">
        <f t="shared" si="0"/>
        <v>2074.4899999999998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10268.67</v>
      </c>
      <c r="BA5" s="15">
        <f t="shared" si="1"/>
        <v>10268.67</v>
      </c>
      <c r="BB5" s="15">
        <f t="shared" si="1"/>
        <v>5234.51</v>
      </c>
      <c r="BC5" s="15">
        <f t="shared" si="1"/>
        <v>2959.67</v>
      </c>
      <c r="BD5" s="15">
        <f t="shared" si="1"/>
        <v>2074.4899999999998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t="s">
        <v>3389</v>
      </c>
      <c r="L9" s="809"/>
      <c r="M9" s="1603" t="s">
        <v>3392</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t="s">
        <v>3338</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3390</v>
      </c>
      <c r="J11" s="1615"/>
      <c r="K11" s="1614" t="s">
        <v>3391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仓储</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底商</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3386</v>
      </c>
      <c r="D13" s="1625" t="s">
        <v>3393</v>
      </c>
      <c r="E13" s="13">
        <f>IF($C$3="是",ROUND($A$3*G13/$B$3,2),ROUND($A$3*(G13-AT13)/$B$3,2))</f>
        <v>0</v>
      </c>
      <c r="F13" s="29"/>
      <c r="G13" s="30">
        <f>H13+AC13+AT13</f>
        <v>3954.62</v>
      </c>
      <c r="H13" s="17">
        <f>SUMIF(I$12:AB$12,"总值",I13:AB13)</f>
        <v>3954.62</v>
      </c>
      <c r="I13" s="1626">
        <f>SUM([2]抵押物清单!E3:E15)</f>
        <v>3687.16</v>
      </c>
      <c r="J13" s="1626"/>
      <c r="K13" s="1626"/>
      <c r="L13" s="1626"/>
      <c r="M13" s="1626">
        <f>SUM([2]抵押物清单!E16:E21)</f>
        <v>267.46000000000004</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0</v>
      </c>
      <c r="AZ13" s="13">
        <f>BA13+BL13</f>
        <v>3954.62</v>
      </c>
      <c r="BA13" s="13">
        <f>SUM(BB13:BK13)</f>
        <v>3954.62</v>
      </c>
      <c r="BB13" s="13">
        <f>IF($D13="是",I13-J13,0)</f>
        <v>3687.16</v>
      </c>
      <c r="BC13" s="13">
        <f>IF($D13="是",K13-L13,0)</f>
        <v>0</v>
      </c>
      <c r="BD13" s="13">
        <f>IF($D13="是",M13-N13,0)</f>
        <v>267.46000000000004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3387</v>
      </c>
      <c r="D14" s="1625" t="s">
        <v>3393</v>
      </c>
      <c r="E14" s="13">
        <f>IF($C$3="是",ROUND($A$3*G14/$B$3,2),ROUND($A$3*(G14-AT14)/$B$3,2))</f>
        <v>0</v>
      </c>
      <c r="F14" s="29"/>
      <c r="G14" s="30">
        <f>H14+AC14+AT14</f>
        <v>3171.9300000000003</v>
      </c>
      <c r="H14" s="17">
        <f>SUMIF(I$12:AB$12,"总值",I14:AB14)</f>
        <v>3171.9300000000003</v>
      </c>
      <c r="I14" s="1626">
        <f>SUM([2]抵押物清单!E30:E32)</f>
        <v>212.26</v>
      </c>
      <c r="J14" s="1626"/>
      <c r="K14" s="1626">
        <f>SUM([2]抵押物清单!E23:E29)</f>
        <v>2959.67</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0</v>
      </c>
      <c r="AZ14" s="13">
        <f>BA14+BL14</f>
        <v>3171.9300000000003</v>
      </c>
      <c r="BA14" s="13">
        <f>SUM(BB14:BK14)</f>
        <v>3171.9300000000003</v>
      </c>
      <c r="BB14" s="13">
        <f>IF($D14="是",I14-J14,0)</f>
        <v>212.26</v>
      </c>
      <c r="BC14" s="13">
        <f>IF($D14="是",K14-L14,0)</f>
        <v>2959.67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3393</v>
      </c>
      <c r="E15" s="13">
        <f>IF($C$3="是",ROUND($A$3*G15/$B$3,2),ROUND($A$3*(G15-AT15)/$B$3,2))</f>
        <v>0</v>
      </c>
      <c r="F15" s="29"/>
      <c r="G15" s="30">
        <f>H15+AC15+AT15</f>
        <v>3142.12</v>
      </c>
      <c r="H15" s="17">
        <f>SUMIF(I$12:AB$12,"总值",I15:AB15)</f>
        <v>3142.12</v>
      </c>
      <c r="I15" s="1626">
        <f>[2]抵押物清单!M35+[2]抵押物清单!M36+[2]抵押物清单!M37</f>
        <v>1335.09</v>
      </c>
      <c r="J15" s="1626"/>
      <c r="K15" s="1626"/>
      <c r="L15" s="1626"/>
      <c r="M15" s="1626">
        <f>[2]抵押物清单!M34</f>
        <v>1807.03</v>
      </c>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6号楼</v>
      </c>
      <c r="AY15" s="1349">
        <f>ROUND($AY$6*AZ15/$AZ$5,2)</f>
        <v>0</v>
      </c>
      <c r="AZ15" s="13">
        <f>BA15+BL15</f>
        <v>3142.12</v>
      </c>
      <c r="BA15" s="13">
        <f>SUM(BB15:BK15)</f>
        <v>3142.12</v>
      </c>
      <c r="BB15" s="13">
        <f>IF($D15="是",I15-J15,0)</f>
        <v>1335.09</v>
      </c>
      <c r="BC15" s="13">
        <f>IF($D15="是",K15-L15,0)</f>
        <v>0</v>
      </c>
      <c r="BD15" s="13">
        <f>IF($D15="是",M15-N15,0)</f>
        <v>1807.03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10268.67</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10268.67</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8194.18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2074.4899999999998</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10268.67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10268.67</v>
      </c>
      <c r="F19" s="2795">
        <f>'数据-基础表'!I5+'数据-基础表'!K5</f>
        <v>8194.18</v>
      </c>
      <c r="G19" s="2796">
        <f>'数据-基础表'!M5</f>
        <v>2074.4899999999998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10268.67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10268.67</v>
      </c>
      <c r="F27" s="1140">
        <f>IF(SUM(F19:F26)=E8,SUM(F19:F26),"地上面积有误")</f>
        <v>8194.18</v>
      </c>
      <c r="G27" s="1142">
        <f>SUM(G19:G26)</f>
        <v>2074.4899999999998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10268.67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10268.67</v>
      </c>
      <c r="F31" s="677">
        <f>F27+F30</f>
        <v>8194.18</v>
      </c>
      <c r="G31" s="678">
        <f>G27+G30</f>
        <v>2074.4899999999998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1、2、6号楼</v>
      </c>
      <c r="B6" s="1713" t="str">
        <f>IF(A6=0,"","经营性")</f>
        <v>经营性</v>
      </c>
      <c r="C6" s="1714" t="s">
        <v>3</v>
      </c>
      <c r="D6" s="858">
        <f>SUMIF(项目基本情况!C$12:I$12,C6,项目基本情况!C$14:I$14)</f>
        <v>50</v>
      </c>
      <c r="E6" s="857">
        <f>IF(B6="","",SUMIF(项目基本情况!C$12:I$12,C6,项目基本情况!C$13:I$13))</f>
        <v>57131</v>
      </c>
      <c r="F6" s="64">
        <f>SUMIF(项目基本情况!C$12:I$12,C6,项目基本情况!C$15:I$15)</f>
        <v>32.380000000000003</v>
      </c>
      <c r="G6" s="65">
        <f>IF(ISERROR(ROUND(POWER(1+H6,D6-F6)*(POWER(1+H6,F6)-1)/(POWER(1+H6,D6)-1),3)),0,ROUND(POWER(1+H6,D6-F6)*(POWER(1+H6,F6)-1)/(POWER(1+H6,D6)-1),3))</f>
        <v>0.87</v>
      </c>
      <c r="H6" s="732">
        <v>0.05</v>
      </c>
      <c r="I6" s="732">
        <v>5.5E-2</v>
      </c>
      <c r="J6" s="66">
        <v>7.0000000000000007E-2</v>
      </c>
      <c r="K6" s="1030">
        <f>SUMIF('数据-汇总表'!C$19:C$33,A6,'数据-汇总表'!E$19:E$33)</f>
        <v>10268.67</v>
      </c>
      <c r="L6" s="733">
        <v>4000</v>
      </c>
      <c r="M6" s="67">
        <f t="shared" ref="M6:M14" si="0">ROUND(K6*L6/10000,0)</f>
        <v>4107</v>
      </c>
      <c r="N6" s="731">
        <f>N21</f>
        <v>0.77500000000000002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5.2</v>
      </c>
      <c r="V6" s="70">
        <v>2.5000000000000001E-2</v>
      </c>
      <c r="W6" s="70">
        <v>0.1</v>
      </c>
      <c r="X6" s="1040"/>
      <c r="Y6" s="71">
        <f>N6</f>
        <v>0.77500000000000002</v>
      </c>
      <c r="Z6" s="72"/>
      <c r="AA6" s="66"/>
      <c r="AB6" s="66"/>
      <c r="AC6" s="1040"/>
      <c r="AD6" s="73"/>
      <c r="AE6" s="1041">
        <f ca="1">IF(AN6="",0,SUMIF(INDIRECT("'"&amp;AN6&amp;"'"&amp;"!E:E"),$AE$5,INDIRECT("'"&amp;AN6&amp;"'"&amp;"!F:F")))</f>
        <v>32.380000000000003</v>
      </c>
      <c r="AF6" s="1348"/>
      <c r="AG6" s="138">
        <f>IF(AF6="",0,AE6-AF6)</f>
        <v>0</v>
      </c>
      <c r="AH6" s="74"/>
      <c r="AI6" s="76">
        <v>365</v>
      </c>
      <c r="AJ6" s="77"/>
      <c r="AK6" s="78">
        <v>5.0000000000000001E-3</v>
      </c>
      <c r="AL6" s="79">
        <v>1.5E-3</v>
      </c>
      <c r="AM6" s="80">
        <v>0.01</v>
      </c>
      <c r="AN6" s="1715" t="s">
        <v>3399</v>
      </c>
      <c r="AO6" s="52">
        <f ca="1">SUMIF(INDIRECT("'"&amp;AN6&amp;"'"&amp;"!A:A"),"总价",INDIRECT("'"&amp;AN6&amp;"'"&amp;"!B:B"))</f>
        <v>28717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v>
      </c>
      <c r="H16" s="90">
        <f>ROUND(SUMPRODUCT(H6:H13,K6:K13)/SUMPRODUCT((H6:H13&gt;0)*(K6:K13)),3)</f>
        <v>0.05</v>
      </c>
      <c r="I16" s="91"/>
      <c r="J16" s="91"/>
      <c r="K16" s="92">
        <f>SUM(K6:K15)</f>
        <v>10268.67</v>
      </c>
      <c r="L16" s="93">
        <f>ROUND(M16*10000/SUM(K6:K14),0)</f>
        <v>4000</v>
      </c>
      <c r="M16" s="93">
        <f>SUM(M6:M14)</f>
        <v>4107</v>
      </c>
      <c r="N16" s="94">
        <f>ROUND(SUMPRODUCT(M6:M14,N6:N14)/M16,3)</f>
        <v>0.77500000000000002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3396</v>
      </c>
      <c r="N19" s="2671">
        <f>ROUND(1-(2024-2009)/60,2)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788" t="s">
        <v>3397</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0.77500000000000002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10268.67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45309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31379</v>
      </c>
      <c r="C5" s="2512">
        <f ca="1">IF(B5=D14,结果表!H102,ROUND(B5*10000/$B$1,0))</f>
        <v>30558</v>
      </c>
      <c r="D5" s="2512" t="e">
        <f ca="1">ROUND(B5*10000/$B$2,0)</f>
        <v>#DIV/0!</v>
      </c>
      <c r="E5" s="2686"/>
      <c r="F5" s="2687"/>
      <c r="G5" s="2687"/>
      <c r="H5" s="2688"/>
      <c r="I5" s="2688"/>
      <c r="J5" s="2688"/>
      <c r="K5" s="2688"/>
    </row>
    <row r="6" spans="1:11" ht="16.5">
      <c r="A6" s="2512" t="s">
        <v>656</v>
      </c>
      <c r="B6" s="2512">
        <f ca="1">SUM(G14:G23)</f>
        <v>31379</v>
      </c>
      <c r="C6" s="2512">
        <f ca="1">IF(B6=G14,结果表!H108,ROUND(B6*10000/$B$1,0))</f>
        <v>30558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10268.67</v>
      </c>
      <c r="C14" s="2518"/>
      <c r="D14" s="2518">
        <f ca="1">结果表!H118</f>
        <v>31379</v>
      </c>
      <c r="E14" s="2518">
        <f ca="1">ROUND(D14*10000/B14,0)</f>
        <v>30558</v>
      </c>
      <c r="F14" s="2518" t="e">
        <f ca="1">ROUND(D14*10000/C14,0)</f>
        <v>#DIV/0!</v>
      </c>
      <c r="G14" s="2518">
        <f ca="1">D14</f>
        <v>31379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海淀区西杉创意园一区1、2、6号楼房地产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3431</v>
      </c>
      <c r="D4" s="1756" t="s">
        <v>3399</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10268.67</v>
      </c>
      <c r="M18" s="302">
        <f>IF(C1="",'数据-汇总表'!E3,SUMIF(项目类型,C1,'数据-汇总表'!E17:E26))</f>
        <v>10268.67</v>
      </c>
    </row>
    <row r="19" spans="1:36" ht="15">
      <c r="A19" s="1761" t="s">
        <v>1290</v>
      </c>
      <c r="B19" s="1762" t="s">
        <v>1291</v>
      </c>
      <c r="C19" s="134">
        <f ca="1">SUMIF(INDIRECT("'"&amp;C4&amp;"'"&amp;"!A:A"),结果表!B19,INDIRECT("'"&amp;C4&amp;"'"&amp;"!B:B"))</f>
        <v>34040</v>
      </c>
      <c r="D19" s="135">
        <f ca="1">SUMIF(INDIRECT("'"&amp;D4&amp;"'"&amp;"!A:A"),结果表!B19,INDIRECT("'"&amp;D4&amp;"'"&amp;"!B:B"))</f>
        <v>28717</v>
      </c>
      <c r="E19" s="1761" t="s">
        <v>1292</v>
      </c>
      <c r="F19" s="1762" t="s">
        <v>1291</v>
      </c>
      <c r="G19" s="136">
        <f ca="1">ROUND(C19*$C$18+D19*$D$18,0)</f>
        <v>31379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33149</v>
      </c>
      <c r="D20" s="138">
        <f ca="1">SUMIF(INDIRECT("'"&amp;D4&amp;"'"&amp;"!A:A"),结果表!B20,INDIRECT("'"&amp;D4&amp;"'"&amp;"!B:B"))</f>
        <v>27966</v>
      </c>
      <c r="E20" s="1764"/>
      <c r="F20" s="1026" t="s">
        <v>1295</v>
      </c>
      <c r="G20" s="139">
        <f ca="1">ROUND(C20*$C$18+D20*$D$18,0)</f>
        <v>30558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0.18536058780513276</v>
      </c>
      <c r="E22" s="129"/>
      <c r="F22" s="129"/>
      <c r="G22" s="129"/>
      <c r="H22" s="129"/>
      <c r="I22" s="129"/>
    </row>
    <row r="23" spans="1:36" ht="13.5" thickBot="1">
      <c r="A23" s="1747"/>
      <c r="B23" s="1747"/>
      <c r="C23" s="1747"/>
      <c r="D23" s="1747"/>
      <c r="E23" s="129"/>
      <c r="F23" s="129" t="s">
        <v>3432</v>
      </c>
      <c r="G23" s="129">
        <v>31375</v>
      </c>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31379</v>
      </c>
      <c r="D32" s="1775" t="s">
        <v>3433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31379</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45309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2" t="s">
        <v>1340</v>
      </c>
      <c r="L48" s="3602"/>
      <c r="M48" s="3624">
        <f ca="1">H101</f>
        <v>31379</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31379</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1674</v>
      </c>
      <c r="E52" s="2334" t="s">
        <v>1354</v>
      </c>
      <c r="F52" s="2554">
        <f>'数据-取费表'!B41</f>
        <v>5.6000000000000001E-2</v>
      </c>
      <c r="G52" s="2555"/>
      <c r="H52" s="2544"/>
      <c r="I52" s="1807"/>
      <c r="J52" s="2523">
        <v>1</v>
      </c>
      <c r="K52" s="3603" t="s">
        <v>1355</v>
      </c>
      <c r="L52" s="3603"/>
      <c r="M52" s="2525" t="b">
        <f>D48</f>
        <v>0</v>
      </c>
      <c r="N52" s="2523" t="str">
        <f>E48</f>
        <v>销售额×税（费）率</v>
      </c>
      <c r="O52" s="2526">
        <f>F48</f>
        <v>5.6000000000000001E-2</v>
      </c>
    </row>
    <row r="53" spans="1:35" ht="12" customHeight="1">
      <c r="A53" s="2335" t="s">
        <v>1356</v>
      </c>
      <c r="B53" s="3564" t="s">
        <v>2291</v>
      </c>
      <c r="C53" s="3565"/>
      <c r="D53" s="1087">
        <f ca="1">ROUND(D45*'数据-取费表'!B41/(1+'数据-取费表'!C42),0)</f>
        <v>1674</v>
      </c>
      <c r="E53" s="2334" t="s">
        <v>1354</v>
      </c>
      <c r="F53" s="2554">
        <f>'数据-取费表'!B41</f>
        <v>5.6000000000000001E-2</v>
      </c>
      <c r="G53" s="2555"/>
      <c r="H53" s="2544"/>
      <c r="I53" s="1807"/>
      <c r="J53" s="2523">
        <v>2</v>
      </c>
      <c r="K53" s="3603" t="s">
        <v>1357</v>
      </c>
      <c r="L53" s="3603"/>
      <c r="M53" s="2525">
        <f t="shared" ref="M53:O54" ca="1" si="0">D55</f>
        <v>16</v>
      </c>
      <c r="N53" s="2523" t="str">
        <f t="shared" si="0"/>
        <v>销售额×税（费）率</v>
      </c>
      <c r="O53" s="2526" t="str">
        <f t="shared" si="0"/>
        <v>免征</v>
      </c>
    </row>
    <row r="54" spans="1:35" ht="12" customHeight="1">
      <c r="A54" s="2335" t="s">
        <v>1358</v>
      </c>
      <c r="B54" s="3564" t="s">
        <v>2292</v>
      </c>
      <c r="C54" s="3565"/>
      <c r="D54" s="1087">
        <f ca="1">C68</f>
        <v>1674</v>
      </c>
      <c r="E54" s="327" t="s">
        <v>1359</v>
      </c>
      <c r="F54" s="2554">
        <f>'数据-取费表'!B41</f>
        <v>5.6000000000000001E-2</v>
      </c>
      <c r="G54" s="2555"/>
      <c r="H54" s="2556"/>
      <c r="I54" s="1807"/>
      <c r="J54" s="2523">
        <v>3</v>
      </c>
      <c r="K54" s="3603" t="s">
        <v>1360</v>
      </c>
      <c r="L54" s="3603"/>
      <c r="M54" s="2525">
        <f t="shared" ca="1" si="0"/>
        <v>17761</v>
      </c>
      <c r="N54" s="2523" t="str">
        <f t="shared" si="0"/>
        <v>增值额×税（费）率</v>
      </c>
      <c r="O54" s="2527" t="str">
        <f t="shared" si="0"/>
        <v>免征</v>
      </c>
    </row>
    <row r="55" spans="1:35" ht="24" customHeight="1">
      <c r="A55" s="3553" t="s">
        <v>1361</v>
      </c>
      <c r="B55" s="3554"/>
      <c r="C55" s="3554"/>
      <c r="D55" s="2324">
        <f ca="1">IF(H55="个人住宅",0,ROUND(D45*I55,0))</f>
        <v>16</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299</v>
      </c>
      <c r="N55" s="2040" t="str">
        <f>E59</f>
        <v>差额计税</v>
      </c>
      <c r="O55" s="2529">
        <f>F59</f>
        <v>0.01</v>
      </c>
    </row>
    <row r="56" spans="1:35" ht="24.75">
      <c r="A56" s="3553" t="s">
        <v>1363</v>
      </c>
      <c r="B56" s="3554"/>
      <c r="C56" s="3554"/>
      <c r="D56" s="2324">
        <f ca="1">IF(H56="个人住宅",D57,D58)</f>
        <v>17761</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18076</v>
      </c>
      <c r="O57" s="2533"/>
      <c r="P57" s="2690">
        <f ca="1">N57/M49</f>
        <v>0.57605404888619782</v>
      </c>
    </row>
    <row r="58" spans="1:35" ht="24.75">
      <c r="A58" s="2335" t="s">
        <v>1352</v>
      </c>
      <c r="B58" s="3564" t="s">
        <v>1369</v>
      </c>
      <c r="C58" s="3538"/>
      <c r="D58" s="2324">
        <f ca="1">IF(H58="转让取得",C81,C97)</f>
        <v>17761</v>
      </c>
      <c r="E58" s="2334" t="s">
        <v>1364</v>
      </c>
      <c r="F58" s="302" t="s">
        <v>28</v>
      </c>
      <c r="G58" s="2555"/>
      <c r="H58" s="2558"/>
      <c r="I58" s="1808"/>
      <c r="J58" s="3603"/>
      <c r="K58" s="3603"/>
      <c r="L58" s="2530" t="s">
        <v>1370</v>
      </c>
      <c r="M58" s="2534"/>
      <c r="N58" s="2535" t="str">
        <f ca="1">NUMBERSTRING(INT(N57*10000),2)&amp;"元整"</f>
        <v>壹亿捌仟零柒拾陆万元整</v>
      </c>
      <c r="O58" s="2536"/>
    </row>
    <row r="59" spans="1:35" ht="24.75" thickBot="1">
      <c r="A59" s="3606" t="s">
        <v>1371</v>
      </c>
      <c r="B59" s="3607"/>
      <c r="C59" s="3607"/>
      <c r="D59" s="2560">
        <f ca="1">IF(H59="非个人房产","——",IF(H59="个人住宅（满五唯一有凭证）",0,IF(H59="个人其他（无凭证）",ROUND(D45*F59,0),ROUND(C67*F59,0))))</f>
        <v>299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13303</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壹亿叁仟叁佰零叁万元整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12955</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29885</v>
      </c>
      <c r="D63" s="167"/>
      <c r="E63" s="168"/>
      <c r="F63" s="1808"/>
      <c r="G63" s="1808"/>
      <c r="H63" s="1810"/>
      <c r="I63" s="129"/>
      <c r="J63" s="3628" t="s">
        <v>1379</v>
      </c>
      <c r="K63" s="1332" t="s">
        <v>1380</v>
      </c>
      <c r="L63" s="1332">
        <f ca="1">IF(M49&gt;10000,M49*0.5%,IF(AND(M49&gt;1000,M49&lt;=10000),M49*1%,IF(AND(M49&gt;100,M49&lt;=1000),M49*3%,IF(AND(M49&gt;10,M49&lt;=100),M49*5%,M49*8%))))</f>
        <v>156.89500000000001</v>
      </c>
      <c r="M63" s="302">
        <f ca="1">ROUND(L63,1)</f>
        <v>156.9</v>
      </c>
      <c r="N63" s="2543"/>
      <c r="Z63" s="1752"/>
      <c r="AI63" s="1753"/>
    </row>
    <row r="64" spans="1:35" ht="14.25" customHeight="1">
      <c r="A64" s="169" t="s">
        <v>325</v>
      </c>
      <c r="B64" s="170" t="s">
        <v>1381</v>
      </c>
      <c r="C64" s="2565">
        <f ca="1">D45</f>
        <v>31379</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156.89500000000001</v>
      </c>
      <c r="M64" s="302">
        <f t="shared" ref="M64:M65" ca="1" si="1">ROUND(L64,1)</f>
        <v>156.9</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31.379000000000001</v>
      </c>
      <c r="M65" s="302">
        <f t="shared" ca="1" si="1"/>
        <v>31.4</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156.89500000000001</v>
      </c>
      <c r="M66" s="302">
        <f ca="1">IF(L66&gt;0.5,0.5,ROUND(L66,0))</f>
        <v>0.5</v>
      </c>
      <c r="N66" s="2544" t="s">
        <v>1388</v>
      </c>
      <c r="Z66" s="1752"/>
      <c r="AI66" s="1753"/>
    </row>
    <row r="67" spans="1:35" ht="14.25" customHeight="1">
      <c r="A67" s="173" t="s">
        <v>328</v>
      </c>
      <c r="B67" s="174" t="s">
        <v>1389</v>
      </c>
      <c r="C67" s="2568">
        <f ca="1">C63-C66</f>
        <v>29885</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10.3879</v>
      </c>
      <c r="M67" s="302">
        <f ca="1">ROUND(L67*0.9,1)</f>
        <v>9.3000000000000007</v>
      </c>
      <c r="N67" s="2543"/>
      <c r="Z67" s="1752"/>
      <c r="AI67" s="1753"/>
    </row>
    <row r="68" spans="1:35" ht="14.25" customHeight="1" thickBot="1">
      <c r="A68" s="176" t="s">
        <v>329</v>
      </c>
      <c r="B68" s="177" t="s">
        <v>1391</v>
      </c>
      <c r="C68" s="2569">
        <f ca="1">IF(C67&lt;=0,0,ROUND(C67*D68,0))</f>
        <v>1674</v>
      </c>
      <c r="D68" s="2570">
        <f>'数据-取费表'!B41</f>
        <v>5.6000000000000001E-2</v>
      </c>
      <c r="E68" s="178"/>
      <c r="F68" s="1808"/>
      <c r="G68" s="1808"/>
      <c r="H68" s="1810"/>
      <c r="I68" s="129"/>
      <c r="J68" s="3628"/>
      <c r="K68" s="1332" t="s">
        <v>1392</v>
      </c>
      <c r="L68" s="1332">
        <f ca="1">IF(M49&gt;10000,M49*0.5%,IF(AND(M49&gt;5000,M49&lt;=10000),M49*1%,IF(AND(M49&gt;1000,M49&lt;=5000),M49*2%,IF(AND(M49&gt;200,M49&lt;=1000),M49*3%,M49*5%))))</f>
        <v>156.89500000000001</v>
      </c>
      <c r="M68" s="302">
        <f ca="1">ROUND(L68,1)</f>
        <v>156.9</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512</v>
      </c>
      <c r="N69" s="2545">
        <f ca="1">M69/M49</f>
        <v>1.6316644889894514E-2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29885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179</v>
      </c>
      <c r="D78" s="2577">
        <f>'数据-取费表'!B43</f>
        <v>6.000000000000001E-3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29706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165.95530726256985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17761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29885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179</v>
      </c>
      <c r="D93" s="2577">
        <f>'数据-取费表'!B43</f>
        <v>6.000000000000001E-3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29706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165.95530726256985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17761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比较法-商业</v>
      </c>
      <c r="D101" s="2586" t="str">
        <f>D4</f>
        <v>收益法</v>
      </c>
      <c r="E101" s="3625" t="s">
        <v>1431</v>
      </c>
      <c r="F101" s="3582"/>
      <c r="G101" s="1827" t="s">
        <v>1432</v>
      </c>
      <c r="H101" s="2595">
        <f ca="1">H118</f>
        <v>31379</v>
      </c>
      <c r="I101" s="129"/>
    </row>
    <row r="102" spans="1:35" ht="18.75" customHeight="1">
      <c r="A102" s="3584" t="s">
        <v>1433</v>
      </c>
      <c r="B102" s="2584" t="s">
        <v>1432</v>
      </c>
      <c r="C102" s="2585">
        <f ca="1">IF(D32="楼面单价",ROUND(C19,0),C19)</f>
        <v>34040</v>
      </c>
      <c r="D102" s="2586">
        <f ca="1">IF(D32="楼面单价",ROUND(D19,0),D19)</f>
        <v>28717</v>
      </c>
      <c r="E102" s="3625"/>
      <c r="F102" s="3582"/>
      <c r="G102" s="1827" t="s">
        <v>1434</v>
      </c>
      <c r="H102" s="2555">
        <f ca="1">I118</f>
        <v>30558</v>
      </c>
      <c r="I102" s="129"/>
    </row>
    <row r="103" spans="1:35" ht="42.75" customHeight="1">
      <c r="A103" s="3584"/>
      <c r="B103" s="2584" t="s">
        <v>1434</v>
      </c>
      <c r="C103" s="2587">
        <f ca="1">C20</f>
        <v>33149</v>
      </c>
      <c r="D103" s="2588">
        <f ca="1">D20</f>
        <v>27966</v>
      </c>
      <c r="E103" s="3619" t="s">
        <v>1435</v>
      </c>
      <c r="F103" s="3620"/>
      <c r="G103" s="1828" t="s">
        <v>1436</v>
      </c>
      <c r="H103" s="2595">
        <f>IF(D36="正常操作",H104+H105+H106,H105+H106)</f>
        <v>0</v>
      </c>
      <c r="I103" s="129"/>
    </row>
    <row r="104" spans="1:35" ht="18.75" customHeight="1">
      <c r="A104" s="3584" t="s">
        <v>1437</v>
      </c>
      <c r="B104" s="2589" t="s">
        <v>1432</v>
      </c>
      <c r="C104" s="2590">
        <f ca="1">H118</f>
        <v>31379</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30558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31379</v>
      </c>
      <c r="I107" s="129"/>
    </row>
    <row r="108" spans="1:35" ht="18.75" customHeight="1">
      <c r="A108" s="129"/>
      <c r="B108" s="129"/>
      <c r="C108" s="129"/>
      <c r="D108" s="129"/>
      <c r="E108" s="3581"/>
      <c r="F108" s="3582"/>
      <c r="G108" s="1827" t="s">
        <v>1434</v>
      </c>
      <c r="H108" s="2555">
        <f ca="1">IF(H107=H101,H102,ROUND(H107*10000/'数据-汇总表'!E3,0))</f>
        <v>30558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海淀区西杉创意园一区1、2、6号楼房地产</v>
      </c>
      <c r="B118" s="2329">
        <f>M18</f>
        <v>10268.67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31379</v>
      </c>
      <c r="I118" s="2329">
        <f ca="1">ROUND(IF(D32="楼面单价",C32,H118*10000/B118),0)</f>
        <v>30558</v>
      </c>
    </row>
    <row r="119" spans="1:27" ht="18.75" customHeight="1">
      <c r="A119" s="3552" t="s">
        <v>1452</v>
      </c>
      <c r="B119" s="3552"/>
      <c r="C119" s="3552"/>
      <c r="D119" s="3592" t="e">
        <f ca="1">NUMBERSTRING(INT(D118*10000),2)&amp;"元整"</f>
        <v>#REF!</v>
      </c>
      <c r="E119" s="3594"/>
      <c r="F119" s="3592" t="e">
        <f ca="1">NUMBERSTRING(INT(F118*10000),2)&amp;"元整"</f>
        <v>#REF!</v>
      </c>
      <c r="G119" s="3594"/>
      <c r="H119" s="3592" t="str">
        <f ca="1">NUMBERSTRING(INT(H118*10000),2)&amp;"元整"</f>
        <v>叁亿壹仟叁佰柒拾玖万元整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31379</v>
      </c>
      <c r="E122" s="3617"/>
      <c r="F122" s="3617"/>
      <c r="G122" s="3617"/>
      <c r="H122" s="3617"/>
      <c r="I122" s="3618"/>
      <c r="AA122" s="725"/>
    </row>
    <row r="123" spans="1:27" ht="18.75" customHeight="1">
      <c r="A123" s="3552" t="s">
        <v>1452</v>
      </c>
      <c r="B123" s="3552"/>
      <c r="C123" s="3552"/>
      <c r="D123" s="3592" t="str">
        <f ca="1">NUMBERSTRING(INT(D122*10000),2)&amp;"元整"</f>
        <v>叁亿壹仟叁佰柒拾玖万元整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205</v>
      </c>
      <c r="D10" s="845">
        <f ca="1">IF(B1="",'数据-汇总表'!E6,IF(INDIRECT("'数据-取费表'!c"&amp;$G$1)="住宅",INDIRECT("'数据-取费表'!s"&amp;$G$1),INDIRECT("'数据-取费表'!k"&amp;$G$1)+INDIRECT("'数据-取费表'!s"&amp;$G$1)))</f>
        <v>10268.67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205</v>
      </c>
      <c r="D19" s="849">
        <f ca="1">D9+D10</f>
        <v>10268.67</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4107</v>
      </c>
      <c r="D34" s="217"/>
      <c r="E34" s="220"/>
      <c r="F34" s="257">
        <f ca="1">IF('数据-取费表'!B24=0,1,IF(B1="",'数据-取费表'!N16,INDIRECT("'数据-取费表'!n"&amp;$G$1)))</f>
        <v>1</v>
      </c>
      <c r="G34" s="219" t="s">
        <v>1526</v>
      </c>
    </row>
    <row r="35" spans="1:7" ht="13.5" customHeight="1">
      <c r="A35" s="780" t="s">
        <v>351</v>
      </c>
      <c r="B35" s="215" t="s">
        <v>1527</v>
      </c>
      <c r="C35" s="220">
        <f ca="1">ROUND(C34*F35,0)</f>
        <v>123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205</v>
      </c>
      <c r="D37" s="217">
        <f ca="1">D19</f>
        <v>10268.67</v>
      </c>
      <c r="E37" s="249">
        <f>'数据-取费表'!B35</f>
        <v>200</v>
      </c>
      <c r="F37" s="259"/>
      <c r="G37" s="261" t="s">
        <v>1532</v>
      </c>
    </row>
    <row r="38" spans="1:7" ht="13.5" customHeight="1">
      <c r="A38" s="780" t="s">
        <v>354</v>
      </c>
      <c r="B38" s="215" t="s">
        <v>1533</v>
      </c>
      <c r="C38" s="220">
        <f ca="1">ROUND(C34*F38,0)</f>
        <v>62</v>
      </c>
      <c r="D38" s="220"/>
      <c r="E38" s="220"/>
      <c r="F38" s="259">
        <f>'数据-取费表'!B36</f>
        <v>1.4999999999999999E-2</v>
      </c>
      <c r="G38" s="219" t="s">
        <v>1528</v>
      </c>
    </row>
    <row r="39" spans="1:7" s="214" customFormat="1" ht="13.5" customHeight="1">
      <c r="A39" s="255" t="s">
        <v>1534</v>
      </c>
      <c r="B39" s="210" t="s">
        <v>1535</v>
      </c>
      <c r="C39" s="232">
        <f ca="1">ROUND(C33*F20,0)</f>
        <v>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155</v>
      </c>
      <c r="D42" s="238"/>
      <c r="E42" s="238"/>
      <c r="F42" s="239"/>
      <c r="G42" s="3632" t="s">
        <v>1544</v>
      </c>
    </row>
    <row r="43" spans="1:7" ht="13.5" customHeight="1">
      <c r="A43" s="780" t="s">
        <v>347</v>
      </c>
      <c r="B43" s="215" t="s">
        <v>1545</v>
      </c>
      <c r="C43" s="238">
        <f ca="1">ROUND(IF('数据-取费表'!B22&lt;=1,C39*F22*'数据-取费表'!B21/2,C39*(POWER((1+F22),'数据-取费表'!B21/2)-1)),0)</f>
        <v>3</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688</v>
      </c>
      <c r="D45" s="235">
        <f ca="1">C47</f>
        <v>3.0000000000000001E-3</v>
      </c>
      <c r="E45" s="236" t="s">
        <v>1539</v>
      </c>
      <c r="F45" s="246">
        <f ca="1">F27</f>
        <v>0.15</v>
      </c>
      <c r="G45" s="247" t="s">
        <v>1548</v>
      </c>
    </row>
    <row r="46" spans="1:7" s="214" customFormat="1" ht="13.5" customHeight="1">
      <c r="A46" s="780" t="s">
        <v>346</v>
      </c>
      <c r="B46" s="248" t="s">
        <v>1549</v>
      </c>
      <c r="C46" s="249">
        <f ca="1">ROUND((C33+C39)*F27,0)</f>
        <v>688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5886</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4562</v>
      </c>
      <c r="D51" s="232"/>
      <c r="E51" s="232"/>
      <c r="F51" s="264"/>
      <c r="G51" s="234" t="s">
        <v>1560</v>
      </c>
    </row>
    <row r="52" spans="1:7" s="208" customFormat="1" ht="16.5" thickBot="1">
      <c r="A52" s="265" t="s">
        <v>1561</v>
      </c>
      <c r="B52" s="266"/>
      <c r="C52" s="267">
        <f ca="1">C31+C51</f>
        <v>4837</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海淀区西杉创意园一区1、2、6号楼房地产抵押价值预评估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5116.2596000000003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2053734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2053734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2053734</v>
      </c>
      <c r="D10" s="845">
        <f ca="1">IF(B1="",'数据-汇总表'!E6,IF(INDIRECT("'数据-取费表'!c"&amp;$G$1)="住宅",INDIRECT("'数据-取费表'!s"&amp;$G$1),INDIRECT("'数据-取费表'!k"&amp;$G$1)+INDIRECT("'数据-取费表'!s"&amp;$G$1)))</f>
        <v>10268.67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2053734</v>
      </c>
      <c r="D19" s="849">
        <f ca="1">D9+D10</f>
        <v>10268.67</v>
      </c>
      <c r="E19" s="211">
        <f>'数据-取费表'!B31</f>
        <v>200</v>
      </c>
      <c r="F19" s="231"/>
      <c r="G19" s="1856"/>
    </row>
    <row r="20" spans="1:7" s="214" customFormat="1" ht="13.5" customHeight="1">
      <c r="A20" s="255" t="s">
        <v>1574</v>
      </c>
      <c r="B20" s="210" t="s">
        <v>1575</v>
      </c>
      <c r="C20" s="232">
        <f ca="1">ROUND((C5+C19)*F20,0)</f>
        <v>82149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291138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144152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144152</v>
      </c>
      <c r="D24" s="238"/>
      <c r="E24" s="238"/>
      <c r="F24" s="239"/>
      <c r="G24" s="240" t="s">
        <v>1586</v>
      </c>
    </row>
    <row r="25" spans="1:7" s="214" customFormat="1" ht="24">
      <c r="A25" s="780" t="s">
        <v>1476</v>
      </c>
      <c r="B25" s="215" t="s">
        <v>1587</v>
      </c>
      <c r="C25" s="1128">
        <f ca="1">ROUND(IF('数据-取费表'!B22&lt;=1,C20*F22*'数据-取费表'!B22/2,C20*(POWER((1+F22),'数据-取费表'!B22/2)-1)),0)</f>
        <v>2834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628443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628443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5535426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44976774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41074680</v>
      </c>
      <c r="D34" s="217"/>
      <c r="E34" s="220"/>
      <c r="F34" s="257"/>
      <c r="G34" s="219"/>
    </row>
    <row r="35" spans="1:7" ht="13.5" customHeight="1">
      <c r="A35" s="780" t="s">
        <v>351</v>
      </c>
      <c r="B35" s="215" t="s">
        <v>1527</v>
      </c>
      <c r="C35" s="220">
        <f ca="1">ROUND(C34*F35,0)</f>
        <v>1232240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2053734</v>
      </c>
      <c r="D37" s="217">
        <f ca="1">D19</f>
        <v>10268.67</v>
      </c>
      <c r="E37" s="249">
        <f>'数据-取费表'!B35</f>
        <v>200</v>
      </c>
      <c r="F37" s="259"/>
      <c r="G37" s="261"/>
    </row>
    <row r="38" spans="1:7" ht="13.5" customHeight="1">
      <c r="A38" s="780" t="s">
        <v>354</v>
      </c>
      <c r="B38" s="215" t="s">
        <v>1533</v>
      </c>
      <c r="C38" s="220">
        <f ca="1">ROUND(C34*F38,0)</f>
        <v>616120</v>
      </c>
      <c r="D38" s="220"/>
      <c r="E38" s="220"/>
      <c r="F38" s="259">
        <f>'数据-取费表'!B36</f>
        <v>1.4999999999999999E-2</v>
      </c>
      <c r="G38" s="219" t="s">
        <v>1528</v>
      </c>
    </row>
    <row r="39" spans="1:7" s="214" customFormat="1" ht="13.5" customHeight="1">
      <c r="A39" s="255" t="s">
        <v>1534</v>
      </c>
      <c r="B39" s="210" t="s">
        <v>1535</v>
      </c>
      <c r="C39" s="232">
        <f ca="1">ROUND(C33*F20,0)</f>
        <v>899535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1582733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1551699</v>
      </c>
      <c r="D42" s="238"/>
      <c r="E42" s="238"/>
      <c r="F42" s="239"/>
      <c r="G42" s="3632" t="s">
        <v>1591</v>
      </c>
    </row>
    <row r="43" spans="1:7" ht="13.5" customHeight="1">
      <c r="A43" s="780" t="s">
        <v>347</v>
      </c>
      <c r="B43" s="215" t="s">
        <v>1545</v>
      </c>
      <c r="C43" s="238">
        <f ca="1">ROUND(IF('数据-取费表'!B22&lt;=1,C39*F22*'数据-取费表'!B20/2,C39*(POWER((1+F22),'数据-取费表'!B20/2)-1)),0)</f>
        <v>31034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6881446</v>
      </c>
      <c r="D45" s="235">
        <f ca="1">C47</f>
        <v>3.0000000000000001E-3</v>
      </c>
      <c r="E45" s="236" t="s">
        <v>1539</v>
      </c>
      <c r="F45" s="246">
        <f ca="1">F27</f>
        <v>0.15</v>
      </c>
      <c r="G45" s="247" t="s">
        <v>1548</v>
      </c>
    </row>
    <row r="46" spans="1:7" s="214" customFormat="1" ht="13.5" customHeight="1">
      <c r="A46" s="780" t="s">
        <v>346</v>
      </c>
      <c r="B46" s="248" t="s">
        <v>1549</v>
      </c>
      <c r="C46" s="249">
        <f ca="1">ROUND((C33+C39)*F27,0)</f>
        <v>6881446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58873768</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45627170</v>
      </c>
      <c r="D51" s="232"/>
      <c r="E51" s="232"/>
      <c r="F51" s="264"/>
      <c r="G51" s="234" t="s">
        <v>1560</v>
      </c>
    </row>
    <row r="52" spans="1:7" s="208" customFormat="1" ht="16.5" thickBot="1">
      <c r="A52" s="265" t="s">
        <v>1561</v>
      </c>
      <c r="B52" s="266"/>
      <c r="C52" s="267">
        <f ca="1">C31+C51</f>
        <v>51162596</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-233</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10268.67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10268.67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205</v>
      </c>
      <c r="D20" s="846">
        <f ca="1">IF(C1="",'数据-汇总表'!E6,IF(INDIRECT("'数据-取费表'!c"&amp;$K$1)="住宅",INDIRECT("'数据-取费表'!s"&amp;$K$1),INDIRECT("'数据-取费表'!k"&amp;$K$1)+INDIRECT("'数据-取费表'!s"&amp;$K$1)))</f>
        <v>10268.67</v>
      </c>
      <c r="E20" s="21">
        <f>'数据-取费表'!B28</f>
        <v>200</v>
      </c>
      <c r="F20" s="804"/>
      <c r="G20" s="12"/>
      <c r="H20" s="809"/>
      <c r="I20" s="809"/>
      <c r="J20" s="809"/>
      <c r="K20" s="810"/>
    </row>
    <row r="21" spans="1:33" s="803" customFormat="1" ht="13.5" customHeight="1">
      <c r="A21" s="790" t="s">
        <v>357</v>
      </c>
      <c r="B21" s="813" t="s">
        <v>1628</v>
      </c>
      <c r="C21" s="814">
        <f ca="1">C16+C17+C18</f>
        <v>205</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-233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7.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3394</v>
      </c>
      <c r="E1" s="3426" t="s">
        <v>3404</v>
      </c>
      <c r="F1" s="1879" t="s">
        <v>3405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34040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33149</v>
      </c>
      <c r="C3" s="354" t="s">
        <v>1768</v>
      </c>
      <c r="D3" s="353">
        <f>IF(D1="",'数据-汇总表'!E3,SUMIF('数据-汇总表'!$C19:$C33,D1,'数据-汇总表'!$E19:$E33))</f>
        <v>10268.67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92" t="s">
        <v>3410</v>
      </c>
      <c r="F5" s="3706"/>
      <c r="G5" s="3797" t="s">
        <v>3424</v>
      </c>
      <c r="H5" s="3699"/>
      <c r="I5" s="3797" t="s">
        <v>3427</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45309</v>
      </c>
      <c r="D7" s="365">
        <v>100</v>
      </c>
      <c r="E7" s="366">
        <f>C7</f>
        <v>45309</v>
      </c>
      <c r="F7" s="367">
        <f>SUMIF(58:58,YEAR(E7)&amp;"-"&amp;MONTH(E7),59:59)</f>
        <v>100</v>
      </c>
      <c r="G7" s="366">
        <f>C7</f>
        <v>45309</v>
      </c>
      <c r="H7" s="365">
        <f>SUMIF(58:58,YEAR(G7)&amp;"-"&amp;MONTH(G7),59:59)</f>
        <v>100</v>
      </c>
      <c r="I7" s="366">
        <f>C7</f>
        <v>45309</v>
      </c>
      <c r="J7" s="365">
        <f>SUMIF(58:58,YEAR(I7)&amp;"-"&amp;MONTH(I7),59:59)</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t="s">
        <v>3430</v>
      </c>
      <c r="D8" s="365">
        <v>100</v>
      </c>
      <c r="E8" s="368" t="s">
        <v>3406</v>
      </c>
      <c r="F8" s="367">
        <f>SUMIF(61:61,E8,62:62)-SUMIF(61:61,C8,62:62)+100</f>
        <v>103</v>
      </c>
      <c r="G8" s="368" t="s">
        <v>3406</v>
      </c>
      <c r="H8" s="365">
        <f>SUMIF(61:61,G8,62:62)-SUMIF(61:61,C8,62:62)+100</f>
        <v>103</v>
      </c>
      <c r="I8" s="368" t="s">
        <v>3406</v>
      </c>
      <c r="J8" s="365">
        <f>SUMIF(61:61,I8,62:62)-SUMIF(61:61,C8,62:62)+100</f>
        <v>103</v>
      </c>
      <c r="K8" s="560"/>
      <c r="L8" s="2717"/>
      <c r="M8" s="2718"/>
      <c r="N8" s="2718"/>
      <c r="O8" s="2718"/>
      <c r="P8" s="3700" t="s">
        <v>1683</v>
      </c>
      <c r="Q8" s="3701"/>
      <c r="R8" s="701" t="s">
        <v>14</v>
      </c>
      <c r="S8" s="702">
        <f t="shared" si="0"/>
        <v>103</v>
      </c>
      <c r="T8" s="701" t="s">
        <v>14</v>
      </c>
      <c r="U8" s="702">
        <f t="shared" si="1"/>
        <v>103</v>
      </c>
      <c r="V8" s="701" t="s">
        <v>14</v>
      </c>
      <c r="W8" s="702">
        <f t="shared" si="2"/>
        <v>103</v>
      </c>
      <c r="X8" s="703"/>
      <c r="Y8" s="3700" t="s">
        <v>1683</v>
      </c>
      <c r="Z8" s="3701"/>
      <c r="AA8" s="704">
        <f t="shared" ref="AA8:AA46" si="3">D8/F8</f>
        <v>0.970873786407767</v>
      </c>
      <c r="AB8" s="704">
        <f t="shared" ref="AB8:AB46" si="4">D8/H8</f>
        <v>0.970873786407767</v>
      </c>
      <c r="AC8" s="704">
        <f t="shared" ref="AC8:AC46" si="5">D8/J8</f>
        <v>0.970873786407767</v>
      </c>
    </row>
    <row r="9" spans="1:29" s="108" customFormat="1" ht="15">
      <c r="A9" s="369" t="s">
        <v>1684</v>
      </c>
      <c r="B9" s="63" t="s">
        <v>1685</v>
      </c>
      <c r="C9" s="3790" t="s">
        <v>3408</v>
      </c>
      <c r="D9" s="126">
        <v>100</v>
      </c>
      <c r="E9" s="371" t="s">
        <v>3</v>
      </c>
      <c r="F9" s="372">
        <f>SUMIF(63:63,E9,64:64)-SUMIF(63:63,C9,64:64)+100</f>
        <v>100</v>
      </c>
      <c r="G9" s="371" t="s">
        <v>673</v>
      </c>
      <c r="H9" s="126">
        <f>SUMIF(63:63,G9,64:64)-SUMIF(63:63,C9,64:64)+100</f>
        <v>110</v>
      </c>
      <c r="I9" s="371" t="s">
        <v>673</v>
      </c>
      <c r="J9" s="126">
        <f>SUMIF(63:63,I9,64:64)-SUMIF(63:63,C9,64:64)+100</f>
        <v>110</v>
      </c>
      <c r="K9" s="560"/>
      <c r="L9" s="2717"/>
      <c r="M9" s="2718"/>
      <c r="N9" s="2718"/>
      <c r="O9" s="2718"/>
      <c r="P9" s="3675" t="s">
        <v>1686</v>
      </c>
      <c r="Q9" s="1343" t="str">
        <f t="shared" ref="Q9:Q15" si="6">B9</f>
        <v>用途</v>
      </c>
      <c r="R9" s="701" t="s">
        <v>14</v>
      </c>
      <c r="S9" s="702">
        <f t="shared" si="0"/>
        <v>100</v>
      </c>
      <c r="T9" s="701" t="s">
        <v>14</v>
      </c>
      <c r="U9" s="702">
        <f t="shared" si="1"/>
        <v>110</v>
      </c>
      <c r="V9" s="701" t="s">
        <v>14</v>
      </c>
      <c r="W9" s="702">
        <f t="shared" si="2"/>
        <v>110</v>
      </c>
      <c r="X9" s="703"/>
      <c r="Y9" s="3539" t="s">
        <v>1687</v>
      </c>
      <c r="Z9" s="52" t="str">
        <f t="shared" ref="Z9:Z15" si="7">Q9</f>
        <v>用途</v>
      </c>
      <c r="AA9" s="704">
        <f t="shared" si="3"/>
        <v>1</v>
      </c>
      <c r="AB9" s="704">
        <f t="shared" si="4"/>
        <v>0.90909090909090906</v>
      </c>
      <c r="AC9" s="704">
        <f t="shared" si="5"/>
        <v>0.90909090909090906</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t="s">
        <v>3411</v>
      </c>
      <c r="D16" s="399"/>
      <c r="E16" s="398" t="s">
        <v>3411</v>
      </c>
      <c r="F16" s="400"/>
      <c r="G16" s="398" t="s">
        <v>3411</v>
      </c>
      <c r="H16" s="401"/>
      <c r="I16" s="398" t="s">
        <v>3411</v>
      </c>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102</v>
      </c>
      <c r="I17" s="403"/>
      <c r="J17" s="406">
        <f>SUMIF(78:78,I18,79:79)-SUMIF(78:78,C18,79:79)+100</f>
        <v>102</v>
      </c>
      <c r="K17" s="563">
        <v>2</v>
      </c>
      <c r="L17" s="2722"/>
      <c r="M17" s="2716"/>
      <c r="N17" s="2716"/>
      <c r="O17" s="2716"/>
      <c r="P17" s="3674"/>
      <c r="Q17" s="1352" t="str">
        <f>B17</f>
        <v>交通便捷度</v>
      </c>
      <c r="R17" s="705" t="s">
        <v>14</v>
      </c>
      <c r="S17" s="706">
        <f>F17</f>
        <v>100</v>
      </c>
      <c r="T17" s="705" t="s">
        <v>14</v>
      </c>
      <c r="U17" s="706">
        <f>H17</f>
        <v>102</v>
      </c>
      <c r="V17" s="705" t="s">
        <v>14</v>
      </c>
      <c r="W17" s="706">
        <f>J17</f>
        <v>102</v>
      </c>
      <c r="X17" s="1355"/>
      <c r="Y17" s="3667"/>
      <c r="Z17" s="1356" t="str">
        <f>Q17</f>
        <v>交通便捷度</v>
      </c>
      <c r="AA17" s="1353">
        <f t="shared" si="3"/>
        <v>1</v>
      </c>
      <c r="AB17" s="1353">
        <f t="shared" si="4"/>
        <v>0.98039215686274506</v>
      </c>
      <c r="AC17" s="1353">
        <f t="shared" si="5"/>
        <v>0.98039215686274506</v>
      </c>
    </row>
    <row r="18" spans="1:29" ht="15">
      <c r="A18" s="379"/>
      <c r="B18" s="407"/>
      <c r="C18" s="1901" t="s">
        <v>3412</v>
      </c>
      <c r="D18" s="401"/>
      <c r="E18" s="1901" t="s">
        <v>3412</v>
      </c>
      <c r="F18" s="404"/>
      <c r="G18" s="1901" t="s">
        <v>3411</v>
      </c>
      <c r="H18" s="399"/>
      <c r="I18" s="1901" t="s">
        <v>3411</v>
      </c>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3</v>
      </c>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3412</v>
      </c>
      <c r="D20" s="399"/>
      <c r="E20" s="398" t="s">
        <v>3412</v>
      </c>
      <c r="F20" s="400"/>
      <c r="G20" s="398" t="s">
        <v>3412</v>
      </c>
      <c r="H20" s="399"/>
      <c r="I20" s="398" t="s">
        <v>3412</v>
      </c>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t="s">
        <v>3413</v>
      </c>
      <c r="D22" s="399"/>
      <c r="E22" s="1901" t="s">
        <v>3413</v>
      </c>
      <c r="F22" s="400"/>
      <c r="G22" s="1901" t="s">
        <v>3413</v>
      </c>
      <c r="H22" s="399"/>
      <c r="I22" s="1901" t="s">
        <v>3413</v>
      </c>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3411</v>
      </c>
      <c r="D24" s="399"/>
      <c r="E24" s="398" t="s">
        <v>3411</v>
      </c>
      <c r="F24" s="400"/>
      <c r="G24" s="398" t="s">
        <v>3411</v>
      </c>
      <c r="H24" s="399"/>
      <c r="I24" s="398" t="s">
        <v>3411</v>
      </c>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t="s">
        <v>3422</v>
      </c>
      <c r="D28" s="386">
        <v>100</v>
      </c>
      <c r="E28" s="565" t="s">
        <v>3418</v>
      </c>
      <c r="F28" s="412">
        <f>SUMIF(92:92,E28,93:93)-SUMIF(92:92,C28,93:93)+100</f>
        <v>130</v>
      </c>
      <c r="G28" s="565" t="s">
        <v>3426</v>
      </c>
      <c r="H28" s="386">
        <f>SUMIF(92:92,G28,93:93)-SUMIF(92:92,C28,93:93)+100</f>
        <v>105</v>
      </c>
      <c r="I28" s="565" t="s">
        <v>3429</v>
      </c>
      <c r="J28" s="386">
        <f>SUMIF(92:92,I28,93:93)-SUMIF(92:92,C28,93:93)+100</f>
        <v>115</v>
      </c>
      <c r="K28" s="562"/>
      <c r="L28" s="2722"/>
      <c r="M28" s="2716"/>
      <c r="N28" s="2716"/>
      <c r="O28" s="2716"/>
      <c r="P28" s="3674"/>
      <c r="Q28" s="1352" t="str">
        <f t="shared" si="11"/>
        <v>楼层</v>
      </c>
      <c r="R28" s="705" t="s">
        <v>14</v>
      </c>
      <c r="S28" s="706">
        <f t="shared" ref="S28:S46" si="12">F28</f>
        <v>130</v>
      </c>
      <c r="T28" s="705" t="s">
        <v>14</v>
      </c>
      <c r="U28" s="706">
        <f t="shared" ref="U28:U46" si="13">H28</f>
        <v>105</v>
      </c>
      <c r="V28" s="705" t="s">
        <v>14</v>
      </c>
      <c r="W28" s="706">
        <f t="shared" ref="W28:W46" si="14">J28</f>
        <v>115</v>
      </c>
      <c r="X28" s="1355"/>
      <c r="Y28" s="3667"/>
      <c r="Z28" s="1356" t="str">
        <f t="shared" ref="Z28:Z46" si="15">Q28</f>
        <v>楼层</v>
      </c>
      <c r="AA28" s="1353">
        <f t="shared" si="3"/>
        <v>0.76923076923076927</v>
      </c>
      <c r="AB28" s="1353">
        <f t="shared" si="4"/>
        <v>0.95238095238095233</v>
      </c>
      <c r="AC28" s="1353">
        <f t="shared" si="5"/>
        <v>0.86956521739130432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v>89.56</v>
      </c>
      <c r="F33" s="376">
        <f>LOOKUP(E33,103:103,104:104)-LOOKUP(C33,103:103,104:104)+100</f>
        <v>100</v>
      </c>
      <c r="G33" s="380">
        <v>4000</v>
      </c>
      <c r="H33" s="127">
        <f>LOOKUP(G33,103:103,104:104)-LOOKUP(C33,103:103,104:104)+100</f>
        <v>100</v>
      </c>
      <c r="I33" s="380">
        <v>227.5</v>
      </c>
      <c r="J33" s="127">
        <f>LOOKUP(I33,103:103,104:104)-LOOKUP(C33,103:103,104:104)+100</f>
        <v>100</v>
      </c>
      <c r="K33" s="562"/>
      <c r="L33" s="2721"/>
      <c r="M33" s="2723"/>
      <c r="N33" s="2723"/>
      <c r="O33" s="2723"/>
      <c r="P33" s="3669"/>
      <c r="Q33" s="707" t="str">
        <f t="shared" si="11"/>
        <v>项目建筑规模</v>
      </c>
      <c r="R33" s="708" t="s">
        <v>14</v>
      </c>
      <c r="S33" s="709">
        <f t="shared" si="12"/>
        <v>100</v>
      </c>
      <c r="T33" s="708" t="s">
        <v>14</v>
      </c>
      <c r="U33" s="709">
        <f t="shared" si="13"/>
        <v>100</v>
      </c>
      <c r="V33" s="708" t="s">
        <v>14</v>
      </c>
      <c r="W33" s="709">
        <f t="shared" si="14"/>
        <v>100</v>
      </c>
      <c r="X33" s="710"/>
      <c r="Y33" s="3671"/>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f>'数据-取费表'!N6</f>
        <v>0.77500000000000002</v>
      </c>
      <c r="D36" s="386">
        <v>100</v>
      </c>
      <c r="E36" s="425">
        <f>C36</f>
        <v>0.77500000000000002</v>
      </c>
      <c r="F36" s="412">
        <f>LOOKUP(E36,110:110,111:111)-LOOKUP(C36,110:110,111:111)+100</f>
        <v>100</v>
      </c>
      <c r="G36" s="425">
        <v>0.85</v>
      </c>
      <c r="H36" s="412">
        <f>LOOKUP(G36,110:110,111:111)-LOOKUP(C36,110:110,111:111)+100</f>
        <v>101</v>
      </c>
      <c r="I36" s="425">
        <v>0.75</v>
      </c>
      <c r="J36" s="386">
        <f>LOOKUP(I36,110:110,111:111)-LOOKUP(C36,110:110,111:111)+100</f>
        <v>100</v>
      </c>
      <c r="K36" s="561">
        <v>1</v>
      </c>
      <c r="L36" s="2722"/>
      <c r="M36" s="2716"/>
      <c r="N36" s="2716"/>
      <c r="O36" s="2716"/>
      <c r="P36" s="3669"/>
      <c r="Q36" s="1352" t="str">
        <f t="shared" si="11"/>
        <v>成新度</v>
      </c>
      <c r="R36" s="705" t="s">
        <v>14</v>
      </c>
      <c r="S36" s="706">
        <f t="shared" si="12"/>
        <v>100</v>
      </c>
      <c r="T36" s="705" t="s">
        <v>14</v>
      </c>
      <c r="U36" s="706">
        <f t="shared" si="13"/>
        <v>101</v>
      </c>
      <c r="V36" s="705" t="s">
        <v>14</v>
      </c>
      <c r="W36" s="706">
        <f t="shared" si="14"/>
        <v>100</v>
      </c>
      <c r="X36" s="1355"/>
      <c r="Y36" s="3671"/>
      <c r="Z36" s="1356" t="str">
        <f t="shared" si="15"/>
        <v>成新度</v>
      </c>
      <c r="AA36" s="1353">
        <f t="shared" si="3"/>
        <v>1</v>
      </c>
      <c r="AB36" s="1353">
        <f t="shared" si="4"/>
        <v>0.99009900990099009</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3793" t="s">
        <v>3414</v>
      </c>
      <c r="D44" s="127">
        <v>100</v>
      </c>
      <c r="E44" s="3794" t="s">
        <v>3415</v>
      </c>
      <c r="F44" s="376">
        <f>SUMIF(126:126,E44,127:127)-SUMIF(126:126,C44,127:127)+100</f>
        <v>115</v>
      </c>
      <c r="G44" s="3794" t="s">
        <v>3416</v>
      </c>
      <c r="H44" s="127">
        <f>SUMIF(126:126,G44,127:127)-SUMIF(126:126,C44,127:127)+100</f>
        <v>100</v>
      </c>
      <c r="I44" s="3794" t="s">
        <v>3415</v>
      </c>
      <c r="J44" s="127">
        <f>SUMIF(126:126,I44,127:127)-SUMIF(126:126,C44,127:127)+100</f>
        <v>115</v>
      </c>
      <c r="K44" s="562"/>
      <c r="L44" s="2717"/>
      <c r="M44" s="2718"/>
      <c r="N44" s="2718"/>
      <c r="O44" s="2718"/>
      <c r="P44" s="3669"/>
      <c r="Q44" s="1343">
        <f t="shared" si="11"/>
        <v>111</v>
      </c>
      <c r="R44" s="701" t="s">
        <v>14</v>
      </c>
      <c r="S44" s="702">
        <f t="shared" si="12"/>
        <v>115</v>
      </c>
      <c r="T44" s="701" t="s">
        <v>14</v>
      </c>
      <c r="U44" s="702">
        <f t="shared" si="13"/>
        <v>100</v>
      </c>
      <c r="V44" s="701" t="s">
        <v>14</v>
      </c>
      <c r="W44" s="702">
        <f t="shared" si="14"/>
        <v>115</v>
      </c>
      <c r="X44" s="703"/>
      <c r="Y44" s="3671"/>
      <c r="Z44" s="52">
        <f t="shared" si="15"/>
        <v>111</v>
      </c>
      <c r="AA44" s="704">
        <f t="shared" si="3"/>
        <v>0.86956521739130432</v>
      </c>
      <c r="AB44" s="704">
        <f t="shared" si="4"/>
        <v>1</v>
      </c>
      <c r="AC44" s="704">
        <f t="shared" si="5"/>
        <v>0.86956521739130432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v>52000</v>
      </c>
      <c r="F47" s="1157"/>
      <c r="G47" s="1158">
        <v>42000</v>
      </c>
      <c r="H47" s="1159"/>
      <c r="I47" s="1156">
        <v>48000</v>
      </c>
      <c r="J47" s="1159"/>
      <c r="K47" s="714"/>
      <c r="L47" s="2724"/>
      <c r="M47" s="2725"/>
      <c r="N47" s="2716"/>
      <c r="O47" s="2725"/>
      <c r="P47" s="3664" t="str">
        <f>A47</f>
        <v>成交单价（元/平方米）</v>
      </c>
      <c r="Q47" s="3664"/>
      <c r="R47" s="3695">
        <f>E47</f>
        <v>52000</v>
      </c>
      <c r="S47" s="3695"/>
      <c r="T47" s="3695">
        <f>G47</f>
        <v>42000</v>
      </c>
      <c r="U47" s="3695"/>
      <c r="V47" s="3695">
        <f>I47</f>
        <v>48000</v>
      </c>
      <c r="W47" s="3695"/>
      <c r="X47" s="690"/>
      <c r="Y47" s="712"/>
      <c r="Z47" s="690"/>
      <c r="AA47" s="690"/>
      <c r="AB47" s="690"/>
      <c r="AC47" s="690"/>
    </row>
    <row r="48" spans="1:29" ht="15.75" thickBot="1">
      <c r="A48" s="437" t="s">
        <v>1793</v>
      </c>
      <c r="B48" s="438"/>
      <c r="C48" s="1160">
        <f>R49</f>
        <v>33149</v>
      </c>
      <c r="D48" s="2317" t="s">
        <v>2138</v>
      </c>
      <c r="E48" s="1161">
        <f>R48</f>
        <v>33770</v>
      </c>
      <c r="F48" s="2318"/>
      <c r="G48" s="1160">
        <f>T48</f>
        <v>34270</v>
      </c>
      <c r="H48" s="2318"/>
      <c r="I48" s="1161">
        <f>V48</f>
        <v>31406</v>
      </c>
      <c r="J48" s="2318"/>
      <c r="K48" s="2320">
        <f>F48+H48+J48</f>
        <v>0</v>
      </c>
      <c r="L48" s="2724"/>
      <c r="M48" s="2725"/>
      <c r="N48" s="2716"/>
      <c r="O48" s="2725"/>
      <c r="P48" s="3664" t="str">
        <f>A48</f>
        <v>比较价值（元/平方米）</v>
      </c>
      <c r="Q48" s="3664"/>
      <c r="R48" s="3665">
        <f>IF(F1="售价",ROUND(PRODUCT(R47,AA7:AA46),0),ROUND(PRODUCT(R47,AA7:AA46),1))</f>
        <v>33770</v>
      </c>
      <c r="S48" s="3665"/>
      <c r="T48" s="3665">
        <f>IF(F1="售价",ROUND(PRODUCT(T47,AB7:AB46),0),ROUND(PRODUCT(T47,AB7:AB46),1))</f>
        <v>34270</v>
      </c>
      <c r="U48" s="3665"/>
      <c r="V48" s="3665">
        <f>IF(F1="售价",ROUND(PRODUCT(V47,AC7:AC46),0),ROUND(PRODUCT(V47,AC7:AC46),1))</f>
        <v>31406</v>
      </c>
      <c r="W48" s="3665"/>
      <c r="X48" s="690"/>
      <c r="Y48" s="690"/>
      <c r="Z48" s="690"/>
      <c r="AA48" s="690"/>
      <c r="AB48" s="690"/>
      <c r="AC48" s="690"/>
    </row>
    <row r="49" spans="1:29" ht="15.75" thickBot="1">
      <c r="A49" s="441" t="s">
        <v>1794</v>
      </c>
      <c r="B49" s="442"/>
      <c r="C49" s="1163">
        <f>R49</f>
        <v>33149</v>
      </c>
      <c r="D49" s="1163"/>
      <c r="E49" s="1163"/>
      <c r="F49" s="1163"/>
      <c r="G49" s="1163"/>
      <c r="H49" s="1163"/>
      <c r="I49" s="1163"/>
      <c r="J49" s="1163"/>
      <c r="K49" s="715"/>
      <c r="L49" s="2724"/>
      <c r="M49" s="2725"/>
      <c r="N49" s="2716"/>
      <c r="O49" s="2725"/>
      <c r="P49" s="3661" t="str">
        <f>A49</f>
        <v>估价对象XX用房的比较价值（楼面单价，元/平方米）</v>
      </c>
      <c r="Q49" s="3662"/>
      <c r="R49" s="3663">
        <f>IF(F1="售价",ROUND(IF(D48="简单平均",AVERAGE(R48:V48),R48*F48+T48*H48+V48*J48),0),ROUND(IF(D48="简单平均",AVERAGE(R48:V48),R48*F48+T48*H48+V48*J48),1))</f>
        <v>33149</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0.53982824992596989</v>
      </c>
      <c r="F52" s="449" t="str">
        <f>IF(OR(E52&gt;=0.3,E52&lt;=-0.3),"超过30%","")</f>
        <v>超过30%</v>
      </c>
      <c r="G52" s="448">
        <f>IF(G47&lt;G48,G48/G47-1,G47/G48-1)</f>
        <v>0.22556171578640205</v>
      </c>
      <c r="H52" s="449" t="str">
        <f>IF(OR(G52&gt;=0.3,G52&lt;=-0.3),"超过30%","")</f>
        <v/>
      </c>
      <c r="I52" s="448">
        <f>IF(I47&lt;I48,I48/I47-1,I47/I48-1)</f>
        <v>0.52837037508756279</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1.4806040864672854E-2</v>
      </c>
      <c r="F53" s="449" t="str">
        <f>IF(OR(E53&gt;=0.2,E53&lt;=-0.2),"超过20%","")</f>
        <v/>
      </c>
      <c r="G53" s="448">
        <f>IF(G48&lt;I48,I48/G48-1,G48/I48-1)</f>
        <v>9.1192765713557833E-2</v>
      </c>
      <c r="H53" s="449" t="str">
        <f>IF(OR(G53&gt;=0.2,G53&lt;=-0.2),"超过20%","")</f>
        <v/>
      </c>
      <c r="I53" s="448">
        <f>IF(I48&lt;E48,E48/I48-1,I48/E48-1)</f>
        <v>7.5272240973062399E-2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0.23809523809523814</v>
      </c>
      <c r="F54" s="449" t="str">
        <f>IF(OR(E54&gt;=0.3,E54&lt;=-0.3),"超过30%","")</f>
        <v/>
      </c>
      <c r="G54" s="448">
        <f>IF(G47&lt;I47,I47/G47-1,G47/I47-1)</f>
        <v>0.14285714285714279</v>
      </c>
      <c r="H54" s="449" t="str">
        <f>IF(OR(G54&gt;=0.3,G54&lt;=-0.3),"超过30%","")</f>
        <v/>
      </c>
      <c r="I54" s="448">
        <f>IF(I47&lt;E47,E47/I47-1,I47/E47-1)</f>
        <v>8.3333333333333259E-2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789" t="s">
        <v>3407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工业</v>
      </c>
      <c r="D63" s="3791" t="s">
        <v>3409</v>
      </c>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v>110</v>
      </c>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97</v>
      </c>
      <c r="E81" s="493">
        <f>D81-$K19</f>
        <v>94</v>
      </c>
      <c r="F81" s="493">
        <f>E81-$K19</f>
        <v>91</v>
      </c>
      <c r="G81" s="493">
        <f>F81-$K19</f>
        <v>88</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3417</v>
      </c>
      <c r="D92" s="3795" t="s">
        <v>3419</v>
      </c>
      <c r="E92" s="503" t="s">
        <v>3420</v>
      </c>
      <c r="F92" s="503" t="s">
        <v>3421</v>
      </c>
      <c r="G92" s="3795" t="s">
        <v>3425</v>
      </c>
      <c r="H92" s="503" t="s">
        <v>3428</v>
      </c>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70</v>
      </c>
      <c r="E93" s="485">
        <v>70</v>
      </c>
      <c r="F93" s="485">
        <v>60</v>
      </c>
      <c r="G93" s="485">
        <v>75</v>
      </c>
      <c r="H93" s="485">
        <v>85</v>
      </c>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3796" t="s">
        <v>3414</v>
      </c>
      <c r="D126" s="3796" t="s">
        <v>3423</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115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G44" sqref="G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3394</v>
      </c>
      <c r="D1" s="1362" t="s">
        <v>43</v>
      </c>
      <c r="E1" s="1363" t="s">
        <v>678</v>
      </c>
      <c r="F1" s="1062">
        <f ca="1">J53</f>
        <v>32.380000000000003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28717</v>
      </c>
      <c r="C2" s="1387" t="s">
        <v>805</v>
      </c>
      <c r="D2" s="1387"/>
      <c r="E2" s="1388"/>
      <c r="F2" s="1389"/>
      <c r="G2" s="2706"/>
      <c r="H2" s="2695"/>
      <c r="I2" s="2695"/>
      <c r="J2" s="2695"/>
      <c r="K2" s="2696"/>
      <c r="L2" s="2695"/>
      <c r="M2" s="2695"/>
    </row>
    <row r="3" spans="1:37" ht="18" customHeight="1" thickBot="1">
      <c r="A3" s="1390" t="s">
        <v>806</v>
      </c>
      <c r="B3" s="1391">
        <f ca="1">IF(ISERROR(B2*10000/F43),0,ROUND(B2*10000/F43,0))</f>
        <v>27966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1756</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1754</v>
      </c>
      <c r="D6" s="155" t="s">
        <v>2109</v>
      </c>
      <c r="E6" s="302" t="s">
        <v>696</v>
      </c>
      <c r="F6" s="303">
        <f ca="1">INDIRECT("'数据-取费表'!u"&amp;$G$1)</f>
        <v>5.2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10268.67</v>
      </c>
      <c r="G7" s="1384"/>
      <c r="H7" s="304"/>
      <c r="I7" s="3638"/>
      <c r="J7" s="306"/>
      <c r="K7" s="307"/>
      <c r="L7" s="302" t="s">
        <v>697</v>
      </c>
      <c r="M7" s="303">
        <f ca="1">F7</f>
        <v>10268.67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3400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4562</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4107</v>
      </c>
      <c r="D14" s="1345" t="s">
        <v>708</v>
      </c>
      <c r="E14" s="1342"/>
      <c r="F14" s="319"/>
      <c r="G14" s="1384"/>
      <c r="H14" s="982" t="s">
        <v>398</v>
      </c>
      <c r="I14" s="302" t="s">
        <v>709</v>
      </c>
      <c r="J14" s="21">
        <f ca="1">C29</f>
        <v>5886</v>
      </c>
      <c r="K14" s="12"/>
      <c r="L14" s="807"/>
      <c r="M14" s="808"/>
    </row>
    <row r="15" spans="1:37" s="1397" customFormat="1" ht="18" customHeight="1" thickBot="1">
      <c r="A15" s="982" t="s">
        <v>399</v>
      </c>
      <c r="B15" s="302" t="s">
        <v>710</v>
      </c>
      <c r="C15" s="21">
        <f ca="1">ROUND(C14*F15,0)</f>
        <v>123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29</v>
      </c>
      <c r="K16" s="1087" t="s">
        <v>715</v>
      </c>
      <c r="L16" s="1088"/>
      <c r="M16" s="1072"/>
    </row>
    <row r="17" spans="1:37" s="1397" customFormat="1" ht="18" customHeight="1">
      <c r="A17" s="982" t="s">
        <v>681</v>
      </c>
      <c r="B17" s="302" t="s">
        <v>716</v>
      </c>
      <c r="C17" s="21">
        <f ca="1">ROUND(F17*(F43+INDIRECT("'数据-取费表'!S"&amp;$G$1))/10000,0)</f>
        <v>205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4497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29.43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-29</v>
      </c>
      <c r="K25" s="1095" t="s">
        <v>753</v>
      </c>
      <c r="L25" s="1096"/>
      <c r="M25" s="1097"/>
    </row>
    <row r="26" spans="1:37">
      <c r="A26" s="982" t="s">
        <v>397</v>
      </c>
      <c r="B26" s="302" t="s">
        <v>754</v>
      </c>
      <c r="C26" s="21">
        <f ca="1">ROUND((C19+C20)*F26,0)</f>
        <v>688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5886</v>
      </c>
      <c r="D29" s="1092"/>
      <c r="E29" s="1090"/>
      <c r="F29" s="1093"/>
      <c r="G29" s="1396"/>
      <c r="H29" s="334" t="s">
        <v>396</v>
      </c>
      <c r="I29" s="335" t="s">
        <v>768</v>
      </c>
      <c r="J29" s="336">
        <f ca="1">ROUND(J26/(1+F40)^F41,0)</f>
        <v>0</v>
      </c>
      <c r="K29" s="337" t="s">
        <v>769</v>
      </c>
      <c r="L29" s="338"/>
      <c r="M29" s="339">
        <f ca="1">INDIRECT("'数据-取费表'!k"&amp;$G$1)</f>
        <v>10268.67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294.01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93.55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200.46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29.43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6.84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17.559999999999999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1408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28491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32.380000000000003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27746</v>
      </c>
      <c r="D43" s="337" t="s">
        <v>777</v>
      </c>
      <c r="E43" s="338" t="s">
        <v>778</v>
      </c>
      <c r="F43" s="339">
        <f ca="1">INDIRECT("'数据-取费表'!k"&amp;$G$1)</f>
        <v>10268.67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-29030</v>
      </c>
      <c r="D46" s="1406" t="str">
        <f>C2</f>
        <v>万元</v>
      </c>
      <c r="E46" s="1400"/>
      <c r="F46" s="1400"/>
      <c r="I46" s="1407" t="s">
        <v>810</v>
      </c>
      <c r="J46" s="1408"/>
      <c r="K46" s="1409"/>
      <c r="L46" s="1410">
        <f ca="1">IF(M47="住宅",0,IF(L48&gt;J51,L60,J60))</f>
        <v>226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28491</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32.380000000000003</v>
      </c>
      <c r="O48" s="1418" t="s">
        <v>404</v>
      </c>
      <c r="P48" s="1419" t="s">
        <v>821</v>
      </c>
      <c r="Q48" s="1420">
        <f ca="1">J60</f>
        <v>226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5886</v>
      </c>
      <c r="R49" s="1420" t="s">
        <v>818</v>
      </c>
    </row>
    <row r="50" spans="1:18" s="1384" customFormat="1" ht="13.5" thickBot="1">
      <c r="A50" s="976"/>
      <c r="B50" s="979"/>
      <c r="C50" s="1118"/>
      <c r="D50" s="953"/>
      <c r="E50" s="1056" t="s">
        <v>697</v>
      </c>
      <c r="F50" s="1057">
        <f ca="1">F7</f>
        <v>10268.67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19350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32.380000000000003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32.380000000000003</v>
      </c>
      <c r="K53" s="3635" t="s">
        <v>837</v>
      </c>
      <c r="L53" s="3636"/>
      <c r="O53" s="1418" t="s">
        <v>409</v>
      </c>
      <c r="P53" s="1419" t="s">
        <v>838</v>
      </c>
      <c r="Q53" s="1420">
        <f ca="1">Q47+Q48</f>
        <v>28717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v>
      </c>
      <c r="K55" s="1445" t="s">
        <v>841</v>
      </c>
      <c r="L55" s="1446"/>
      <c r="O55" s="1411" t="s">
        <v>811</v>
      </c>
      <c r="P55" s="1412" t="s">
        <v>812</v>
      </c>
      <c r="Q55" s="1413" t="s">
        <v>813</v>
      </c>
      <c r="R55" s="1413" t="s">
        <v>814</v>
      </c>
    </row>
    <row r="56" spans="1:18" s="1384" customFormat="1" ht="25.5" thickTop="1" thickBot="1">
      <c r="A56" s="957">
        <v>2</v>
      </c>
      <c r="B56" s="958" t="s">
        <v>704</v>
      </c>
      <c r="C56" s="232">
        <f ca="1">C13</f>
        <v>4562</v>
      </c>
      <c r="D56" s="1447"/>
      <c r="E56" s="1448"/>
      <c r="F56" s="1440"/>
      <c r="I56" s="1449" t="s">
        <v>842</v>
      </c>
      <c r="J56" s="1450" t="s">
        <v>3403</v>
      </c>
      <c r="K56" s="1421" t="s">
        <v>843</v>
      </c>
      <c r="L56" s="1424" t="str">
        <f ca="1">IF(L48&lt;J51,"——",L48-J53)</f>
        <v>——</v>
      </c>
      <c r="O56" s="1418" t="s">
        <v>403</v>
      </c>
      <c r="P56" s="1419" t="s">
        <v>817</v>
      </c>
      <c r="Q56" s="1420">
        <f ca="1">C40+J29</f>
        <v>28491</v>
      </c>
      <c r="R56" s="1420" t="s">
        <v>818</v>
      </c>
    </row>
    <row r="57" spans="1:18" s="1384" customFormat="1" ht="24.75" thickBot="1">
      <c r="A57" s="1451"/>
      <c r="B57" s="950" t="s">
        <v>767</v>
      </c>
      <c r="C57" s="238">
        <f ca="1">C29</f>
        <v>5886</v>
      </c>
      <c r="D57" s="1452"/>
      <c r="E57" s="1453"/>
      <c r="F57" s="1454"/>
      <c r="I57" s="1455" t="s">
        <v>844</v>
      </c>
      <c r="J57" s="1456">
        <f ca="1">IF(OR(M47="住宅",J51&lt;L48,J56="是"),"——",J51-L48)</f>
        <v>12.619999999999997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2354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28491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29.43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6.84</v>
      </c>
      <c r="D65" s="964" t="s">
        <v>743</v>
      </c>
      <c r="E65" s="950" t="s">
        <v>744</v>
      </c>
      <c r="F65" s="330">
        <f t="shared" ca="1" si="0"/>
        <v>1.5E-3</v>
      </c>
      <c r="I65" s="1462" t="s">
        <v>867</v>
      </c>
      <c r="J65" s="1463">
        <v>40</v>
      </c>
      <c r="K65" s="1463">
        <v>30</v>
      </c>
      <c r="L65" s="1463">
        <v>50</v>
      </c>
      <c r="M65" s="1465">
        <v>0.02</v>
      </c>
      <c r="O65" s="1418" t="s">
        <v>403</v>
      </c>
      <c r="P65" s="1419" t="s">
        <v>868</v>
      </c>
      <c r="Q65" s="1420">
        <f ca="1">C40+J29</f>
        <v>28491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v>
      </c>
      <c r="D67" s="963" t="s">
        <v>753</v>
      </c>
      <c r="E67" s="968"/>
      <c r="F67" s="969"/>
      <c r="O67" s="1428" t="s">
        <v>405</v>
      </c>
      <c r="P67" s="1419" t="s">
        <v>850</v>
      </c>
      <c r="Q67" s="1466">
        <f ca="1">L51</f>
        <v>19350</v>
      </c>
      <c r="R67" s="1420" t="s">
        <v>870</v>
      </c>
    </row>
    <row r="68" spans="1:18" s="1384" customFormat="1" ht="16.5" thickBot="1">
      <c r="A68" s="947" t="s">
        <v>395</v>
      </c>
      <c r="B68" s="948" t="s">
        <v>774</v>
      </c>
      <c r="C68" s="301">
        <f ca="1">ROUND(C67*(1-((1+F70)/(1+F68))^F69)/(F68-F70),0)</f>
        <v>-539</v>
      </c>
      <c r="D68" s="965" t="s">
        <v>758</v>
      </c>
      <c r="E68" s="950" t="s">
        <v>759</v>
      </c>
      <c r="F68" s="312">
        <f ca="1">F40</f>
        <v>5.5E-2</v>
      </c>
      <c r="O68" s="1428" t="s">
        <v>406</v>
      </c>
      <c r="P68" s="1467" t="s">
        <v>871</v>
      </c>
      <c r="Q68" s="1420">
        <f ca="1">ROUND(Q69-Q70*Q71,0)</f>
        <v>1089</v>
      </c>
      <c r="R68" s="1420" t="s">
        <v>414</v>
      </c>
    </row>
    <row r="69" spans="1:18" s="1384" customFormat="1" ht="13.5" thickBot="1">
      <c r="A69" s="951"/>
      <c r="B69" s="952"/>
      <c r="C69" s="306"/>
      <c r="D69" s="970" t="s">
        <v>762</v>
      </c>
      <c r="E69" s="950" t="s">
        <v>763</v>
      </c>
      <c r="F69" s="333">
        <f ca="1">F41</f>
        <v>32.380000000000003</v>
      </c>
      <c r="O69" s="1428" t="s">
        <v>411</v>
      </c>
      <c r="P69" s="1467" t="s">
        <v>872</v>
      </c>
      <c r="Q69" s="1420">
        <f ca="1">C39</f>
        <v>1408</v>
      </c>
      <c r="R69" s="1420" t="s">
        <v>818</v>
      </c>
    </row>
    <row r="70" spans="1:18" s="1384" customFormat="1" ht="13.5" thickBot="1">
      <c r="A70" s="954"/>
      <c r="B70" s="955"/>
      <c r="C70" s="310"/>
      <c r="D70" s="966"/>
      <c r="E70" s="950" t="s">
        <v>766</v>
      </c>
      <c r="F70" s="1054"/>
      <c r="O70" s="1428" t="s">
        <v>412</v>
      </c>
      <c r="P70" s="1467" t="s">
        <v>873</v>
      </c>
      <c r="Q70" s="1420">
        <f ca="1">C13</f>
        <v>4562</v>
      </c>
      <c r="R70" s="1420" t="s">
        <v>818</v>
      </c>
    </row>
    <row r="71" spans="1:18" s="1384" customFormat="1" ht="13.5" thickBot="1">
      <c r="A71" s="971" t="s">
        <v>396</v>
      </c>
      <c r="B71" s="972" t="s">
        <v>776</v>
      </c>
      <c r="C71" s="336">
        <f ca="1">ROUND(C68*10000/F71,0)</f>
        <v>-525</v>
      </c>
      <c r="D71" s="973" t="s">
        <v>777</v>
      </c>
      <c r="E71" s="974" t="s">
        <v>778</v>
      </c>
      <c r="F71" s="339">
        <f ca="1">F43</f>
        <v>10268.67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319</v>
      </c>
      <c r="D75" s="1384"/>
      <c r="E75" s="1384"/>
      <c r="F75" s="1384"/>
      <c r="K75" s="1402"/>
      <c r="L75" s="1384"/>
      <c r="O75" s="1418" t="s">
        <v>409</v>
      </c>
      <c r="P75" s="1419" t="s">
        <v>838</v>
      </c>
      <c r="Q75" s="1420">
        <f ca="1">Q65+Q66</f>
        <v>28491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0.77300000000000002</v>
      </c>
    </row>
    <row r="80" spans="1:18">
      <c r="B80" s="340" t="s">
        <v>800</v>
      </c>
      <c r="C80" s="274">
        <f ca="1">ROUND(C75/C39,3)</f>
        <v>0.22700000000000001</v>
      </c>
    </row>
    <row r="81" spans="2:3">
      <c r="B81" s="270" t="s">
        <v>801</v>
      </c>
      <c r="C81" s="238"/>
    </row>
    <row r="82" spans="2:3">
      <c r="B82" s="273" t="s">
        <v>802</v>
      </c>
      <c r="C82" s="275">
        <f ca="1">1-C83</f>
        <v>0.84</v>
      </c>
    </row>
    <row r="83" spans="2:3">
      <c r="B83" s="273" t="s">
        <v>803</v>
      </c>
      <c r="C83" s="274">
        <f ca="1">ROUND(C13/C40,3)</f>
        <v>0.16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28717</v>
      </c>
      <c r="C2" s="1872" t="s">
        <v>1651</v>
      </c>
      <c r="D2" s="1873" t="s">
        <v>1652</v>
      </c>
      <c r="E2" s="2607">
        <f>SUM(E6:E13)</f>
        <v>10268.67</v>
      </c>
      <c r="F2" s="2707"/>
      <c r="G2" s="1489"/>
      <c r="H2" s="1489"/>
      <c r="I2" s="1489"/>
      <c r="J2" s="1489"/>
      <c r="K2" s="1489"/>
      <c r="L2" s="1489"/>
      <c r="M2" s="1489"/>
      <c r="N2" s="1489"/>
      <c r="O2" s="1489"/>
      <c r="P2" s="1489"/>
      <c r="Q2" s="1489"/>
      <c r="R2" s="1489"/>
      <c r="S2" s="1489"/>
    </row>
    <row r="3" spans="1:22" ht="15.75">
      <c r="A3" s="1870" t="s">
        <v>686</v>
      </c>
      <c r="B3" s="2601">
        <f ca="1">ROUND(B2*10000/E2,0)</f>
        <v>27966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28717</v>
      </c>
      <c r="C6" s="1872" t="s">
        <v>1651</v>
      </c>
      <c r="D6" s="2709"/>
      <c r="E6" s="2606">
        <f>IF(OR(A6=0,F6="否"),0,'数据-取费表'!K6+'数据-取费表'!S6)</f>
        <v>10268.67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10268.67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10268.67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45309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10268.67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受贵公司委托，我公司对海淀区西杉创意园一区1、2、6号楼房地产抵押价值进行了预评估。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估价对象为海淀区西杉创意园一区1、2、6号楼房地产，为所有。根据《国有土地使用证》[]，估价对象（分摊）出让国有建设用地使用权面积为0平方米，建筑面积为10268.67平方米。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淀区西杉创意园一区1、2、6号楼房地产,属开发建设的，该项目尚在开发建设中。根据《国有土地使用证》[]，估价对象（分摊）出让国有建设用地使用权面积为0平方米，规划建筑面积为10268.67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海淀区西杉创意园一区1、2、6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45309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664"/>
      <c r="Q10" s="1343" t="str">
        <f t="shared" si="6"/>
        <v>土地使用年限（年）</v>
      </c>
      <c r="R10" s="701" t="s">
        <v>14</v>
      </c>
      <c r="S10" s="702">
        <f t="shared" si="0"/>
        <v>115</v>
      </c>
      <c r="T10" s="701" t="s">
        <v>14</v>
      </c>
      <c r="U10" s="702">
        <f t="shared" si="1"/>
        <v>115</v>
      </c>
      <c r="V10" s="701" t="s">
        <v>14</v>
      </c>
      <c r="W10" s="702">
        <f t="shared" si="2"/>
        <v>115</v>
      </c>
      <c r="X10" s="703"/>
      <c r="Y10" s="3539"/>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8194.18</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2074.4899999999998</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10268.67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664"/>
      <c r="Q10" s="1343" t="str">
        <f t="shared" si="6"/>
        <v>土地使用年限（年）</v>
      </c>
      <c r="R10" s="701" t="s">
        <v>14</v>
      </c>
      <c r="S10" s="702">
        <f t="shared" si="0"/>
        <v>115</v>
      </c>
      <c r="T10" s="701" t="s">
        <v>14</v>
      </c>
      <c r="U10" s="702">
        <f t="shared" si="1"/>
        <v>115</v>
      </c>
      <c r="V10" s="701" t="s">
        <v>14</v>
      </c>
      <c r="W10" s="702">
        <f t="shared" si="2"/>
        <v>115</v>
      </c>
      <c r="X10" s="703"/>
      <c r="Y10" s="3539"/>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8194.18</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2074.4899999999998</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45309</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32614</v>
      </c>
      <c r="C2" s="2" t="s">
        <v>106</v>
      </c>
      <c r="D2" s="199"/>
      <c r="E2" s="199"/>
      <c r="F2" s="199"/>
      <c r="G2" s="199"/>
    </row>
    <row r="3" spans="1:7" s="200" customFormat="1" ht="18" customHeight="1" thickBot="1">
      <c r="A3" s="203" t="s">
        <v>58</v>
      </c>
      <c r="B3" s="204">
        <f ca="1">ROUND(B2*10000/'数据-汇总表'!E3,0)</f>
        <v>31761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205</v>
      </c>
      <c r="D10" s="845">
        <f>'数据-汇总表'!E6</f>
        <v>10268.67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205</v>
      </c>
      <c r="D19" s="849">
        <f>'数据-汇总表'!E3</f>
        <v>10268.67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4107</v>
      </c>
      <c r="D34" s="217"/>
      <c r="E34" s="220"/>
      <c r="F34" s="257">
        <f>IF('数据-取费表'!B24=0,1,'数据-取费表'!N16)</f>
        <v>1</v>
      </c>
      <c r="G34" s="219" t="s">
        <v>89</v>
      </c>
    </row>
    <row r="35" spans="1:7" ht="13.5" customHeight="1">
      <c r="A35" s="780" t="s">
        <v>351</v>
      </c>
      <c r="B35" s="215" t="s">
        <v>33</v>
      </c>
      <c r="C35" s="220">
        <f>ROUND(C34*F35,0)</f>
        <v>123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205</v>
      </c>
      <c r="D37" s="217">
        <f>'数据-汇总表'!E3</f>
        <v>10268.67</v>
      </c>
      <c r="E37" s="249">
        <f>'数据-取费表'!B35</f>
        <v>200</v>
      </c>
      <c r="F37" s="259"/>
      <c r="G37" s="261" t="s">
        <v>92</v>
      </c>
    </row>
    <row r="38" spans="1:7" ht="13.5" customHeight="1">
      <c r="A38" s="780" t="s">
        <v>354</v>
      </c>
      <c r="B38" s="215" t="s">
        <v>36</v>
      </c>
      <c r="C38" s="220">
        <f>ROUND(C34*F38,0)</f>
        <v>62</v>
      </c>
      <c r="D38" s="220"/>
      <c r="E38" s="220"/>
      <c r="F38" s="259">
        <f>'数据-取费表'!B36</f>
        <v>1.4999999999999999E-2</v>
      </c>
      <c r="G38" s="219" t="s">
        <v>90</v>
      </c>
    </row>
    <row r="39" spans="1:7" s="214" customFormat="1" ht="13.5" customHeight="1">
      <c r="A39" s="777" t="s">
        <v>338</v>
      </c>
      <c r="B39" s="210" t="s">
        <v>77</v>
      </c>
      <c r="C39" s="232">
        <f>ROUND(C33*F20,0)</f>
        <v>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155</v>
      </c>
      <c r="D42" s="238"/>
      <c r="E42" s="238"/>
      <c r="F42" s="239"/>
      <c r="G42" s="3632" t="s">
        <v>94</v>
      </c>
    </row>
    <row r="43" spans="1:7" ht="13.5" customHeight="1">
      <c r="A43" s="780" t="s">
        <v>347</v>
      </c>
      <c r="B43" s="215" t="s">
        <v>426</v>
      </c>
      <c r="C43" s="238">
        <f ca="1">ROUND(IF('数据-取费表'!B22&lt;=1,C39*F22*'数据-取费表'!B21/2,C39*(POWER((1+F22),'数据-取费表'!B21/2)-1)),0)</f>
        <v>3</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688</v>
      </c>
      <c r="D45" s="235">
        <f>C47</f>
        <v>3.0000000000000001E-3</v>
      </c>
      <c r="E45" s="236" t="s">
        <v>102</v>
      </c>
      <c r="F45" s="246"/>
      <c r="G45" s="247" t="s">
        <v>434</v>
      </c>
    </row>
    <row r="46" spans="1:7" s="214" customFormat="1" ht="13.5" customHeight="1">
      <c r="A46" s="780" t="s">
        <v>349</v>
      </c>
      <c r="B46" s="248" t="s">
        <v>427</v>
      </c>
      <c r="C46" s="249">
        <f>ROUND((C33+C39)*F27,0)</f>
        <v>688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5886</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4562</v>
      </c>
      <c r="D51" s="232"/>
      <c r="E51" s="232"/>
      <c r="F51" s="264"/>
      <c r="G51" s="234" t="s">
        <v>37</v>
      </c>
    </row>
    <row r="52" spans="1:7" s="208" customFormat="1" ht="16.5" thickBot="1">
      <c r="A52" s="265" t="s">
        <v>38</v>
      </c>
      <c r="B52" s="266"/>
      <c r="C52" s="267">
        <f ca="1">C31+C51</f>
        <v>32614</v>
      </c>
      <c r="D52" s="266"/>
      <c r="E52" s="266"/>
      <c r="F52" s="266"/>
      <c r="G52" s="268"/>
    </row>
    <row r="55" spans="1:7" ht="15">
      <c r="B55" s="270" t="s">
        <v>39</v>
      </c>
      <c r="C55" s="271"/>
    </row>
    <row r="56" spans="1:7">
      <c r="B56" s="273" t="s">
        <v>40</v>
      </c>
      <c r="C56" s="274">
        <f ca="1">ROUND(C51/C52,3)</f>
        <v>0.14000000000000001</v>
      </c>
    </row>
    <row r="57" spans="1:7">
      <c r="B57" s="273" t="s">
        <v>41</v>
      </c>
      <c r="C57" s="275">
        <f ca="1">1-C56</f>
        <v>0.86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31379</v>
      </c>
      <c r="E5" s="1491"/>
    </row>
    <row r="6" spans="1:5" ht="15.75">
      <c r="A6" s="1491"/>
      <c r="B6" s="3451"/>
      <c r="C6" s="1494" t="s">
        <v>911</v>
      </c>
      <c r="D6" s="850" t="str">
        <f ca="1">NUMBERSTRING(INT(D5*10000),2)&amp;"元整"</f>
        <v>叁亿壹仟叁佰柒拾玖万元整</v>
      </c>
      <c r="E6" s="1491"/>
    </row>
    <row r="7" spans="1:5" ht="15.75">
      <c r="A7" s="1491"/>
      <c r="B7" s="3456"/>
      <c r="C7" s="1495" t="s">
        <v>912</v>
      </c>
      <c r="D7" s="851">
        <f ca="1">结果表!H102</f>
        <v>30558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31379</v>
      </c>
      <c r="E13" s="1491"/>
    </row>
    <row r="14" spans="1:5" ht="15.75">
      <c r="A14" s="1491"/>
      <c r="B14" s="3451"/>
      <c r="C14" s="1494" t="s">
        <v>911</v>
      </c>
      <c r="D14" s="850" t="str">
        <f ca="1">NUMBERSTRING(INT(D13*10000),2)&amp;"元整"</f>
        <v>叁亿壹仟叁佰柒拾玖万元整</v>
      </c>
      <c r="E14" s="1491"/>
    </row>
    <row r="15" spans="1:5" ht="15">
      <c r="A15" s="1491"/>
      <c r="B15" s="3456"/>
      <c r="C15" s="1495" t="s">
        <v>921</v>
      </c>
      <c r="D15" s="859">
        <f ca="1">结果表!H108</f>
        <v>30558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45309</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6"/>
  <sheetViews>
    <sheetView workbookViewId="0">
      <selection activeCell="J21" sqref="J21"/>
    </sheetView>
  </sheetViews>
  <sheetFormatPr defaultRowHeight="13.5"/>
  <cols>
    <col min="6" max="6" width="12.125" customWidth="1"/>
  </cols>
  <sheetData>
    <row r="2" spans="2:13">
      <c r="B2" s="3798" t="s">
        <v>3434</v>
      </c>
      <c r="C2" s="3798" t="s">
        <v>3435</v>
      </c>
      <c r="D2" s="3798" t="s">
        <v>3436</v>
      </c>
      <c r="E2" s="3798" t="s">
        <v>3437</v>
      </c>
      <c r="F2" s="3798" t="s">
        <v>3438</v>
      </c>
      <c r="G2" s="3798" t="s">
        <v>3439</v>
      </c>
    </row>
    <row r="3" spans="2:13">
      <c r="B3" s="3799" t="s">
        <v>3440</v>
      </c>
      <c r="C3" s="3798" t="s">
        <v>3441</v>
      </c>
      <c r="D3" s="3798" t="s">
        <v>3442</v>
      </c>
      <c r="E3" s="3800">
        <v>269.8</v>
      </c>
      <c r="F3" s="3798" t="s">
        <v>3444</v>
      </c>
      <c r="G3" s="3798" t="s">
        <v>3445</v>
      </c>
    </row>
    <row r="4" spans="2:13">
      <c r="B4" s="3801"/>
      <c r="C4" s="3798" t="s">
        <v>3446</v>
      </c>
      <c r="D4" s="3798" t="s">
        <v>3442</v>
      </c>
      <c r="E4" s="3800">
        <v>215.03</v>
      </c>
      <c r="F4" s="3798" t="s">
        <v>3444</v>
      </c>
      <c r="G4" s="3798" t="s">
        <v>3445</v>
      </c>
      <c r="I4" s="3802" t="s">
        <v>3447</v>
      </c>
      <c r="J4" s="3802" t="s">
        <v>3445</v>
      </c>
      <c r="K4">
        <f>SUM(E3:E15)</f>
        <v>3687.16</v>
      </c>
      <c r="L4">
        <v>5.5</v>
      </c>
      <c r="M4">
        <f>L4*K4</f>
        <v>20279.379999999997</v>
      </c>
    </row>
    <row r="5" spans="2:13">
      <c r="B5" s="3801"/>
      <c r="C5" s="3798" t="s">
        <v>3448</v>
      </c>
      <c r="D5" s="3798" t="s">
        <v>3442</v>
      </c>
      <c r="E5" s="3800">
        <v>224.17</v>
      </c>
      <c r="F5" s="3798" t="s">
        <v>3444</v>
      </c>
      <c r="G5" s="3798" t="s">
        <v>3445</v>
      </c>
      <c r="J5" s="3802" t="s">
        <v>3449</v>
      </c>
      <c r="K5">
        <f>SUM(E16:E21)</f>
        <v>267.46000000000004</v>
      </c>
      <c r="L5">
        <v>2</v>
      </c>
      <c r="M5">
        <f>L5*K5</f>
        <v>534.92000000000007</v>
      </c>
    </row>
    <row r="6" spans="2:13">
      <c r="B6" s="3801"/>
      <c r="C6" s="3798" t="s">
        <v>3450</v>
      </c>
      <c r="D6" s="3798" t="s">
        <v>3442</v>
      </c>
      <c r="E6" s="3800">
        <v>187.72</v>
      </c>
      <c r="F6" s="3798" t="s">
        <v>3444</v>
      </c>
      <c r="G6" s="3798" t="s">
        <v>3445</v>
      </c>
      <c r="K6">
        <f>SUM(K4:K5)</f>
        <v>3954.62</v>
      </c>
      <c r="L6">
        <f>M6/K6</f>
        <v>5.2632869909118947</v>
      </c>
      <c r="M6">
        <f>SUM(M4:M5)</f>
        <v>20814.299999999996</v>
      </c>
    </row>
    <row r="7" spans="2:13">
      <c r="B7" s="3801"/>
      <c r="C7" s="3798" t="s">
        <v>3451</v>
      </c>
      <c r="D7" s="3798" t="s">
        <v>3442</v>
      </c>
      <c r="E7" s="3800">
        <v>293.47000000000003</v>
      </c>
      <c r="F7" s="3798" t="s">
        <v>3444</v>
      </c>
      <c r="G7" s="3798" t="s">
        <v>3445</v>
      </c>
    </row>
    <row r="8" spans="2:13">
      <c r="B8" s="3801"/>
      <c r="C8" s="3798" t="s">
        <v>3452</v>
      </c>
      <c r="D8" s="3798" t="s">
        <v>3442</v>
      </c>
      <c r="E8" s="3800">
        <v>226.49</v>
      </c>
      <c r="F8" s="3798" t="s">
        <v>3444</v>
      </c>
      <c r="G8" s="3798" t="s">
        <v>3445</v>
      </c>
    </row>
    <row r="9" spans="2:13">
      <c r="B9" s="3801"/>
      <c r="C9" s="3798" t="s">
        <v>3453</v>
      </c>
      <c r="D9" s="3798" t="s">
        <v>3454</v>
      </c>
      <c r="E9" s="3800">
        <v>221.13</v>
      </c>
      <c r="F9" s="3798" t="s">
        <v>3444</v>
      </c>
      <c r="G9" s="3798" t="s">
        <v>3445</v>
      </c>
      <c r="I9" s="3802" t="s">
        <v>3447</v>
      </c>
      <c r="J9" s="3802" t="s">
        <v>3455</v>
      </c>
      <c r="K9">
        <f>SUM(E23:E29)</f>
        <v>2959.67</v>
      </c>
      <c r="L9">
        <v>5.5</v>
      </c>
      <c r="M9">
        <f>L9*K9</f>
        <v>16278.185000000001</v>
      </c>
    </row>
    <row r="10" spans="2:13">
      <c r="B10" s="3801"/>
      <c r="C10" s="3798" t="s">
        <v>3456</v>
      </c>
      <c r="D10" s="3798" t="s">
        <v>3457</v>
      </c>
      <c r="E10" s="3800">
        <v>167.82</v>
      </c>
      <c r="F10" s="3798" t="s">
        <v>3443</v>
      </c>
      <c r="G10" s="3798" t="s">
        <v>2816</v>
      </c>
      <c r="J10" s="3802" t="s">
        <v>2816</v>
      </c>
      <c r="K10">
        <f>SUM(E30:E32)</f>
        <v>212.26</v>
      </c>
      <c r="L10">
        <v>5.5</v>
      </c>
      <c r="M10">
        <f>L10*K10</f>
        <v>1167.4299999999998</v>
      </c>
    </row>
    <row r="11" spans="2:13">
      <c r="B11" s="3801"/>
      <c r="C11" s="3798" t="s">
        <v>3458</v>
      </c>
      <c r="D11" s="3798" t="s">
        <v>3457</v>
      </c>
      <c r="E11" s="3800">
        <v>167.69</v>
      </c>
      <c r="F11" s="3798" t="s">
        <v>3443</v>
      </c>
      <c r="G11" s="3798" t="s">
        <v>2816</v>
      </c>
      <c r="K11">
        <f>SUM(K9:K10)</f>
        <v>3171.9300000000003</v>
      </c>
      <c r="L11">
        <f>M11/K11</f>
        <v>5.5</v>
      </c>
      <c r="M11">
        <f>SUM(M9:M10)</f>
        <v>17445.615000000002</v>
      </c>
    </row>
    <row r="12" spans="2:13">
      <c r="B12" s="3801"/>
      <c r="C12" s="3798" t="s">
        <v>3459</v>
      </c>
      <c r="D12" s="3798" t="s">
        <v>3457</v>
      </c>
      <c r="E12" s="3800">
        <v>225.82</v>
      </c>
      <c r="F12" s="3798" t="s">
        <v>3443</v>
      </c>
      <c r="G12" s="3798" t="s">
        <v>2816</v>
      </c>
    </row>
    <row r="13" spans="2:13">
      <c r="B13" s="3801"/>
      <c r="C13" s="3798" t="s">
        <v>3460</v>
      </c>
      <c r="D13" s="3798" t="s">
        <v>3457</v>
      </c>
      <c r="E13" s="3800">
        <v>168</v>
      </c>
      <c r="F13" s="3798" t="s">
        <v>3443</v>
      </c>
      <c r="G13" s="3798" t="s">
        <v>2816</v>
      </c>
    </row>
    <row r="14" spans="2:13">
      <c r="B14" s="3801"/>
      <c r="C14" s="3798" t="s">
        <v>3461</v>
      </c>
      <c r="D14" s="3798" t="s">
        <v>3457</v>
      </c>
      <c r="E14" s="3800">
        <v>178.61</v>
      </c>
      <c r="F14" s="3798" t="s">
        <v>3443</v>
      </c>
      <c r="G14" s="3798" t="s">
        <v>2816</v>
      </c>
    </row>
    <row r="15" spans="2:13">
      <c r="B15" s="3801"/>
      <c r="C15" s="3798" t="s">
        <v>3462</v>
      </c>
      <c r="D15" s="3798" t="s">
        <v>3457</v>
      </c>
      <c r="E15" s="3800">
        <v>1141.4100000000001</v>
      </c>
      <c r="F15" s="3798" t="s">
        <v>3443</v>
      </c>
      <c r="G15" s="3798" t="s">
        <v>2816</v>
      </c>
    </row>
    <row r="16" spans="2:13">
      <c r="B16" s="3801"/>
      <c r="C16" s="3803" t="s">
        <v>3463</v>
      </c>
      <c r="D16" s="3803" t="s">
        <v>3464</v>
      </c>
      <c r="E16" s="3800">
        <v>85.01</v>
      </c>
      <c r="F16" s="3798" t="s">
        <v>3465</v>
      </c>
      <c r="G16" s="3798" t="s">
        <v>3466</v>
      </c>
    </row>
    <row r="17" spans="2:7">
      <c r="B17" s="3801"/>
      <c r="C17" s="3803" t="s">
        <v>3467</v>
      </c>
      <c r="D17" s="3803" t="s">
        <v>3468</v>
      </c>
      <c r="E17" s="3800">
        <v>15.01</v>
      </c>
      <c r="F17" s="3798" t="s">
        <v>3465</v>
      </c>
      <c r="G17" s="3798" t="s">
        <v>3466</v>
      </c>
    </row>
    <row r="18" spans="2:7">
      <c r="B18" s="3801"/>
      <c r="C18" s="3803" t="s">
        <v>3469</v>
      </c>
      <c r="D18" s="3803" t="s">
        <v>3468</v>
      </c>
      <c r="E18" s="3800">
        <v>58.74</v>
      </c>
      <c r="F18" s="3798" t="s">
        <v>3465</v>
      </c>
      <c r="G18" s="3798" t="s">
        <v>3466</v>
      </c>
    </row>
    <row r="19" spans="2:7">
      <c r="B19" s="3801"/>
      <c r="C19" s="3803" t="s">
        <v>3470</v>
      </c>
      <c r="D19" s="3803" t="s">
        <v>3468</v>
      </c>
      <c r="E19" s="3800">
        <v>15.32</v>
      </c>
      <c r="F19" s="3798" t="s">
        <v>3465</v>
      </c>
      <c r="G19" s="3798" t="s">
        <v>3466</v>
      </c>
    </row>
    <row r="20" spans="2:7">
      <c r="B20" s="3801"/>
      <c r="C20" s="3803" t="s">
        <v>3471</v>
      </c>
      <c r="D20" s="3803" t="s">
        <v>3468</v>
      </c>
      <c r="E20" s="3800">
        <v>58.74</v>
      </c>
      <c r="F20" s="3798" t="s">
        <v>3465</v>
      </c>
      <c r="G20" s="3798" t="s">
        <v>3466</v>
      </c>
    </row>
    <row r="21" spans="2:7">
      <c r="B21" s="3804"/>
      <c r="C21" s="3803" t="s">
        <v>3472</v>
      </c>
      <c r="D21" s="3803" t="s">
        <v>3468</v>
      </c>
      <c r="E21" s="3800">
        <v>34.64</v>
      </c>
      <c r="F21" s="3798" t="s">
        <v>3465</v>
      </c>
      <c r="G21" s="3798" t="s">
        <v>3466</v>
      </c>
    </row>
    <row r="22" spans="2:7">
      <c r="B22" s="3798" t="s">
        <v>3473</v>
      </c>
      <c r="C22" s="3798" t="s">
        <v>3474</v>
      </c>
      <c r="D22" s="3798" t="s">
        <v>3474</v>
      </c>
      <c r="E22" s="3800">
        <f>SUM(E3:E21)</f>
        <v>3954.62</v>
      </c>
      <c r="F22" s="3798" t="s">
        <v>3474</v>
      </c>
      <c r="G22" s="3798" t="s">
        <v>3474</v>
      </c>
    </row>
    <row r="23" spans="2:7">
      <c r="B23" s="3799" t="s">
        <v>3475</v>
      </c>
      <c r="C23" s="3803" t="s">
        <v>3476</v>
      </c>
      <c r="D23" s="3803" t="s">
        <v>3477</v>
      </c>
      <c r="E23" s="3800">
        <v>97.61</v>
      </c>
      <c r="F23" s="3798" t="s">
        <v>3478</v>
      </c>
      <c r="G23" s="3798" t="s">
        <v>3479</v>
      </c>
    </row>
    <row r="24" spans="2:7">
      <c r="B24" s="3801"/>
      <c r="C24" s="3803" t="s">
        <v>3480</v>
      </c>
      <c r="D24" s="3803" t="s">
        <v>3477</v>
      </c>
      <c r="E24" s="3800">
        <v>491.05</v>
      </c>
      <c r="F24" s="3798" t="s">
        <v>3478</v>
      </c>
      <c r="G24" s="3798" t="s">
        <v>3479</v>
      </c>
    </row>
    <row r="25" spans="2:7">
      <c r="B25" s="3801"/>
      <c r="C25" s="3803" t="s">
        <v>3481</v>
      </c>
      <c r="D25" s="3803" t="s">
        <v>3477</v>
      </c>
      <c r="E25" s="3800">
        <v>393.1</v>
      </c>
      <c r="F25" s="3798" t="s">
        <v>3478</v>
      </c>
      <c r="G25" s="3798" t="s">
        <v>3479</v>
      </c>
    </row>
    <row r="26" spans="2:7">
      <c r="B26" s="3801"/>
      <c r="C26" s="3803" t="s">
        <v>3482</v>
      </c>
      <c r="D26" s="3803" t="s">
        <v>3477</v>
      </c>
      <c r="E26" s="3800">
        <v>417.14</v>
      </c>
      <c r="F26" s="3798" t="s">
        <v>3478</v>
      </c>
      <c r="G26" s="3798" t="s">
        <v>3479</v>
      </c>
    </row>
    <row r="27" spans="2:7">
      <c r="B27" s="3801"/>
      <c r="C27" s="3803" t="s">
        <v>3483</v>
      </c>
      <c r="D27" s="3803" t="s">
        <v>3477</v>
      </c>
      <c r="E27" s="3800">
        <v>374.6</v>
      </c>
      <c r="F27" s="3798" t="s">
        <v>3478</v>
      </c>
      <c r="G27" s="3798" t="s">
        <v>3479</v>
      </c>
    </row>
    <row r="28" spans="2:7">
      <c r="B28" s="3801"/>
      <c r="C28" s="3803" t="s">
        <v>3484</v>
      </c>
      <c r="D28" s="3803" t="s">
        <v>3477</v>
      </c>
      <c r="E28" s="3800">
        <v>356.35</v>
      </c>
      <c r="F28" s="3798" t="s">
        <v>3478</v>
      </c>
      <c r="G28" s="3798" t="s">
        <v>3479</v>
      </c>
    </row>
    <row r="29" spans="2:7">
      <c r="B29" s="3801"/>
      <c r="C29" s="3803" t="s">
        <v>3485</v>
      </c>
      <c r="D29" s="3803" t="s">
        <v>3477</v>
      </c>
      <c r="E29" s="3800">
        <v>829.82</v>
      </c>
      <c r="F29" s="3798" t="s">
        <v>3478</v>
      </c>
      <c r="G29" s="3798" t="s">
        <v>3479</v>
      </c>
    </row>
    <row r="30" spans="2:7">
      <c r="B30" s="3801"/>
      <c r="C30" s="3803" t="s">
        <v>3486</v>
      </c>
      <c r="D30" s="3803" t="s">
        <v>3487</v>
      </c>
      <c r="E30" s="3800">
        <v>46.29</v>
      </c>
      <c r="F30" s="3798" t="s">
        <v>3478</v>
      </c>
      <c r="G30" s="3798" t="s">
        <v>3488</v>
      </c>
    </row>
    <row r="31" spans="2:7">
      <c r="B31" s="3801"/>
      <c r="C31" s="3803" t="s">
        <v>3489</v>
      </c>
      <c r="D31" s="3803" t="s">
        <v>3490</v>
      </c>
      <c r="E31" s="3800">
        <v>113.35</v>
      </c>
      <c r="F31" s="3798" t="s">
        <v>3478</v>
      </c>
      <c r="G31" s="3798" t="s">
        <v>3488</v>
      </c>
    </row>
    <row r="32" spans="2:7">
      <c r="B32" s="3804"/>
      <c r="C32" s="3803" t="s">
        <v>3491</v>
      </c>
      <c r="D32" s="3803" t="s">
        <v>3490</v>
      </c>
      <c r="E32" s="3800">
        <v>52.62</v>
      </c>
      <c r="F32" s="3798" t="s">
        <v>3478</v>
      </c>
      <c r="G32" s="3798" t="s">
        <v>3488</v>
      </c>
    </row>
    <row r="33" spans="2:15">
      <c r="B33" s="3798" t="s">
        <v>3473</v>
      </c>
      <c r="C33" s="3798" t="s">
        <v>3474</v>
      </c>
      <c r="D33" s="3798" t="s">
        <v>3474</v>
      </c>
      <c r="E33" s="3800">
        <f>SUM(E23:E32)</f>
        <v>3171.93</v>
      </c>
      <c r="F33" s="3800"/>
      <c r="G33" s="3800"/>
    </row>
    <row r="34" spans="2:15" ht="40.5">
      <c r="B34" s="3805" t="s">
        <v>3492</v>
      </c>
      <c r="C34" s="3798" t="s">
        <v>3474</v>
      </c>
      <c r="D34" s="3803" t="s">
        <v>3493</v>
      </c>
      <c r="E34" s="3800">
        <v>3142.12</v>
      </c>
      <c r="F34" s="3798" t="s">
        <v>3494</v>
      </c>
      <c r="G34" s="3798" t="s">
        <v>3495</v>
      </c>
      <c r="J34">
        <v>-1</v>
      </c>
      <c r="K34">
        <v>1761.06</v>
      </c>
      <c r="L34">
        <f>K34/$K$38</f>
        <v>0.57509821402329697</v>
      </c>
      <c r="M34">
        <f>ROUND(L34*$E$34,2)</f>
        <v>1807.03</v>
      </c>
      <c r="N34">
        <v>4.5</v>
      </c>
      <c r="O34">
        <f>N34*M34</f>
        <v>8131.6350000000002</v>
      </c>
    </row>
    <row r="35" spans="2:15">
      <c r="B35" s="3798" t="s">
        <v>3496</v>
      </c>
      <c r="C35" s="3798" t="s">
        <v>3474</v>
      </c>
      <c r="D35" s="3798" t="s">
        <v>3474</v>
      </c>
      <c r="E35" s="3800">
        <f>E22+E33+E34</f>
        <v>10268.669999999998</v>
      </c>
      <c r="F35" s="3798" t="s">
        <v>3474</v>
      </c>
      <c r="G35" s="3798" t="s">
        <v>3474</v>
      </c>
      <c r="J35">
        <v>1</v>
      </c>
      <c r="K35">
        <f>752.97-70.65</f>
        <v>682.32</v>
      </c>
      <c r="L35">
        <f t="shared" ref="L35:L37" si="0">K35/$K$38</f>
        <v>0.22282092228111255</v>
      </c>
      <c r="M35">
        <f t="shared" ref="M35:M37" si="1">ROUND(L35*$E$34,2)</f>
        <v>700.13</v>
      </c>
      <c r="N35">
        <v>5.5</v>
      </c>
      <c r="O35">
        <f>N35*M35</f>
        <v>3850.7150000000001</v>
      </c>
    </row>
    <row r="36" spans="2:15">
      <c r="J36">
        <v>2</v>
      </c>
      <c r="K36">
        <v>205.88</v>
      </c>
      <c r="L36">
        <f t="shared" si="0"/>
        <v>6.7232928067820746E-2</v>
      </c>
      <c r="M36">
        <f t="shared" si="1"/>
        <v>211.25</v>
      </c>
      <c r="N36">
        <v>5.5</v>
      </c>
      <c r="O36">
        <f>N36*M36</f>
        <v>1161.875</v>
      </c>
    </row>
    <row r="37" spans="2:15">
      <c r="J37">
        <v>3</v>
      </c>
      <c r="K37">
        <v>412.93</v>
      </c>
      <c r="L37">
        <f t="shared" si="0"/>
        <v>0.13484793562776967</v>
      </c>
      <c r="M37">
        <f t="shared" si="1"/>
        <v>423.71</v>
      </c>
      <c r="N37">
        <v>5.5</v>
      </c>
      <c r="O37">
        <f>N37*M37</f>
        <v>2330.4049999999997</v>
      </c>
    </row>
    <row r="38" spans="2:15">
      <c r="B38" s="3798" t="s">
        <v>3497</v>
      </c>
      <c r="C38" s="3798" t="s">
        <v>3498</v>
      </c>
      <c r="D38" s="3798" t="s">
        <v>3499</v>
      </c>
      <c r="E38" s="3798" t="s">
        <v>3500</v>
      </c>
      <c r="F38" s="3798" t="s">
        <v>3501</v>
      </c>
      <c r="K38">
        <f>SUM(K34:K37)</f>
        <v>3062.19</v>
      </c>
      <c r="M38">
        <f>SUM(M34:M37)</f>
        <v>3142.12</v>
      </c>
      <c r="N38">
        <f>O38/M38</f>
        <v>4.9249010222397622</v>
      </c>
      <c r="O38">
        <f>SUM(O34:O37)</f>
        <v>15474.630000000001</v>
      </c>
    </row>
    <row r="39" spans="2:15">
      <c r="B39" s="3798" t="s">
        <v>3502</v>
      </c>
      <c r="C39" s="3806" t="s">
        <v>3503</v>
      </c>
      <c r="D39" s="3806" t="s">
        <v>3504</v>
      </c>
      <c r="E39" s="3806" t="s">
        <v>3505</v>
      </c>
      <c r="F39" s="3806" t="s">
        <v>3506</v>
      </c>
    </row>
    <row r="40" spans="2:15">
      <c r="B40" s="3806" t="s">
        <v>3507</v>
      </c>
      <c r="C40" s="3806" t="s">
        <v>3474</v>
      </c>
      <c r="D40" s="3806" t="s">
        <v>3474</v>
      </c>
      <c r="E40" s="3806" t="s">
        <v>3505</v>
      </c>
      <c r="F40" s="3806" t="s">
        <v>3508</v>
      </c>
    </row>
    <row r="41" spans="2:15">
      <c r="B41" s="3806" t="s">
        <v>3509</v>
      </c>
      <c r="C41" s="3806" t="s">
        <v>3510</v>
      </c>
      <c r="D41" s="3806" t="s">
        <v>3504</v>
      </c>
      <c r="E41" s="3806" t="s">
        <v>3505</v>
      </c>
      <c r="F41" s="3806" t="s">
        <v>3511</v>
      </c>
    </row>
    <row r="42" spans="2:15">
      <c r="B42" s="3806" t="s">
        <v>3512</v>
      </c>
      <c r="C42" s="3806" t="s">
        <v>3510</v>
      </c>
      <c r="D42" s="3806" t="s">
        <v>3504</v>
      </c>
      <c r="E42" s="3806" t="s">
        <v>3505</v>
      </c>
      <c r="F42" s="3806" t="s">
        <v>3513</v>
      </c>
    </row>
    <row r="47" spans="2:15">
      <c r="B47" s="3798" t="s">
        <v>3514</v>
      </c>
      <c r="C47" s="3800" t="s">
        <v>3515</v>
      </c>
      <c r="D47" s="3800" t="s">
        <v>3516</v>
      </c>
      <c r="E47" s="3800" t="s">
        <v>3517</v>
      </c>
      <c r="F47" s="3800" t="s">
        <v>3518</v>
      </c>
      <c r="G47" s="3798" t="s">
        <v>3519</v>
      </c>
    </row>
    <row r="48" spans="2:15">
      <c r="B48" s="3800">
        <v>1</v>
      </c>
      <c r="C48" s="3800" t="s">
        <v>3520</v>
      </c>
      <c r="D48" s="3800" t="s">
        <v>3521</v>
      </c>
      <c r="E48" s="3800">
        <v>274.08</v>
      </c>
      <c r="F48" s="3800">
        <v>641918</v>
      </c>
      <c r="G48" s="3800">
        <f>ROUND(F48/E48/365,2)</f>
        <v>6.42</v>
      </c>
    </row>
    <row r="49" spans="2:7">
      <c r="B49" s="3800">
        <v>2</v>
      </c>
      <c r="C49" s="3800" t="s">
        <v>3522</v>
      </c>
      <c r="D49" s="3800" t="s">
        <v>3523</v>
      </c>
      <c r="E49" s="3800">
        <v>354.61</v>
      </c>
      <c r="F49" s="3800">
        <v>194149</v>
      </c>
      <c r="G49" s="3800">
        <f t="shared" ref="G49:G56" si="2">ROUND(F49/E49/365,2)</f>
        <v>1.5</v>
      </c>
    </row>
    <row r="50" spans="2:7">
      <c r="B50" s="3800">
        <v>3</v>
      </c>
      <c r="C50" s="3800" t="s">
        <v>3524</v>
      </c>
      <c r="D50" s="3800" t="s">
        <v>3525</v>
      </c>
      <c r="E50" s="3800">
        <v>596.92999999999995</v>
      </c>
      <c r="F50" s="3800">
        <v>1089397</v>
      </c>
      <c r="G50" s="3800">
        <f t="shared" si="2"/>
        <v>5</v>
      </c>
    </row>
    <row r="51" spans="2:7">
      <c r="B51" s="3800">
        <v>4</v>
      </c>
      <c r="C51" s="3800" t="s">
        <v>3526</v>
      </c>
      <c r="D51" s="3800" t="s">
        <v>3527</v>
      </c>
      <c r="E51" s="3800">
        <v>579.32000000000005</v>
      </c>
      <c r="F51" s="3800">
        <v>1162985</v>
      </c>
      <c r="G51" s="3800">
        <f t="shared" si="2"/>
        <v>5.5</v>
      </c>
    </row>
    <row r="52" spans="2:7">
      <c r="B52" s="3800">
        <v>5</v>
      </c>
      <c r="C52" s="3800" t="s">
        <v>3528</v>
      </c>
      <c r="D52" s="3800" t="s">
        <v>3529</v>
      </c>
      <c r="E52" s="3800">
        <v>187.72</v>
      </c>
      <c r="F52" s="3800">
        <v>376848</v>
      </c>
      <c r="G52" s="3800">
        <f t="shared" si="2"/>
        <v>5.5</v>
      </c>
    </row>
    <row r="53" spans="2:7">
      <c r="B53" s="3800">
        <v>6</v>
      </c>
      <c r="C53" s="3800" t="s">
        <v>3530</v>
      </c>
      <c r="D53" s="3800" t="s">
        <v>3531</v>
      </c>
      <c r="E53" s="3800">
        <v>82</v>
      </c>
      <c r="F53" s="3800">
        <v>164615</v>
      </c>
      <c r="G53" s="3800">
        <f t="shared" si="2"/>
        <v>5.5</v>
      </c>
    </row>
    <row r="54" spans="2:7">
      <c r="B54" s="3800">
        <v>7</v>
      </c>
      <c r="C54" s="3800" t="s">
        <v>3532</v>
      </c>
      <c r="D54" s="3800" t="s">
        <v>3533</v>
      </c>
      <c r="E54" s="3800">
        <v>1141.4100000000001</v>
      </c>
      <c r="F54" s="3800">
        <v>1999750</v>
      </c>
      <c r="G54" s="3800">
        <f t="shared" si="2"/>
        <v>4.8</v>
      </c>
    </row>
    <row r="55" spans="2:7">
      <c r="B55" s="3800">
        <v>8</v>
      </c>
      <c r="C55" s="3800" t="s">
        <v>3534</v>
      </c>
      <c r="D55" s="3800" t="s">
        <v>3535</v>
      </c>
      <c r="E55" s="3800">
        <v>221.13</v>
      </c>
      <c r="F55" s="3800">
        <v>403562</v>
      </c>
      <c r="G55" s="3800">
        <f t="shared" si="2"/>
        <v>5</v>
      </c>
    </row>
    <row r="56" spans="2:7">
      <c r="B56" s="3800">
        <v>9</v>
      </c>
      <c r="C56" s="3800" t="s">
        <v>3536</v>
      </c>
      <c r="D56" s="3800" t="s">
        <v>3537</v>
      </c>
      <c r="E56" s="3800">
        <v>167.82</v>
      </c>
      <c r="F56" s="3800">
        <v>306271.5</v>
      </c>
      <c r="G56" s="3800">
        <f t="shared" si="2"/>
        <v>5</v>
      </c>
    </row>
  </sheetData>
  <mergeCells count="2">
    <mergeCell ref="B3:B21"/>
    <mergeCell ref="B23:B3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5"/>
  <sheetViews>
    <sheetView zoomScale="40" zoomScaleNormal="40" workbookViewId="0">
      <selection activeCell="K10" sqref="K10"/>
    </sheetView>
  </sheetViews>
  <sheetFormatPr defaultRowHeight="76.5" customHeight="1"/>
  <cols>
    <col min="1" max="1" width="9" style="3808"/>
    <col min="2" max="2" width="77.25" style="3839" customWidth="1"/>
    <col min="3" max="3" width="66" style="3840" customWidth="1"/>
    <col min="4" max="4" width="15.75" style="3839" customWidth="1"/>
    <col min="5" max="5" width="30.375" style="3841" customWidth="1"/>
    <col min="6" max="6" width="21.75" style="3808" customWidth="1"/>
    <col min="7" max="7" width="9.125" style="3808" customWidth="1"/>
    <col min="8" max="9" width="9" style="3808"/>
    <col min="10" max="10" width="32" style="3808" bestFit="1" customWidth="1"/>
    <col min="11" max="16384" width="9" style="3808"/>
  </cols>
  <sheetData>
    <row r="1" spans="1:7" ht="76.5" customHeight="1">
      <c r="A1" s="3807" t="s">
        <v>3543</v>
      </c>
      <c r="B1" s="3807"/>
      <c r="C1" s="3807"/>
      <c r="D1" s="3807"/>
      <c r="E1" s="3807"/>
    </row>
    <row r="2" spans="1:7" s="3812" customFormat="1" ht="76.5" customHeight="1">
      <c r="A2" s="3809" t="s">
        <v>3544</v>
      </c>
      <c r="B2" s="3809" t="s">
        <v>3545</v>
      </c>
      <c r="C2" s="3810" t="s">
        <v>3546</v>
      </c>
      <c r="D2" s="3809" t="s">
        <v>3547</v>
      </c>
      <c r="E2" s="3811" t="s">
        <v>3548</v>
      </c>
      <c r="F2" s="3809" t="s">
        <v>3549</v>
      </c>
    </row>
    <row r="3" spans="1:7" s="3818" customFormat="1" ht="76.5" customHeight="1">
      <c r="A3" s="3813">
        <v>1</v>
      </c>
      <c r="B3" s="3814" t="s">
        <v>3550</v>
      </c>
      <c r="C3" s="3815" t="s">
        <v>3551</v>
      </c>
      <c r="D3" s="3814">
        <v>367</v>
      </c>
      <c r="E3" s="3816">
        <v>500000</v>
      </c>
      <c r="F3" s="3817"/>
      <c r="G3" s="3818">
        <f>E3/365/D3</f>
        <v>3.7325967675711991</v>
      </c>
    </row>
    <row r="4" spans="1:7" s="3818" customFormat="1" ht="76.5" customHeight="1">
      <c r="A4" s="3813">
        <v>2</v>
      </c>
      <c r="B4" s="3819" t="s">
        <v>3552</v>
      </c>
      <c r="C4" s="3815" t="s">
        <v>3553</v>
      </c>
      <c r="D4" s="3819">
        <f>830</f>
        <v>830</v>
      </c>
      <c r="E4" s="3816">
        <f>1655208</f>
        <v>1655208</v>
      </c>
      <c r="F4" s="3817"/>
      <c r="G4" s="3818">
        <f t="shared" ref="G4:G35" si="0">E4/365/D4</f>
        <v>5.4636342630797161</v>
      </c>
    </row>
    <row r="5" spans="1:7" s="3818" customFormat="1" ht="76.5" customHeight="1">
      <c r="A5" s="3813">
        <v>3</v>
      </c>
      <c r="B5" s="3820" t="s">
        <v>3554</v>
      </c>
      <c r="C5" s="3815" t="s">
        <v>3553</v>
      </c>
      <c r="D5" s="3821">
        <v>19.03</v>
      </c>
      <c r="E5" s="3822">
        <v>34730</v>
      </c>
      <c r="F5" s="3817"/>
      <c r="G5" s="3818">
        <f t="shared" si="0"/>
        <v>5.0000359921968913</v>
      </c>
    </row>
    <row r="6" spans="1:7" s="3818" customFormat="1" ht="76.5" customHeight="1">
      <c r="A6" s="3813">
        <v>4</v>
      </c>
      <c r="B6" s="3823" t="s">
        <v>3555</v>
      </c>
      <c r="C6" s="3815" t="s">
        <v>3553</v>
      </c>
      <c r="D6" s="3819">
        <v>66</v>
      </c>
      <c r="E6" s="3816">
        <v>48180</v>
      </c>
      <c r="F6" s="3817"/>
      <c r="G6" s="3818">
        <f t="shared" si="0"/>
        <v>2</v>
      </c>
    </row>
    <row r="7" spans="1:7" s="3818" customFormat="1" ht="76.5" customHeight="1">
      <c r="A7" s="3813">
        <v>5</v>
      </c>
      <c r="B7" s="3823" t="s">
        <v>3556</v>
      </c>
      <c r="C7" s="3815" t="s">
        <v>3553</v>
      </c>
      <c r="D7" s="3819">
        <v>3.12</v>
      </c>
      <c r="E7" s="3816">
        <v>5684</v>
      </c>
      <c r="F7" s="3817"/>
      <c r="G7" s="3818">
        <f t="shared" si="0"/>
        <v>4.9912188268352651</v>
      </c>
    </row>
    <row r="8" spans="1:7" s="3818" customFormat="1" ht="76.5" customHeight="1">
      <c r="A8" s="3813">
        <v>6</v>
      </c>
      <c r="B8" s="3820" t="s">
        <v>3557</v>
      </c>
      <c r="C8" s="3824" t="s">
        <v>3558</v>
      </c>
      <c r="D8" s="3821">
        <v>203</v>
      </c>
      <c r="E8" s="3822">
        <v>444570</v>
      </c>
      <c r="F8" s="3817"/>
      <c r="G8" s="3818">
        <f t="shared" si="0"/>
        <v>6</v>
      </c>
    </row>
    <row r="9" spans="1:7" s="3818" customFormat="1" ht="76.5" customHeight="1">
      <c r="A9" s="3813">
        <v>7</v>
      </c>
      <c r="B9" s="3825" t="s">
        <v>3559</v>
      </c>
      <c r="C9" s="3824" t="s">
        <v>3560</v>
      </c>
      <c r="D9" s="3813">
        <v>808.04</v>
      </c>
      <c r="E9" s="3826">
        <v>1474673</v>
      </c>
      <c r="F9" s="3817" t="s">
        <v>3561</v>
      </c>
      <c r="G9" s="3818">
        <f t="shared" si="0"/>
        <v>5</v>
      </c>
    </row>
    <row r="10" spans="1:7" s="3818" customFormat="1" ht="76.5" customHeight="1">
      <c r="A10" s="3813">
        <v>8</v>
      </c>
      <c r="B10" s="3825" t="s">
        <v>3562</v>
      </c>
      <c r="C10" s="3824" t="s">
        <v>3563</v>
      </c>
      <c r="D10" s="3813">
        <v>107.49</v>
      </c>
      <c r="E10" s="3826">
        <v>235403</v>
      </c>
      <c r="F10" s="3817"/>
      <c r="G10" s="3818">
        <f t="shared" si="0"/>
        <v>5.9999974511805494</v>
      </c>
    </row>
    <row r="11" spans="1:7" s="3818" customFormat="1" ht="76.5" customHeight="1">
      <c r="A11" s="3813">
        <v>9</v>
      </c>
      <c r="B11" s="3825" t="s">
        <v>3564</v>
      </c>
      <c r="C11" s="3824" t="s">
        <v>3565</v>
      </c>
      <c r="D11" s="3813">
        <v>87</v>
      </c>
      <c r="E11" s="3826">
        <v>47632.5</v>
      </c>
      <c r="F11" s="3817" t="s">
        <v>3561</v>
      </c>
      <c r="G11" s="3818">
        <f t="shared" si="0"/>
        <v>1.5</v>
      </c>
    </row>
    <row r="12" spans="1:7" s="3818" customFormat="1" ht="76.5" customHeight="1">
      <c r="A12" s="3813">
        <v>10</v>
      </c>
      <c r="B12" s="3825" t="s">
        <v>3566</v>
      </c>
      <c r="C12" s="3824" t="s">
        <v>3567</v>
      </c>
      <c r="D12" s="3813">
        <v>648.53</v>
      </c>
      <c r="E12" s="3826">
        <v>970526</v>
      </c>
      <c r="F12" s="3817"/>
      <c r="G12" s="3818">
        <f t="shared" si="0"/>
        <v>4.100003611962058</v>
      </c>
    </row>
    <row r="13" spans="1:7" s="3818" customFormat="1" ht="76.5" customHeight="1">
      <c r="A13" s="3813">
        <v>11</v>
      </c>
      <c r="B13" s="3825" t="s">
        <v>3568</v>
      </c>
      <c r="C13" s="3815" t="s">
        <v>3569</v>
      </c>
      <c r="D13" s="3813">
        <v>1006</v>
      </c>
      <c r="E13" s="3826">
        <v>1835952</v>
      </c>
      <c r="F13" s="3817"/>
      <c r="G13" s="3818">
        <f t="shared" si="0"/>
        <v>5.0000054467714259</v>
      </c>
    </row>
    <row r="14" spans="1:7" s="3818" customFormat="1" ht="76.5" customHeight="1">
      <c r="A14" s="3813">
        <v>12</v>
      </c>
      <c r="B14" s="3825" t="s">
        <v>3570</v>
      </c>
      <c r="C14" s="3815" t="s">
        <v>3538</v>
      </c>
      <c r="D14" s="3813">
        <v>115</v>
      </c>
      <c r="E14" s="3826">
        <v>64398</v>
      </c>
      <c r="F14" s="3817"/>
      <c r="G14" s="3818">
        <f t="shared" si="0"/>
        <v>1.5341989279332937</v>
      </c>
    </row>
    <row r="15" spans="1:7" s="3818" customFormat="1" ht="76.5" customHeight="1">
      <c r="A15" s="3813">
        <v>13</v>
      </c>
      <c r="B15" s="3825" t="s">
        <v>3571</v>
      </c>
      <c r="C15" s="3815" t="s">
        <v>3539</v>
      </c>
      <c r="D15" s="3813">
        <v>85.15</v>
      </c>
      <c r="E15" s="3826">
        <v>155399</v>
      </c>
      <c r="F15" s="3817"/>
      <c r="G15" s="3818">
        <f t="shared" si="0"/>
        <v>5.0000080438227457</v>
      </c>
    </row>
    <row r="16" spans="1:7" s="3818" customFormat="1" ht="76.5" customHeight="1">
      <c r="A16" s="3813">
        <v>14</v>
      </c>
      <c r="B16" s="3825" t="s">
        <v>3572</v>
      </c>
      <c r="C16" s="3815" t="s">
        <v>3573</v>
      </c>
      <c r="D16" s="3813">
        <v>72.39</v>
      </c>
      <c r="E16" s="3826">
        <v>134754</v>
      </c>
      <c r="F16" s="3817" t="s">
        <v>3561</v>
      </c>
      <c r="G16" s="3818">
        <f t="shared" si="0"/>
        <v>5.1000005677012075</v>
      </c>
    </row>
    <row r="17" spans="1:10" s="3818" customFormat="1" ht="76.5" customHeight="1">
      <c r="A17" s="3813">
        <v>15</v>
      </c>
      <c r="B17" s="3825" t="s">
        <v>3574</v>
      </c>
      <c r="C17" s="3815" t="s">
        <v>3573</v>
      </c>
      <c r="D17" s="3813">
        <v>421.66</v>
      </c>
      <c r="E17" s="3826">
        <v>784920</v>
      </c>
      <c r="F17" s="3817" t="s">
        <v>3561</v>
      </c>
      <c r="G17" s="3818">
        <f t="shared" si="0"/>
        <v>5.0999994152270967</v>
      </c>
    </row>
    <row r="18" spans="1:10" s="3818" customFormat="1" ht="76.5" customHeight="1">
      <c r="A18" s="3813">
        <v>16</v>
      </c>
      <c r="B18" s="3825" t="s">
        <v>3575</v>
      </c>
      <c r="C18" s="3815" t="s">
        <v>3576</v>
      </c>
      <c r="D18" s="3813">
        <v>581.97</v>
      </c>
      <c r="E18" s="3826">
        <v>955886</v>
      </c>
      <c r="F18" s="3817" t="s">
        <v>3561</v>
      </c>
      <c r="G18" s="3818">
        <f t="shared" si="0"/>
        <v>4.5000012946108177</v>
      </c>
    </row>
    <row r="19" spans="1:10" s="3818" customFormat="1" ht="76.5" customHeight="1">
      <c r="A19" s="3813">
        <v>17</v>
      </c>
      <c r="B19" s="3825" t="s">
        <v>3577</v>
      </c>
      <c r="C19" s="3815" t="s">
        <v>3573</v>
      </c>
      <c r="D19" s="3813">
        <v>361.24</v>
      </c>
      <c r="E19" s="3826">
        <v>593337</v>
      </c>
      <c r="F19" s="3817" t="s">
        <v>3561</v>
      </c>
      <c r="G19" s="3818">
        <f t="shared" si="0"/>
        <v>4.5000022752679882</v>
      </c>
    </row>
    <row r="20" spans="1:10" s="3818" customFormat="1" ht="76.5" customHeight="1">
      <c r="A20" s="3813">
        <v>18</v>
      </c>
      <c r="B20" s="3825" t="s">
        <v>3578</v>
      </c>
      <c r="C20" s="3815" t="s">
        <v>3579</v>
      </c>
      <c r="D20" s="3813">
        <v>579.76</v>
      </c>
      <c r="E20" s="3826">
        <v>793547</v>
      </c>
      <c r="F20" s="3817"/>
      <c r="G20" s="3818">
        <f t="shared" si="0"/>
        <v>3.7500023628104966</v>
      </c>
    </row>
    <row r="21" spans="1:10" s="3818" customFormat="1" ht="76.5" customHeight="1">
      <c r="A21" s="3813">
        <v>19</v>
      </c>
      <c r="B21" s="3825" t="s">
        <v>3580</v>
      </c>
      <c r="C21" s="3815" t="s">
        <v>3581</v>
      </c>
      <c r="D21" s="3813">
        <v>75.66</v>
      </c>
      <c r="E21" s="3826">
        <v>27616</v>
      </c>
      <c r="F21" s="3817" t="s">
        <v>3561</v>
      </c>
      <c r="G21" s="3818">
        <f t="shared" si="0"/>
        <v>1.000003621102336</v>
      </c>
    </row>
    <row r="22" spans="1:10" s="3818" customFormat="1" ht="76.5" customHeight="1">
      <c r="A22" s="3813">
        <v>20</v>
      </c>
      <c r="B22" s="3825" t="s">
        <v>3582</v>
      </c>
      <c r="C22" s="3824" t="s">
        <v>3583</v>
      </c>
      <c r="D22" s="3813">
        <v>476.82</v>
      </c>
      <c r="E22" s="3826">
        <v>1480000</v>
      </c>
      <c r="F22" s="3817"/>
      <c r="G22" s="3818">
        <f t="shared" si="0"/>
        <v>8.5038264346041377</v>
      </c>
    </row>
    <row r="23" spans="1:10" s="3818" customFormat="1" ht="76.5" customHeight="1">
      <c r="A23" s="3813">
        <v>21</v>
      </c>
      <c r="B23" s="3825" t="s">
        <v>3540</v>
      </c>
      <c r="C23" s="3824" t="s">
        <v>3541</v>
      </c>
      <c r="D23" s="3813">
        <v>609.21</v>
      </c>
      <c r="E23" s="3826">
        <v>1178517</v>
      </c>
      <c r="F23" s="3817"/>
      <c r="G23" s="3818">
        <f t="shared" si="0"/>
        <v>5.3000011467804811</v>
      </c>
    </row>
    <row r="24" spans="1:10" s="3818" customFormat="1" ht="76.5" customHeight="1">
      <c r="A24" s="3813">
        <v>22</v>
      </c>
      <c r="B24" s="3825" t="s">
        <v>3542</v>
      </c>
      <c r="C24" s="3824" t="s">
        <v>3584</v>
      </c>
      <c r="D24" s="3813">
        <v>2246.85</v>
      </c>
      <c r="E24" s="3826">
        <v>4100501</v>
      </c>
      <c r="F24" s="3817"/>
      <c r="G24" s="3818">
        <f t="shared" si="0"/>
        <v>4.9999996951592198</v>
      </c>
    </row>
    <row r="25" spans="1:10" s="3818" customFormat="1" ht="76.5" customHeight="1">
      <c r="A25" s="3827">
        <v>23</v>
      </c>
      <c r="B25" s="3828" t="s">
        <v>3585</v>
      </c>
      <c r="C25" s="3829" t="s">
        <v>3586</v>
      </c>
      <c r="D25" s="3827">
        <v>274.08</v>
      </c>
      <c r="E25" s="3830">
        <v>641918</v>
      </c>
      <c r="F25" s="3831" t="s">
        <v>3561</v>
      </c>
      <c r="G25" s="3832">
        <f t="shared" si="0"/>
        <v>6.4166646674503598</v>
      </c>
      <c r="J25" s="3833">
        <f>SUM(E25:E28)</f>
        <v>3088449</v>
      </c>
    </row>
    <row r="26" spans="1:10" s="3818" customFormat="1" ht="76.5" customHeight="1">
      <c r="A26" s="3827">
        <v>24</v>
      </c>
      <c r="B26" s="3828" t="s">
        <v>3587</v>
      </c>
      <c r="C26" s="3829" t="s">
        <v>3588</v>
      </c>
      <c r="D26" s="3827">
        <v>354.61</v>
      </c>
      <c r="E26" s="3830">
        <v>194149</v>
      </c>
      <c r="F26" s="3831" t="s">
        <v>3561</v>
      </c>
      <c r="G26" s="3832">
        <f t="shared" si="0"/>
        <v>1.5000001931506461</v>
      </c>
      <c r="J26" s="3818">
        <f>SUM(D25:D28)</f>
        <v>1804.94</v>
      </c>
    </row>
    <row r="27" spans="1:10" s="3818" customFormat="1" ht="76.5" customHeight="1">
      <c r="A27" s="3827">
        <v>25</v>
      </c>
      <c r="B27" s="3828" t="s">
        <v>3589</v>
      </c>
      <c r="C27" s="3829" t="s">
        <v>3581</v>
      </c>
      <c r="D27" s="3827">
        <v>596.92999999999995</v>
      </c>
      <c r="E27" s="3830">
        <v>1089397</v>
      </c>
      <c r="F27" s="3831" t="s">
        <v>3561</v>
      </c>
      <c r="G27" s="3832">
        <f t="shared" si="0"/>
        <v>4.999998852576506</v>
      </c>
      <c r="J27" s="3834">
        <f>J25/365/J26</f>
        <v>4.6879697439189343</v>
      </c>
    </row>
    <row r="28" spans="1:10" s="3818" customFormat="1" ht="76.5" customHeight="1">
      <c r="A28" s="3827">
        <v>26</v>
      </c>
      <c r="B28" s="3828" t="s">
        <v>3590</v>
      </c>
      <c r="C28" s="3835" t="s">
        <v>3565</v>
      </c>
      <c r="D28" s="3827">
        <v>579.32000000000005</v>
      </c>
      <c r="E28" s="3830">
        <v>1162985</v>
      </c>
      <c r="F28" s="3831" t="s">
        <v>3561</v>
      </c>
      <c r="G28" s="3832">
        <f t="shared" si="0"/>
        <v>5.5000004729210152</v>
      </c>
      <c r="J28" s="3834">
        <f>E25+E27+E28</f>
        <v>2894300</v>
      </c>
    </row>
    <row r="29" spans="1:10" s="3818" customFormat="1" ht="76.5" customHeight="1">
      <c r="A29" s="3827">
        <v>27</v>
      </c>
      <c r="B29" s="3828" t="s">
        <v>3591</v>
      </c>
      <c r="C29" s="3829" t="s">
        <v>3592</v>
      </c>
      <c r="D29" s="3827">
        <v>187.72</v>
      </c>
      <c r="E29" s="3830">
        <v>376848</v>
      </c>
      <c r="F29" s="3831" t="s">
        <v>3561</v>
      </c>
      <c r="G29" s="3832">
        <f t="shared" si="0"/>
        <v>5.5000014594747633</v>
      </c>
      <c r="J29" s="3818">
        <f>D25+D27+D28</f>
        <v>1450.33</v>
      </c>
    </row>
    <row r="30" spans="1:10" s="3818" customFormat="1" ht="76.5" customHeight="1">
      <c r="A30" s="3827">
        <v>28</v>
      </c>
      <c r="B30" s="3828" t="s">
        <v>3593</v>
      </c>
      <c r="C30" s="3829" t="s">
        <v>3594</v>
      </c>
      <c r="D30" s="3827">
        <v>82</v>
      </c>
      <c r="E30" s="3830">
        <v>164615</v>
      </c>
      <c r="F30" s="3831"/>
      <c r="G30" s="3832">
        <f t="shared" si="0"/>
        <v>5.5</v>
      </c>
      <c r="J30" s="3834">
        <f>J28/365/J29</f>
        <v>5.4674377838808343</v>
      </c>
    </row>
    <row r="31" spans="1:10" s="3818" customFormat="1" ht="76.5" customHeight="1">
      <c r="A31" s="3827">
        <v>29</v>
      </c>
      <c r="B31" s="3828" t="s">
        <v>3595</v>
      </c>
      <c r="C31" s="3829" t="s">
        <v>3533</v>
      </c>
      <c r="D31" s="3827">
        <v>1141.4100000000001</v>
      </c>
      <c r="E31" s="3830">
        <v>1999750</v>
      </c>
      <c r="F31" s="3831" t="s">
        <v>3561</v>
      </c>
      <c r="G31" s="3832">
        <f t="shared" si="0"/>
        <v>4.7999992319041107</v>
      </c>
    </row>
    <row r="32" spans="1:10" s="3818" customFormat="1" ht="76.5" customHeight="1">
      <c r="A32" s="3827">
        <v>30</v>
      </c>
      <c r="B32" s="3828" t="s">
        <v>3596</v>
      </c>
      <c r="C32" s="3829" t="s">
        <v>3597</v>
      </c>
      <c r="D32" s="3827">
        <v>221.13</v>
      </c>
      <c r="E32" s="3830">
        <v>403562</v>
      </c>
      <c r="F32" s="3831" t="s">
        <v>3561</v>
      </c>
      <c r="G32" s="3832">
        <f t="shared" si="0"/>
        <v>4.9999969025844218</v>
      </c>
    </row>
    <row r="33" spans="1:7" s="3818" customFormat="1" ht="76.5" customHeight="1">
      <c r="A33" s="3827">
        <v>31</v>
      </c>
      <c r="B33" s="3828" t="s">
        <v>3598</v>
      </c>
      <c r="C33" s="3835" t="s">
        <v>3599</v>
      </c>
      <c r="D33" s="3827">
        <v>167.82</v>
      </c>
      <c r="E33" s="3830">
        <v>306271.5</v>
      </c>
      <c r="F33" s="3831"/>
      <c r="G33" s="3832">
        <f t="shared" si="0"/>
        <v>5</v>
      </c>
    </row>
    <row r="34" spans="1:7" s="3818" customFormat="1" ht="76.5" customHeight="1">
      <c r="A34" s="3813">
        <v>32</v>
      </c>
      <c r="B34" s="3825" t="s">
        <v>3600</v>
      </c>
      <c r="C34" s="3824" t="s">
        <v>3573</v>
      </c>
      <c r="D34" s="3813">
        <v>387.87</v>
      </c>
      <c r="E34" s="3826">
        <v>161393</v>
      </c>
      <c r="F34" s="3817" t="s">
        <v>3561</v>
      </c>
      <c r="G34" s="3818">
        <f t="shared" si="0"/>
        <v>1.1400020696102457</v>
      </c>
    </row>
    <row r="35" spans="1:7" ht="76.5" customHeight="1">
      <c r="A35" s="3836" t="s">
        <v>3601</v>
      </c>
      <c r="B35" s="3814"/>
      <c r="C35" s="3837"/>
      <c r="D35" s="3814">
        <f>SUM(D3:D34)</f>
        <v>13763.809999999998</v>
      </c>
      <c r="E35" s="3838">
        <f>SUM(E3:E34)</f>
        <v>24022322</v>
      </c>
      <c r="F35" s="3836"/>
      <c r="G35" s="3818">
        <f t="shared" si="0"/>
        <v>4.7817123908218599</v>
      </c>
    </row>
  </sheetData>
  <mergeCells count="1">
    <mergeCell ref="A1:E1"/>
  </mergeCells>
  <phoneticPr fontId="134"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海淀区西杉创意园一区1、2、6号楼房地产</v>
      </c>
      <c r="B4" s="854">
        <f>项目基本情况!C17</f>
        <v>10268.67</v>
      </c>
      <c r="C4" s="854">
        <f>项目基本情况!C18</f>
        <v>0</v>
      </c>
      <c r="D4" s="854" t="e">
        <f ca="1">结果表!D118</f>
        <v>#REF!</v>
      </c>
      <c r="E4" s="854" t="e">
        <f ca="1">结果表!E118</f>
        <v>#REF!</v>
      </c>
      <c r="F4" s="854" t="e">
        <f ca="1">结果表!F118</f>
        <v>#REF!</v>
      </c>
      <c r="G4" s="854" t="e">
        <f ca="1">结果表!G118</f>
        <v>#REF!</v>
      </c>
      <c r="H4" s="854">
        <f ca="1">结果表!H118</f>
        <v>31379</v>
      </c>
      <c r="I4" s="854">
        <f ca="1">结果表!I118</f>
        <v>30558</v>
      </c>
    </row>
    <row r="5" spans="1:9" ht="30" customHeight="1">
      <c r="A5" s="3463" t="s">
        <v>927</v>
      </c>
      <c r="B5" s="3463"/>
      <c r="C5" s="3463"/>
      <c r="D5" s="3463" t="e">
        <f ca="1">结果表!D119</f>
        <v>#REF!</v>
      </c>
      <c r="E5" s="3463"/>
      <c r="F5" s="3463" t="e">
        <f ca="1">结果表!F119</f>
        <v>#REF!</v>
      </c>
      <c r="G5" s="3463"/>
      <c r="H5" s="3463" t="str">
        <f ca="1">结果表!H119</f>
        <v>叁亿壹仟叁佰柒拾玖万元整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31379</v>
      </c>
      <c r="E8" s="3462"/>
      <c r="F8" s="3462"/>
      <c r="G8" s="3462"/>
      <c r="H8" s="3462"/>
      <c r="I8" s="3462"/>
    </row>
    <row r="9" spans="1:9" ht="15">
      <c r="A9" s="3463" t="s">
        <v>927</v>
      </c>
      <c r="B9" s="3463"/>
      <c r="C9" s="3463"/>
      <c r="D9" s="3463" t="str">
        <f ca="1">结果表!D123</f>
        <v>叁亿壹仟叁佰柒拾玖万元整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清单</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2024-01-18T07:39:26Z</dcterms:modified>
</cp:coreProperties>
</file>