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Z5" i="79" l="1"/>
  <c r="AZ6" i="79"/>
  <c r="AZ7" i="79"/>
  <c r="AZ8" i="79"/>
  <c r="AZ9" i="79"/>
  <c r="AZ10" i="79"/>
  <c r="AZ11" i="79"/>
  <c r="AZ4" i="79"/>
  <c r="AZ3" i="79"/>
  <c r="E46" i="39" s="1"/>
  <c r="G46" i="39" l="1"/>
  <c r="I46" i="39" l="1"/>
  <c r="Y6" i="1" l="1"/>
  <c r="N18" i="1" l="1"/>
  <c r="N6" i="1" l="1"/>
  <c r="K22" i="9" l="1"/>
  <c r="I14" i="3" l="1"/>
  <c r="I15" i="3"/>
  <c r="I13" i="3"/>
  <c r="C14" i="3"/>
  <c r="C15" i="3"/>
  <c r="C13" i="3"/>
  <c r="A13" i="3"/>
  <c r="A3" i="3" l="1"/>
  <c r="O11" i="77" l="1"/>
  <c r="O12" i="77" s="1"/>
  <c r="O13" i="77" s="1"/>
  <c r="O10" i="77"/>
  <c r="C34" i="77"/>
  <c r="B5" i="77"/>
  <c r="B4" i="77"/>
  <c r="E14" i="77"/>
  <c r="P11" i="77" l="1"/>
  <c r="P12" i="77" s="1"/>
  <c r="P13" i="77" s="1"/>
  <c r="P10" i="77"/>
  <c r="N9" i="77"/>
  <c r="M12" i="77"/>
  <c r="E117" i="39" l="1"/>
  <c r="F117" i="39"/>
  <c r="D117" i="39"/>
  <c r="E70" i="39"/>
  <c r="F70" i="39" s="1"/>
  <c r="G70" i="39" s="1"/>
  <c r="H70" i="39" s="1"/>
  <c r="I70" i="39" s="1"/>
  <c r="J70" i="39" s="1"/>
  <c r="K70" i="39" s="1"/>
  <c r="L70" i="39" s="1"/>
  <c r="M70" i="39" s="1"/>
  <c r="D70" i="39"/>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D32" i="77" s="1"/>
  <c r="E23" i="77"/>
  <c r="AH10" i="71"/>
  <c r="AG10" i="71"/>
  <c r="AE10" i="71"/>
  <c r="AF10" i="71" s="1"/>
  <c r="AD10" i="71"/>
  <c r="Q10" i="71"/>
  <c r="AB9" i="71" s="1"/>
  <c r="P10" i="71"/>
  <c r="AA9" i="71" s="1"/>
  <c r="O10" i="71"/>
  <c r="Y9" i="71" s="1"/>
  <c r="Z9" i="71" s="1"/>
  <c r="N10" i="71"/>
  <c r="X9" i="71" s="1"/>
  <c r="E26" i="77" l="1"/>
  <c r="E29" i="77"/>
  <c r="AB8" i="71"/>
  <c r="AA8" i="71"/>
  <c r="Y8" i="71"/>
  <c r="Z8" i="71" s="1"/>
  <c r="X8"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A12" i="52"/>
  <c r="B56" i="72" s="1"/>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E60" i="40"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C36" i="77" s="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T10" i="1" s="1"/>
  <c r="R10" i="1"/>
  <c r="B10" i="1"/>
  <c r="E10" i="1"/>
  <c r="AZ80" i="3"/>
  <c r="AZ84" i="3"/>
  <c r="AZ88" i="3"/>
  <c r="AZ107" i="3"/>
  <c r="AZ111" i="3"/>
  <c r="K12" i="1"/>
  <c r="M12" i="1" s="1"/>
  <c r="O12" i="1" s="1"/>
  <c r="P12" i="1" s="1"/>
  <c r="S13" i="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AZ13" i="3" s="1"/>
  <c r="BL17" i="3"/>
  <c r="AZ17" i="3" s="1"/>
  <c r="BL13" i="3"/>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Q13" i="1"/>
  <c r="M6" i="1"/>
  <c r="F28" i="67"/>
  <c r="C28" i="67" s="1"/>
  <c r="F32" i="67"/>
  <c r="F60" i="67" s="1"/>
  <c r="F32" i="15"/>
  <c r="F60" i="15" s="1"/>
  <c r="AR11" i="1"/>
  <c r="S7" i="1"/>
  <c r="AR7" i="1" s="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T8" i="1"/>
  <c r="R22" i="31"/>
  <c r="L27" i="6"/>
  <c r="AP7" i="1"/>
  <c r="AB45" i="21"/>
  <c r="AC33" i="21"/>
  <c r="W33" i="21"/>
  <c r="S33" i="21"/>
  <c r="AA33" i="21"/>
  <c r="W32" i="21"/>
  <c r="AC32" i="21"/>
  <c r="AB9" i="21"/>
  <c r="U9" i="21"/>
  <c r="AA32" i="21"/>
  <c r="S32" i="21"/>
  <c r="W9" i="21"/>
  <c r="AC9" i="21"/>
  <c r="AB32" i="21"/>
  <c r="U32" i="21"/>
  <c r="AA10" i="21"/>
  <c r="S10" i="2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M22" i="67"/>
  <c r="F42" i="67"/>
  <c r="F40" i="67"/>
  <c r="F35" i="67"/>
  <c r="D6" i="73"/>
  <c r="M9" i="15"/>
  <c r="F26" i="15"/>
  <c r="M28" i="15"/>
  <c r="D2" i="34"/>
  <c r="F38" i="15"/>
  <c r="F4" i="73"/>
  <c r="AO8" i="1"/>
  <c r="D7" i="73"/>
  <c r="F37" i="67"/>
  <c r="F7" i="15"/>
  <c r="AO10" i="1"/>
  <c r="B9" i="76"/>
  <c r="D2" i="33"/>
  <c r="E9" i="76"/>
  <c r="D4" i="73"/>
  <c r="AO13" i="1"/>
  <c r="M6" i="67"/>
  <c r="E7" i="76"/>
  <c r="AO7" i="1"/>
  <c r="L47" i="15"/>
  <c r="E2" i="68"/>
  <c r="B11" i="76"/>
  <c r="F26" i="67"/>
  <c r="F8" i="15"/>
  <c r="J15" i="67"/>
  <c r="E13" i="76"/>
  <c r="F37" i="15"/>
  <c r="D2" i="36"/>
  <c r="L48" i="15"/>
  <c r="M8" i="15"/>
  <c r="D5" i="73"/>
  <c r="M6" i="15"/>
  <c r="M29" i="15"/>
  <c r="F7" i="73"/>
  <c r="M23" i="67"/>
  <c r="D2" i="21"/>
  <c r="D2" i="35"/>
  <c r="L47" i="67"/>
  <c r="F9" i="67"/>
  <c r="E12" i="76"/>
  <c r="F38" i="67"/>
  <c r="F5" i="73"/>
  <c r="F6" i="67"/>
  <c r="M9" i="67"/>
  <c r="AO11" i="1"/>
  <c r="D3" i="73"/>
  <c r="B7" i="76"/>
  <c r="F13" i="67"/>
  <c r="AO9" i="1"/>
  <c r="F6" i="73"/>
  <c r="B13" i="76"/>
  <c r="F3" i="73"/>
  <c r="B10" i="76"/>
  <c r="D2" i="37"/>
  <c r="M26" i="15"/>
  <c r="AO12" i="1"/>
  <c r="M24" i="67"/>
  <c r="F6" i="15"/>
  <c r="F42" i="15"/>
  <c r="F7" i="67"/>
  <c r="F43" i="15"/>
  <c r="M22" i="15"/>
  <c r="F9" i="15"/>
  <c r="M29" i="67"/>
  <c r="E2" i="69"/>
  <c r="B12" i="76"/>
  <c r="F43" i="67"/>
  <c r="M27" i="15"/>
  <c r="F40" i="15"/>
  <c r="E10" i="76"/>
  <c r="M24" i="15"/>
  <c r="J15" i="15"/>
  <c r="M26" i="67"/>
  <c r="E11" i="76"/>
  <c r="B8" i="76"/>
  <c r="L48" i="67"/>
  <c r="F36" i="15"/>
  <c r="M23" i="15"/>
  <c r="F16" i="15"/>
  <c r="M28" i="67"/>
  <c r="F41" i="67"/>
  <c r="C76" i="15"/>
  <c r="M27" i="67"/>
  <c r="F8" i="67"/>
  <c r="M21" i="67"/>
  <c r="C76" i="67"/>
  <c r="F16" i="67"/>
  <c r="F36" i="67"/>
  <c r="M8" i="67"/>
  <c r="F13" i="15"/>
  <c r="E8" i="76"/>
  <c r="F20" i="31"/>
  <c r="F54" i="9" l="1"/>
  <c r="M18" i="15"/>
  <c r="F30" i="69"/>
  <c r="F52" i="9"/>
  <c r="F30" i="11"/>
  <c r="J52" i="15"/>
  <c r="Q51" i="15" s="1"/>
  <c r="T9" i="1"/>
  <c r="G5" i="3"/>
  <c r="B3" i="3" s="1"/>
  <c r="E563" i="3"/>
  <c r="E445" i="3"/>
  <c r="E509" i="3"/>
  <c r="E579" i="3"/>
  <c r="E431" i="3"/>
  <c r="E247" i="3"/>
  <c r="E201" i="3"/>
  <c r="E311" i="3"/>
  <c r="E514" i="3"/>
  <c r="E570" i="3"/>
  <c r="M6" i="3"/>
  <c r="AB6" i="3"/>
  <c r="E387" i="3"/>
  <c r="E335" i="3"/>
  <c r="E215" i="3"/>
  <c r="E189" i="3"/>
  <c r="E134" i="3"/>
  <c r="E91" i="3"/>
  <c r="E180" i="3"/>
  <c r="E8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69" i="3"/>
  <c r="AZ39" i="3"/>
  <c r="AZ38" i="3"/>
  <c r="AR8" i="1"/>
  <c r="G29" i="6"/>
  <c r="G30" i="6" s="1"/>
  <c r="G31" i="6" s="1"/>
  <c r="F28" i="6"/>
  <c r="AZ21" i="3"/>
  <c r="AZ24" i="3"/>
  <c r="AZ26" i="3"/>
  <c r="BL28" i="3"/>
  <c r="AZ28" i="3" s="1"/>
  <c r="AZ35" i="3"/>
  <c r="BA18" i="3"/>
  <c r="AZ18" i="3" s="1"/>
  <c r="BA19" i="3"/>
  <c r="AZ19" i="3" s="1"/>
  <c r="BA20" i="3"/>
  <c r="AZ20" i="3" s="1"/>
  <c r="BL23" i="3"/>
  <c r="BL5" i="3" s="1"/>
  <c r="AZ29" i="3"/>
  <c r="BA30" i="3"/>
  <c r="AZ30" i="3" s="1"/>
  <c r="BA31" i="3"/>
  <c r="AZ31" i="3" s="1"/>
  <c r="BA32" i="3"/>
  <c r="AZ32" i="3" s="1"/>
  <c r="BA33" i="3"/>
  <c r="AZ33" i="3" s="1"/>
  <c r="BA34" i="3"/>
  <c r="AZ34" i="3" s="1"/>
  <c r="F36" i="77"/>
  <c r="D39" i="77"/>
  <c r="E39" i="77"/>
  <c r="P61" i="15"/>
  <c r="E29" i="6"/>
  <c r="K15" i="1" s="1"/>
  <c r="F30" i="6"/>
  <c r="E28" i="6"/>
  <c r="C36" i="69"/>
  <c r="AQ9" i="1"/>
  <c r="AR12" i="1"/>
  <c r="E14" i="6"/>
  <c r="E63" i="39" s="1"/>
  <c r="E64" i="39"/>
  <c r="E11" i="6"/>
  <c r="E60" i="39" s="1"/>
  <c r="AZ23" i="3"/>
  <c r="AZ27" i="3"/>
  <c r="AZ15" i="3"/>
  <c r="E114" i="3"/>
  <c r="E278" i="3"/>
  <c r="E172"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E550" i="3"/>
  <c r="E260" i="3"/>
  <c r="E395" i="3"/>
  <c r="E415" i="3"/>
  <c r="E237" i="3"/>
  <c r="E261" i="3"/>
  <c r="E304" i="3"/>
  <c r="E528" i="3"/>
  <c r="E565" i="3"/>
  <c r="E183" i="3"/>
  <c r="E213" i="3"/>
  <c r="E361" i="3"/>
  <c r="E17" i="3"/>
  <c r="E503"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C48" i="69"/>
  <c r="M18" i="67"/>
  <c r="F31" i="12"/>
  <c r="F30" i="68"/>
  <c r="F53" i="9"/>
  <c r="C5" i="11"/>
  <c r="C31" i="12"/>
  <c r="C21" i="68"/>
  <c r="C40" i="69"/>
  <c r="C21" i="69"/>
  <c r="D22" i="67"/>
  <c r="K5" i="4"/>
  <c r="B47" i="48" s="1"/>
  <c r="Q16" i="1"/>
  <c r="T7" i="1"/>
  <c r="AQ7" i="1"/>
  <c r="AZ14" i="3"/>
  <c r="M7" i="1"/>
  <c r="O7" i="1" s="1"/>
  <c r="P7" i="1" s="1"/>
  <c r="H16" i="1"/>
  <c r="D19" i="12"/>
  <c r="C19" i="12" s="1"/>
  <c r="BA5" i="3"/>
  <c r="I101" i="43"/>
  <c r="AA11" i="43"/>
  <c r="AA13" i="43" s="1"/>
  <c r="G22" i="43"/>
  <c r="E53" i="3"/>
  <c r="E125" i="3"/>
  <c r="E175" i="3"/>
  <c r="E217" i="3"/>
  <c r="E319" i="3"/>
  <c r="E366" i="3"/>
  <c r="E530" i="3"/>
  <c r="E526" i="3"/>
  <c r="E501" i="3"/>
  <c r="E553" i="3"/>
  <c r="E343" i="3"/>
  <c r="E268" i="3"/>
  <c r="E153" i="3"/>
  <c r="E282" i="3"/>
  <c r="E305" i="3"/>
  <c r="E322" i="3"/>
  <c r="E426" i="3"/>
  <c r="N6" i="3"/>
  <c r="E508" i="3"/>
  <c r="AJ6" i="3"/>
  <c r="E328" i="3"/>
  <c r="E8" i="6"/>
  <c r="E12" i="6"/>
  <c r="E13" i="6"/>
  <c r="E10" i="6"/>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AQ11" i="1"/>
  <c r="T11" i="1"/>
  <c r="AR13" i="1"/>
  <c r="T13" i="1"/>
  <c r="AQ10" i="1"/>
  <c r="AR10" i="1"/>
  <c r="D9" i="68"/>
  <c r="C9" i="68" s="1"/>
  <c r="E59" i="40"/>
  <c r="D9" i="69"/>
  <c r="C9" i="69" s="1"/>
  <c r="O9" i="1"/>
  <c r="P9" i="1" s="1"/>
  <c r="O11" i="1"/>
  <c r="P11" i="1" s="1"/>
  <c r="O8" i="1"/>
  <c r="F27" i="1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K21" i="9" s="1"/>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6" i="15"/>
  <c r="C14" i="67"/>
  <c r="C17" i="67"/>
  <c r="C48" i="11" l="1"/>
  <c r="C30" i="11"/>
  <c r="F48" i="69"/>
  <c r="C30" i="69"/>
  <c r="W17" i="39"/>
  <c r="Z7" i="43"/>
  <c r="G101" i="43"/>
  <c r="G105" i="43" s="1"/>
  <c r="AB11" i="43"/>
  <c r="AB13" i="43" s="1"/>
  <c r="J101" i="43"/>
  <c r="J107" i="43" s="1"/>
  <c r="E516" i="3"/>
  <c r="E396" i="3"/>
  <c r="E151" i="3"/>
  <c r="E559" i="3"/>
  <c r="V6" i="3"/>
  <c r="E320" i="3"/>
  <c r="E230" i="3"/>
  <c r="E254" i="3"/>
  <c r="E140" i="3"/>
  <c r="E238" i="3"/>
  <c r="E116" i="3"/>
  <c r="E105" i="3"/>
  <c r="E393" i="3"/>
  <c r="E493" i="3"/>
  <c r="U6" i="3"/>
  <c r="AG6" i="3"/>
  <c r="E515" i="3"/>
  <c r="AO6" i="3"/>
  <c r="E411" i="3"/>
  <c r="E448" i="3"/>
  <c r="E478" i="3"/>
  <c r="E485" i="3"/>
  <c r="E548" i="3"/>
  <c r="P6" i="3"/>
  <c r="E414" i="3"/>
  <c r="E400" i="3"/>
  <c r="E432" i="3"/>
  <c r="E443" i="3"/>
  <c r="E477" i="3"/>
  <c r="E345" i="3"/>
  <c r="E367" i="3"/>
  <c r="E558" i="3"/>
  <c r="E505" i="3"/>
  <c r="E557" i="3"/>
  <c r="E547" i="3"/>
  <c r="E58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39" i="3"/>
  <c r="E229" i="3"/>
  <c r="E551" i="3"/>
  <c r="E294" i="3"/>
  <c r="E221" i="3"/>
  <c r="E197" i="3"/>
  <c r="E369" i="3"/>
  <c r="E534" i="3"/>
  <c r="E552" i="3"/>
  <c r="E421" i="3"/>
  <c r="E464" i="3"/>
  <c r="E487" i="3"/>
  <c r="E398" i="3"/>
  <c r="E416" i="3"/>
  <c r="E459" i="3"/>
  <c r="E374" i="3"/>
  <c r="E566" i="3"/>
  <c r="E500" i="3"/>
  <c r="E582" i="3"/>
  <c r="E413" i="3"/>
  <c r="E444" i="3"/>
  <c r="E476" i="3"/>
  <c r="E489" i="3"/>
  <c r="E546" i="3"/>
  <c r="E404" i="3"/>
  <c r="E447" i="3"/>
  <c r="E28" i="3"/>
  <c r="E71" i="3"/>
  <c r="E88" i="3"/>
  <c r="E27" i="3"/>
  <c r="E70" i="3"/>
  <c r="E92" i="3"/>
  <c r="E121" i="3"/>
  <c r="E162" i="3"/>
  <c r="E182" i="3"/>
  <c r="E126" i="3"/>
  <c r="E166" i="3"/>
  <c r="E186" i="3"/>
  <c r="E211" i="3"/>
  <c r="E272" i="3"/>
  <c r="E295" i="3"/>
  <c r="E210" i="3"/>
  <c r="E27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569" i="3"/>
  <c r="E358" i="3"/>
  <c r="E407" i="3"/>
  <c r="E130" i="3"/>
  <c r="E223" i="3"/>
  <c r="E173" i="3"/>
  <c r="E525" i="3"/>
  <c r="R6" i="3"/>
  <c r="E502" i="3"/>
  <c r="E442" i="3"/>
  <c r="E466" i="3"/>
  <c r="E541" i="3"/>
  <c r="E430" i="3"/>
  <c r="E449" i="3"/>
  <c r="E255" i="3"/>
  <c r="I3" i="6"/>
  <c r="AP6" i="3"/>
  <c r="E554" i="3"/>
  <c r="E517" i="3"/>
  <c r="E435" i="3"/>
  <c r="E460" i="3"/>
  <c r="E491" i="3"/>
  <c r="E520" i="3"/>
  <c r="E417" i="3"/>
  <c r="E436" i="3"/>
  <c r="E479" i="3"/>
  <c r="E39" i="3"/>
  <c r="E56" i="3"/>
  <c r="E90" i="3"/>
  <c r="E37" i="3"/>
  <c r="E57" i="3"/>
  <c r="E95" i="3"/>
  <c r="E131" i="3"/>
  <c r="E152" i="3"/>
  <c r="E187" i="3"/>
  <c r="E132" i="3"/>
  <c r="E155" i="3"/>
  <c r="E192" i="3"/>
  <c r="E240" i="3"/>
  <c r="E258" i="3"/>
  <c r="E297" i="3"/>
  <c r="E241"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J102" i="43"/>
  <c r="AZ5" i="3"/>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AY6" i="3"/>
  <c r="AY95" i="3" s="1"/>
  <c r="E3" i="6"/>
  <c r="D3" i="21" s="1"/>
  <c r="D115" i="43"/>
  <c r="E115" i="43" s="1"/>
  <c r="F115" i="43" s="1"/>
  <c r="G115" i="43" s="1"/>
  <c r="H115" i="43" s="1"/>
  <c r="B117" i="43"/>
  <c r="C117" i="43" s="1"/>
  <c r="D116" i="43"/>
  <c r="E116" i="43" s="1"/>
  <c r="F116" i="43" s="1"/>
  <c r="G116" i="43" s="1"/>
  <c r="H116" i="43" s="1"/>
  <c r="G107" i="43"/>
  <c r="P8" i="1"/>
  <c r="E16" i="6"/>
  <c r="AY87" i="3"/>
  <c r="AY223" i="3"/>
  <c r="AY538" i="3"/>
  <c r="AY399" i="3"/>
  <c r="AY583" i="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W10" i="39"/>
  <c r="H10" i="40"/>
  <c r="U10" i="40" s="1"/>
  <c r="AB10" i="39"/>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 i="3" l="1"/>
  <c r="H6" i="3"/>
  <c r="AY175" i="3"/>
  <c r="AY504" i="3"/>
  <c r="AY424" i="3"/>
  <c r="AY569" i="3"/>
  <c r="AY474" i="3"/>
  <c r="AY216" i="3"/>
  <c r="AY205" i="3"/>
  <c r="AY143" i="3"/>
  <c r="AY306" i="3"/>
  <c r="BR6" i="3"/>
  <c r="BM6" i="3"/>
  <c r="AY370" i="3"/>
  <c r="D107" i="43"/>
  <c r="AY413" i="3"/>
  <c r="AY208" i="3"/>
  <c r="AY528" i="3"/>
  <c r="AY110" i="3"/>
  <c r="AY321" i="3"/>
  <c r="AY518" i="3"/>
  <c r="AY459" i="3"/>
  <c r="AY359" i="3"/>
  <c r="AY153" i="3"/>
  <c r="AY179" i="3"/>
  <c r="AY127" i="3"/>
  <c r="AY442" i="3"/>
  <c r="AY96" i="3"/>
  <c r="AY177" i="3"/>
  <c r="AY368" i="3"/>
  <c r="AY392" i="3"/>
  <c r="AY567" i="3"/>
  <c r="AY15" i="3"/>
  <c r="AY432" i="3"/>
  <c r="AY339" i="3"/>
  <c r="AY288" i="3"/>
  <c r="AY22" i="3"/>
  <c r="AY482" i="3"/>
  <c r="AY140" i="3"/>
  <c r="AY537" i="3"/>
  <c r="AY461" i="3"/>
  <c r="AY235" i="3"/>
  <c r="AY577" i="3"/>
  <c r="AY398" i="3"/>
  <c r="AY550" i="3"/>
  <c r="AY386" i="3"/>
  <c r="AY107" i="3"/>
  <c r="AY62" i="3"/>
  <c r="AY320" i="3"/>
  <c r="AY543" i="3"/>
  <c r="AY256" i="3"/>
  <c r="AY587" i="3"/>
  <c r="AY376" i="3"/>
  <c r="AY78" i="3"/>
  <c r="AY499" i="3"/>
  <c r="AY328" i="3"/>
  <c r="AY169" i="3"/>
  <c r="AY16" i="3"/>
  <c r="AY332" i="3"/>
  <c r="AY227" i="3"/>
  <c r="AY475" i="3"/>
  <c r="AY59" i="3"/>
  <c r="AY117" i="3"/>
  <c r="BE6" i="3"/>
  <c r="D106" i="43"/>
  <c r="D103" i="43"/>
  <c r="BT6" i="3"/>
  <c r="AY566" i="3"/>
  <c r="AY521" i="3"/>
  <c r="AY400" i="3"/>
  <c r="AY443" i="3"/>
  <c r="AY322" i="3"/>
  <c r="AY375" i="3"/>
  <c r="AY272" i="3"/>
  <c r="AY136" i="3"/>
  <c r="AY195" i="3"/>
  <c r="AY102" i="3"/>
  <c r="AY421" i="3"/>
  <c r="AY347" i="3"/>
  <c r="AY296" i="3"/>
  <c r="AY30" i="3"/>
  <c r="AY548" i="3"/>
  <c r="AY564" i="3"/>
  <c r="AY418" i="3"/>
  <c r="AY304" i="3"/>
  <c r="AY385" i="3"/>
  <c r="AY122" i="3"/>
  <c r="AY49" i="3"/>
  <c r="AY508" i="3"/>
  <c r="AY534" i="3"/>
  <c r="AY498" i="3"/>
  <c r="BC6" i="3"/>
  <c r="AY416" i="3"/>
  <c r="AY307" i="3"/>
  <c r="AY257" i="3"/>
  <c r="AY200" i="3"/>
  <c r="AY408" i="3"/>
  <c r="AY301" i="3"/>
  <c r="AY545" i="3"/>
  <c r="AY434" i="3"/>
  <c r="AY396" i="3"/>
  <c r="AY81" i="3"/>
  <c r="AY585" i="3"/>
  <c r="AY367" i="3"/>
  <c r="AY119" i="3"/>
  <c r="AY70" i="3"/>
  <c r="AY517" i="3"/>
  <c r="AY314" i="3"/>
  <c r="AY264" i="3"/>
  <c r="AY187" i="3"/>
  <c r="BA6" i="3"/>
  <c r="AY502" i="3"/>
  <c r="AY423" i="3"/>
  <c r="AY484" i="3"/>
  <c r="AY345" i="3"/>
  <c r="AY282" i="3"/>
  <c r="AY37" i="3"/>
  <c r="AY514" i="3"/>
  <c r="AY546" i="3"/>
  <c r="AY446" i="3"/>
  <c r="AY210" i="3"/>
  <c r="AY104" i="3"/>
  <c r="AY173" i="3"/>
  <c r="AY318" i="3"/>
  <c r="AY295" i="3"/>
  <c r="AY60" i="3"/>
  <c r="AY406" i="3"/>
  <c r="AY72" i="3"/>
  <c r="AY180" i="3"/>
  <c r="AY149" i="3"/>
  <c r="AY460" i="3"/>
  <c r="C17" i="4"/>
  <c r="D102" i="43"/>
  <c r="D105" i="43"/>
  <c r="D104" i="43"/>
  <c r="M14" i="1"/>
  <c r="K16" i="1"/>
  <c r="C34" i="69"/>
  <c r="D3" i="37"/>
  <c r="D3" i="34"/>
  <c r="E6" i="6"/>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C18" i="4" s="1"/>
  <c r="C4" i="52" s="1"/>
  <c r="B45" i="72" s="1"/>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2" i="43"/>
  <c r="T2" i="43" s="1"/>
  <c r="V2" i="43" s="1"/>
  <c r="S3" i="43"/>
  <c r="T3" i="43" s="1"/>
  <c r="V3" i="43" s="1"/>
  <c r="S6" i="43"/>
  <c r="T6" i="43" s="1"/>
  <c r="V6" i="43" s="1"/>
  <c r="S7" i="43"/>
  <c r="T7" i="43" s="1"/>
  <c r="V7" i="43" s="1"/>
  <c r="S5" i="43"/>
  <c r="T5" i="43" s="1"/>
  <c r="V5" i="43" s="1"/>
  <c r="C23" i="43"/>
  <c r="C21" i="43" s="1"/>
  <c r="C29" i="43" s="1"/>
  <c r="C30" i="43" s="1"/>
  <c r="E30"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E61" i="40"/>
  <c r="D17" i="12"/>
  <c r="C17" i="12" s="1"/>
  <c r="C14" i="12"/>
  <c r="B4" i="52"/>
  <c r="B43" i="72" s="1"/>
  <c r="E65" i="39"/>
  <c r="W10" i="40"/>
  <c r="AB10" i="40"/>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C38" i="15" s="1"/>
  <c r="F25" i="12"/>
  <c r="F22" i="69"/>
  <c r="F41" i="69" s="1"/>
  <c r="F24" i="67"/>
  <c r="C24" i="67" s="1"/>
  <c r="F22" i="11"/>
  <c r="F22" i="68"/>
  <c r="F24" i="15"/>
  <c r="C24" i="15" s="1"/>
  <c r="F41" i="15"/>
  <c r="C10" i="68" l="1"/>
  <c r="E29" i="43"/>
  <c r="F69" i="15"/>
  <c r="J29" i="15"/>
  <c r="B29" i="1"/>
  <c r="C8" i="68" s="1"/>
  <c r="M18" i="1"/>
  <c r="C35" i="69"/>
  <c r="C38" i="69"/>
  <c r="O14" i="1"/>
  <c r="M16" i="1"/>
  <c r="C20" i="11"/>
  <c r="C28" i="11" s="1"/>
  <c r="C27" i="11" s="1"/>
  <c r="D20" i="12"/>
  <c r="C20"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C23" i="69" s="1"/>
  <c r="D19" i="69"/>
  <c r="K20" i="6"/>
  <c r="M20" i="6" s="1"/>
  <c r="I20" i="6" s="1"/>
  <c r="E31" i="6"/>
  <c r="K22" i="6"/>
  <c r="M22" i="6" s="1"/>
  <c r="I22" i="6" s="1"/>
  <c r="K23" i="6"/>
  <c r="M23" i="6" s="1"/>
  <c r="I23" i="6" s="1"/>
  <c r="K21" i="6"/>
  <c r="M21" i="6" s="1"/>
  <c r="I21" i="6" s="1"/>
  <c r="K25" i="6"/>
  <c r="M25" i="6" s="1"/>
  <c r="I25" i="6" s="1"/>
  <c r="K26" i="6"/>
  <c r="M26" i="6" s="1"/>
  <c r="I26" i="6" s="1"/>
  <c r="K19" i="6"/>
  <c r="S6" i="1" s="1"/>
  <c r="K24" i="6"/>
  <c r="M24" i="6" s="1"/>
  <c r="I24" i="6" s="1"/>
  <c r="C19" i="68"/>
  <c r="C24" i="68" s="1"/>
  <c r="D37" i="68"/>
  <c r="C37"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66" i="67"/>
  <c r="C60" i="67"/>
  <c r="C23" i="67"/>
  <c r="C29" i="67" s="1"/>
  <c r="B6" i="76"/>
  <c r="E6" i="76"/>
  <c r="C17" i="15"/>
  <c r="C18" i="12" l="1"/>
  <c r="E6" i="70"/>
  <c r="E2" i="70" s="1"/>
  <c r="N16" i="1"/>
  <c r="F50" i="69" s="1"/>
  <c r="P14" i="1"/>
  <c r="C34" i="68"/>
  <c r="C34" i="11"/>
  <c r="L16" i="1"/>
  <c r="D30" i="6"/>
  <c r="D16" i="6"/>
  <c r="D27" i="6"/>
  <c r="D31" i="6" s="1"/>
  <c r="I6" i="6" s="1"/>
  <c r="M19" i="9"/>
  <c r="C118" i="9" s="1"/>
  <c r="C14" i="74" s="1"/>
  <c r="B2" i="74" s="1"/>
  <c r="AQ6" i="1"/>
  <c r="S16" i="1"/>
  <c r="AR6" i="1"/>
  <c r="T6" i="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C36" i="67"/>
  <c r="C33" i="67"/>
  <c r="C31" i="67" s="1"/>
  <c r="J14" i="67"/>
  <c r="C13" i="67"/>
  <c r="J19" i="67"/>
  <c r="J17" i="67" s="1"/>
  <c r="C57" i="67"/>
  <c r="C61" i="67" s="1"/>
  <c r="Q49" i="67"/>
  <c r="J59" i="67"/>
  <c r="J60" i="67" s="1"/>
  <c r="C14" i="15"/>
  <c r="F50" i="68" l="1"/>
  <c r="C15" i="15"/>
  <c r="C18" i="15"/>
  <c r="F50" i="11"/>
  <c r="O6" i="1"/>
  <c r="T16" i="1"/>
  <c r="C38" i="11"/>
  <c r="C35" i="11"/>
  <c r="C35" i="68"/>
  <c r="C38" i="68"/>
  <c r="I5" i="6"/>
  <c r="D7" i="74"/>
  <c r="D8" i="74"/>
  <c r="C20" i="69"/>
  <c r="C28" i="69" s="1"/>
  <c r="C27" i="69" s="1"/>
  <c r="C39" i="69"/>
  <c r="C43" i="69" s="1"/>
  <c r="C42" i="69"/>
  <c r="I19" i="6"/>
  <c r="L18" i="9" s="1"/>
  <c r="M27"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C26" i="15" s="1"/>
  <c r="P6" i="1"/>
  <c r="P16" i="1" s="1"/>
  <c r="C11" i="12" s="1"/>
  <c r="O16" i="1"/>
  <c r="C33" i="11"/>
  <c r="C39" i="11" s="1"/>
  <c r="C33" i="68"/>
  <c r="C39" i="68"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2" i="12" l="1"/>
  <c r="C15" i="12"/>
  <c r="C23" i="15"/>
  <c r="C29" i="15" s="1"/>
  <c r="C36" i="15"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6" i="12" l="1"/>
  <c r="C21" i="12" s="1"/>
  <c r="C22" i="12" s="1"/>
  <c r="C27" i="12" s="1"/>
  <c r="C25" i="12" s="1"/>
  <c r="C57" i="15"/>
  <c r="Q49" i="15"/>
  <c r="J59" i="15"/>
  <c r="J60" i="15" s="1"/>
  <c r="Q48" i="15" s="1"/>
  <c r="J14" i="15"/>
  <c r="C13" i="15"/>
  <c r="C37" i="15" s="1"/>
  <c r="J19" i="15"/>
  <c r="C33" i="15"/>
  <c r="C41" i="68"/>
  <c r="C41" i="11"/>
  <c r="C49" i="11" s="1"/>
  <c r="C51" i="11" s="1"/>
  <c r="C52" i="11" s="1"/>
  <c r="B2" i="11" s="1"/>
  <c r="B3" i="11" s="1"/>
  <c r="C49" i="68"/>
  <c r="D13" i="77" s="1"/>
  <c r="D12" i="77" s="1"/>
  <c r="D11" i="77" s="1"/>
  <c r="C57" i="69"/>
  <c r="C56" i="69" s="1"/>
  <c r="R27" i="6"/>
  <c r="R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30" i="12" l="1"/>
  <c r="C28" i="12" s="1"/>
  <c r="C32" i="12" s="1"/>
  <c r="B2" i="12" s="1"/>
  <c r="B3" i="12" s="1"/>
  <c r="C61" i="15"/>
  <c r="C64" i="15"/>
  <c r="C56" i="15"/>
  <c r="C65" i="15" s="1"/>
  <c r="Q70" i="15"/>
  <c r="C75" i="15"/>
  <c r="J22" i="15"/>
  <c r="J13" i="15"/>
  <c r="J23" i="15" s="1"/>
  <c r="J20" i="15"/>
  <c r="J17" i="15" s="1"/>
  <c r="F63" i="15"/>
  <c r="C62" i="15" s="1"/>
  <c r="C34" i="15"/>
  <c r="C31" i="15" s="1"/>
  <c r="R16" i="1"/>
  <c r="C51" i="68"/>
  <c r="C56" i="11"/>
  <c r="C57" i="11" s="1"/>
  <c r="E11" i="77"/>
  <c r="E7" i="77" s="1"/>
  <c r="C27" i="77" s="1"/>
  <c r="D7" i="77"/>
  <c r="C26" i="77" s="1"/>
  <c r="C32" i="77" s="1"/>
  <c r="C38" i="77" s="1"/>
  <c r="C39" i="77" s="1"/>
  <c r="C40" i="77" s="1"/>
  <c r="M69" i="39"/>
  <c r="N67" i="39"/>
  <c r="R39" i="35"/>
  <c r="E38" i="35"/>
  <c r="M63" i="40"/>
  <c r="L65" i="40"/>
  <c r="C30" i="15" l="1"/>
  <c r="C39" i="15" s="1"/>
  <c r="Q69" i="15" s="1"/>
  <c r="Q68" i="15" s="1"/>
  <c r="J16" i="15"/>
  <c r="J25" i="15" s="1"/>
  <c r="C59" i="15"/>
  <c r="C58" i="15" s="1"/>
  <c r="C67" i="15" s="1"/>
  <c r="C68" i="15" s="1"/>
  <c r="C71" i="15" s="1"/>
  <c r="L57" i="15"/>
  <c r="L60" i="15" s="1"/>
  <c r="C41" i="77"/>
  <c r="B2" i="77"/>
  <c r="O67" i="39"/>
  <c r="O69" i="39" s="1"/>
  <c r="N69" i="39"/>
  <c r="F7" i="39"/>
  <c r="C39" i="35"/>
  <c r="B2" i="35" s="1"/>
  <c r="B3" i="35" s="1"/>
  <c r="C38" i="35"/>
  <c r="N63" i="40"/>
  <c r="M65" i="40"/>
  <c r="E43" i="35"/>
  <c r="F43" i="35" s="1"/>
  <c r="E42" i="35"/>
  <c r="F42" i="35" s="1"/>
  <c r="I43" i="35"/>
  <c r="J43" i="35" s="1"/>
  <c r="L51" i="15"/>
  <c r="Q67" i="15" l="1"/>
  <c r="C40" i="15"/>
  <c r="Q47" i="15" s="1"/>
  <c r="Q53" i="15" s="1"/>
  <c r="C80" i="15"/>
  <c r="C79" i="15" s="1"/>
  <c r="L46" i="15"/>
  <c r="Q66" i="15"/>
  <c r="Q57" i="15"/>
  <c r="B3" i="77"/>
  <c r="H7" i="39"/>
  <c r="J7" i="39"/>
  <c r="S7" i="39"/>
  <c r="AA7" i="39"/>
  <c r="R47" i="39" s="1"/>
  <c r="O63" i="40"/>
  <c r="O65" i="40" s="1"/>
  <c r="N65" i="40"/>
  <c r="Q65" i="15" l="1"/>
  <c r="Q75" i="15" s="1"/>
  <c r="C46" i="15"/>
  <c r="C43" i="15"/>
  <c r="C83" i="15"/>
  <c r="C82" i="15" s="1"/>
  <c r="Q56" i="15"/>
  <c r="Q62" i="15" s="1"/>
  <c r="B2" i="15"/>
  <c r="B3" i="15" s="1"/>
  <c r="W7" i="39"/>
  <c r="AC7" i="39"/>
  <c r="V47" i="39" s="1"/>
  <c r="I47" i="39" s="1"/>
  <c r="E47" i="39"/>
  <c r="U7" i="39"/>
  <c r="AB7" i="39"/>
  <c r="T47" i="39" s="1"/>
  <c r="G47" i="39" s="1"/>
  <c r="J7" i="40"/>
  <c r="F7" i="40"/>
  <c r="H7" i="40"/>
  <c r="D19" i="9"/>
  <c r="AO6" i="1"/>
  <c r="D20" i="9"/>
  <c r="D102" i="9" l="1"/>
  <c r="D21" i="9"/>
  <c r="B6" i="70"/>
  <c r="B2" i="70" s="1"/>
  <c r="B3" i="70" s="1"/>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22" i="9"/>
  <c r="B3" i="68"/>
  <c r="D34" i="9"/>
  <c r="C20" i="9"/>
  <c r="D35" i="9"/>
  <c r="D14" i="74" l="1"/>
  <c r="G14" i="74"/>
  <c r="G21" i="9"/>
  <c r="C103" i="9"/>
  <c r="G20" i="9"/>
  <c r="C32" i="9" s="1"/>
  <c r="C35" i="9" s="1"/>
  <c r="C34" i="9" s="1"/>
  <c r="F14" i="74" l="1"/>
  <c r="E14" i="74"/>
  <c r="B5" i="74"/>
  <c r="D5" i="74" s="1"/>
  <c r="C5" i="74" l="1"/>
  <c r="B6" i="74"/>
  <c r="C6" i="74" s="1"/>
  <c r="D6" i="74" l="1"/>
  <c r="D118" i="9" l="1"/>
  <c r="D119" i="9" s="1"/>
  <c r="D5" i="52" s="1"/>
  <c r="B49" i="72" s="1"/>
  <c r="F118" i="9"/>
  <c r="F119" i="9" s="1"/>
  <c r="F5" i="52" s="1"/>
  <c r="B53" i="72" s="1"/>
  <c r="H118" i="9"/>
  <c r="H4" i="52" s="1"/>
  <c r="H101" i="9" l="1"/>
  <c r="M48" i="9" s="1"/>
  <c r="I118" i="9"/>
  <c r="I4" i="52" s="1"/>
  <c r="F4" i="52"/>
  <c r="B51" i="72" s="1"/>
  <c r="G118" i="9"/>
  <c r="G4" i="52" s="1"/>
  <c r="B52" i="72" s="1"/>
  <c r="H107" i="9"/>
  <c r="C104" i="9"/>
  <c r="D4" i="52"/>
  <c r="B47" i="72" s="1"/>
  <c r="H119" i="9"/>
  <c r="H5" i="52" s="1"/>
  <c r="H102" i="9" l="1"/>
  <c r="D7" i="53" s="1"/>
  <c r="B21" i="72" s="1"/>
  <c r="E118" i="9"/>
  <c r="E4" i="52" s="1"/>
  <c r="B48" i="72" s="1"/>
  <c r="C105" i="9"/>
  <c r="D45" i="9"/>
  <c r="C93" i="9" s="1"/>
  <c r="C86" i="9" s="1"/>
  <c r="D5" i="53"/>
  <c r="B20" i="72" s="1"/>
  <c r="D55" i="9"/>
  <c r="M53" i="9" s="1"/>
  <c r="D13" i="53"/>
  <c r="D122" i="9"/>
  <c r="H108" i="9"/>
  <c r="D15" i="53" s="1"/>
  <c r="B31" i="72" s="1"/>
  <c r="D53" i="9" l="1"/>
  <c r="C78" i="9"/>
  <c r="C73" i="9" s="1"/>
  <c r="C79" i="9" s="1"/>
  <c r="C80" i="9" s="1"/>
  <c r="E80" i="9" s="1"/>
  <c r="E81" i="9" s="1"/>
  <c r="C64" i="9"/>
  <c r="C63" i="9" s="1"/>
  <c r="C67" i="9" s="1"/>
  <c r="C85" i="9"/>
  <c r="C95" i="9" s="1"/>
  <c r="C96" i="9" s="1"/>
  <c r="E96" i="9" s="1"/>
  <c r="E97" i="9" s="1"/>
  <c r="C72" i="9"/>
  <c r="D52" i="9"/>
  <c r="D6" i="53"/>
  <c r="B22" i="72" s="1"/>
  <c r="D8" i="52"/>
  <c r="D123" i="9"/>
  <c r="D9" i="52" s="1"/>
  <c r="B30" i="72"/>
  <c r="D14" i="53"/>
  <c r="B32" i="72" s="1"/>
  <c r="C68" i="9"/>
  <c r="D54" i="9" s="1"/>
  <c r="D59" i="9"/>
  <c r="M55"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<sst xmlns="http://schemas.openxmlformats.org/spreadsheetml/2006/main" count="9362" uniqueCount="3580">
  <si>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</si>
  <si>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</si>
  <si>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</si>
  <si>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</si>
  <si>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</si>
  <si>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</si>
  <si>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</si>
  <si>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</si>
  <si>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</si>
  <si>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</si>
  <si>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</si>
  <si>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</si>
  <si>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</si>
  <si>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</si>
  <si>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</si>
  <si>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</si>
  <si>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</si>
  <si>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</si>
  <si>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</si>
  <si>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</si>
  <si>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</si>
  <si>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</si>
  <si>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</si>
  <si>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</si>
  <si>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</si>
  <si>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</si>
  <si>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</si>
  <si>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</si>
  <si>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</si>
  <si>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</si>
  <si>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</si>
  <si>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</si>
  <si>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</si>
  <si>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</si>
  <si>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</si>
  <si>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</si>
  <si>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</si>
  <si>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</si>
  <si>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</si>
  <si>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</si>
  <si>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</si>
  <si>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</si>
  <si>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</si>
  <si>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</si>
  <si>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</si>
  <si>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</si>
  <si>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</si>
  <si>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</si>
  <si>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</si>
  <si>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</si>
  <si>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</si>
  <si>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</si>
  <si>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</si>
  <si>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</si>
  <si>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</si>
  <si>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</si>
  <si>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</si>
  <si>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</si>
  <si>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</si>
  <si>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</si>
  <si>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</si>
  <si>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</si>
  <si>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</si>
  <si>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</si>
  <si>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</si>
  <si>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</si>
  <si>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</si>
  <si>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</si>
  <si>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</si>
  <si>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</si>
  <si>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</si>
  <si>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</si>
  <si>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</si>
  <si>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</si>
  <si>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</si>
  <si>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</si>
  <si>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</si>
  <si>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</si>
  <si>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</si>
  <si>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</si>
  <si>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</si>
  <si>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</si>
  <si>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</si>
  <si>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</si>
  <si>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</si>
  <si>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</si>
  <si>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</si>
  <si>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</si>
  <si>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</si>
  <si>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</si>
  <si>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</si>
  <si>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</si>
  <si>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</si>
  <si>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</si>
  <si>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</si>
  <si>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</si>
  <si>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</si>
  <si>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</si>
  <si>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</si>
  <si>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</si>
  <si>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</si>
  <si>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</si>
  <si>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</si>
  <si>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</si>
  <si>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</si>
  <si>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</si>
  <si>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</si>
  <si>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</si>
  <si>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</si>
  <si>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</si>
  <si>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</si>
  <si>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</si>
  <si>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</si>
  <si>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</si>
  <si>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</si>
  <si>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</si>
  <si>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</si>
  <si>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</si>
  <si>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</si>
  <si>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</si>
  <si>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</si>
  <si>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</si>
  <si>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</si>
  <si>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</si>
  <si>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</si>
  <si>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</si>
  <si>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</si>
  <si>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</si>
  <si>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</si>
  <si>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</si>
  <si>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</si>
  <si>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</si>
  <si>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</si>
  <si>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</si>
  <si>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</si>
  <si>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</si>
  <si>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</si>
  <si>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</si>
  <si>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</si>
  <si>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</si>
  <si>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</si>
  <si>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</si>
  <si>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</si>
  <si>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</si>
  <si>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</si>
  <si>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</si>
  <si>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</si>
  <si>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</si>
  <si>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</si>
  <si>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</si>
  <si>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</si>
  <si>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</si>
  <si>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</si>
  <si>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</si>
  <si>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</si>
  <si>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</si>
  <si>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</si>
  <si>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</si>
  <si>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</si>
  <si>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</si>
  <si>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</si>
  <si>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</si>
  <si>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</si>
  <si>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</si>
  <si>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</si>
  <si>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</si>
  <si>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</si>
  <si>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</si>
  <si>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</si>
  <si>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</si>
  <si>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</si>
  <si>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</si>
  <si>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</si>
  <si>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</si>
  <si>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</si>
  <si>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</si>
  <si>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</si>
  <si>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</si>
  <si>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</si>
  <si>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</si>
  <si>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</si>
  <si>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</si>
  <si>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</si>
  <si>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</si>
  <si>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</si>
  <si>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</si>
  <si>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</si>
  <si>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</si>
  <si>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</si>
  <si>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</si>
  <si>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</si>
  <si>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</si>
  <si>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</si>
  <si>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</si>
  <si>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</si>
  <si>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</si>
  <si>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</si>
  <si>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</si>
  <si>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</si>
  <si>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</si>
  <si>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</si>
  <si>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</si>
  <si>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</si>
  <si>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</si>
  <si>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</si>
  <si>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</si>
  <si>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</si>
  <si>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</si>
  <si>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</si>
  <si>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</si>
  <si>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</si>
  <si>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</si>
  <si>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</si>
  <si>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</si>
  <si>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</si>
  <si>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</si>
  <si>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</si>
  <si>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</si>
  <si>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</si>
  <si>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</si>
  <si>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</si>
  <si>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</si>
  <si>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</si>
  <si>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</si>
  <si>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</si>
  <si>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</si>
  <si>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</si>
  <si>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</si>
  <si>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</si>
  <si>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</si>
  <si>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</si>
  <si>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</si>
  <si>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</si>
  <si>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</si>
  <si>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</si>
  <si>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</si>
  <si>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</si>
  <si>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</si>
  <si>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</si>
  <si>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</si>
  <si>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</si>
  <si>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</si>
  <si>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</si>
  <si>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</si>
  <si>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</si>
  <si>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</si>
  <si>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</si>
  <si>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</si>
  <si>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</si>
  <si>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</si>
  <si>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</si>
  <si>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</si>
  <si>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</si>
  <si>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</si>
  <si>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</si>
  <si>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</si>
  <si>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</si>
  <si>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</si>
  <si>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</si>
  <si>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</si>
  <si>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</si>
  <si>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</si>
  <si>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</si>
  <si>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</si>
  <si>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</si>
  <si>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</si>
  <si>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</si>
  <si>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</si>
  <si>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</si>
  <si>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</si>
  <si>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</si>
  <si>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</si>
  <si>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</si>
  <si>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</si>
  <si>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</si>
  <si>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</si>
  <si>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</si>
  <si>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</si>
  <si>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</si>
  <si>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</si>
  <si>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</si>
  <si>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</si>
  <si>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</si>
  <si>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</si>
  <si>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</si>
  <si>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</si>
  <si>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</si>
  <si>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</si>
  <si>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</si>
  <si>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</si>
  <si>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</si>
  <si>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</si>
  <si>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</si>
  <si>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</si>
  <si>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</si>
  <si>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</si>
  <si>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</si>
  <si>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</si>
  <si>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</si>
  <si>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</si>
  <si>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</si>
  <si>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</si>
  <si>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</si>
  <si>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</si>
  <si>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</si>
  <si>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</si>
  <si>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</si>
  <si>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</si>
  <si>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</si>
  <si>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</si>
  <si>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</si>
  <si>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</si>
  <si>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</si>
  <si>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</si>
  <si>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</si>
  <si>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</si>
  <si>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</si>
  <si>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</si>
  <si>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</si>
  <si>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</si>
  <si>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</si>
  <si>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</si>
  <si>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</si>
  <si>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</si>
  <si>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</si>
  <si>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</si>
  <si>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</si>
  <si>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</si>
  <si>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</si>
  <si>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</si>
  <si>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</si>
  <si>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</si>
  <si>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</si>
  <si>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</si>
  <si>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</si>
  <si>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</si>
  <si>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</si>
  <si>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</si>
  <si>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</si>
  <si>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</si>
  <si>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</si>
  <si>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</si>
  <si>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</si>
  <si>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</si>
  <si>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</si>
  <si>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</si>
  <si>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</si>
  <si>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</si>
  <si>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</si>
  <si>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</si>
  <si>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</si>
  <si>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</si>
  <si>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</si>
  <si>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</si>
  <si>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</si>
  <si>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</si>
  <si>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</si>
  <si>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</si>
  <si>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</si>
  <si>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</si>
  <si>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</si>
  <si>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</si>
  <si>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</si>
  <si>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</si>
  <si>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</si>
  <si>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</si>
  <si>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</si>
  <si>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</si>
  <si>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</si>
  <si>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</si>
  <si>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</si>
  <si>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</si>
  <si>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</si>
  <si>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</si>
  <si>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</si>
  <si>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</si>
  <si>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</si>
  <si>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</si>
  <si>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</si>
  <si>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</si>
  <si>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</si>
  <si>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</si>
  <si>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</si>
  <si>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</si>
  <si>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</si>
  <si>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</si>
  <si>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</si>
  <si>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</si>
  <si>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</si>
  <si>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</si>
  <si>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</si>
  <si>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</si>
  <si>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</si>
  <si>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</si>
  <si>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</si>
  <si>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</si>
  <si>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</si>
  <si>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</si>
  <si>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</si>
  <si>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</si>
  <si>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</si>
  <si>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</si>
  <si>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</si>
  <si>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</si>
  <si>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</si>
  <si>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</si>
  <si>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</si>
  <si>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</si>
  <si>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</si>
  <si>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</si>
  <si>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</si>
  <si>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</si>
  <si>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</si>
  <si>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</si>
  <si>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</si>
  <si>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</si>
  <si>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</si>
  <si>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</si>
  <si>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</si>
  <si>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</si>
  <si>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</si>
  <si>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</si>
  <si>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</si>
  <si>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</si>
  <si>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</si>
  <si>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</si>
  <si>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</si>
  <si>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</si>
  <si>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</si>
  <si>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</si>
  <si>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</si>
  <si>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</si>
  <si>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</si>
  <si>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</si>
  <si>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</si>
  <si>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</si>
  <si>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</si>
  <si>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</si>
  <si>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</si>
  <si>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</si>
  <si>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</si>
  <si>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</si>
  <si>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</si>
  <si>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</si>
  <si>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</si>
  <si>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</si>
  <si>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</si>
  <si>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</si>
  <si>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</si>
  <si>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</si>
  <si>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</si>
  <si>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</si>
  <si>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</si>
  <si>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</si>
  <si>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</si>
  <si>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</si>
  <si>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</si>
  <si>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</si>
  <si>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</si>
  <si>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</si>
  <si>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</si>
  <si>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</si>
  <si>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</si>
  <si>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</si>
  <si>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</si>
  <si>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</si>
  <si>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</si>
  <si>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</si>
  <si>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</si>
  <si>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</si>
  <si>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</si>
  <si>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</si>
  <si>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</si>
  <si>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</si>
  <si>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</si>
  <si>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</si>
  <si>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</si>
  <si>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</si>
  <si>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</si>
  <si>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</si>
  <si>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</si>
  <si>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</si>
  <si>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</si>
  <si>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</si>
  <si>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</si>
  <si>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</si>
  <si>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</si>
  <si>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</si>
  <si>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</si>
  <si>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</si>
  <si>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</si>
  <si>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</si>
  <si>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</si>
  <si>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</si>
  <si>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</si>
  <si>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</si>
  <si>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</si>
  <si>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</si>
  <si>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</si>
  <si>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</si>
  <si>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</si>
  <si>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</si>
  <si>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</si>
  <si>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</si>
  <si>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</si>
  <si>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</si>
  <si>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</si>
  <si>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</si>
  <si>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</si>
  <si>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</si>
  <si>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</si>
  <si>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</si>
  <si>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</si>
  <si>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</si>
  <si>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</si>
  <si>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</si>
  <si>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</si>
  <si>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</si>
  <si>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</si>
  <si>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</si>
  <si>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</si>
  <si>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</si>
  <si>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</si>
  <si>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</si>
  <si>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</si>
  <si>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</si>
  <si>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</si>
  <si>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</si>
  <si>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</si>
  <si>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</si>
  <si>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</si>
  <si>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</si>
  <si>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</si>
  <si>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</si>
  <si>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</si>
  <si>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</si>
  <si>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</si>
  <si>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</si>
  <si>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</si>
  <si>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</si>
  <si>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</si>
  <si>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</si>
  <si>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</si>
  <si>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</si>
  <si>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</si>
  <si>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</si>
  <si>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</si>
  <si>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</si>
  <si>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</si>
  <si>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</si>
  <si>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</si>
  <si>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</si>
  <si>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</si>
  <si>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</si>
  <si>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</si>
  <si>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</si>
  <si>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</si>
  <si>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</si>
  <si>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</si>
  <si>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</si>
  <si>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</si>
  <si>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</si>
  <si>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</si>
  <si>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</si>
  <si>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</si>
  <si>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</si>
  <si>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</si>
  <si>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</si>
  <si>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</si>
  <si>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</si>
  <si>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</si>
  <si>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</si>
  <si>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</si>
  <si>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</si>
  <si>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</si>
  <si>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</si>
  <si>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</si>
  <si>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</si>
  <si>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</si>
  <si>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</si>
  <si>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</si>
  <si>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</si>
  <si>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</si>
  <si>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</si>
  <si>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</si>
  <si>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</si>
  <si>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</si>
  <si>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</si>
  <si>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</si>
  <si>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</si>
  <si>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</si>
  <si>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</si>
  <si>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</si>
  <si>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</si>
  <si>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</si>
  <si>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</si>
  <si>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</si>
  <si>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</si>
  <si>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</si>
  <si>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</si>
  <si>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</si>
  <si>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</si>
  <si>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</si>
  <si>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</si>
  <si>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</si>
  <si>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</si>
  <si>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</si>
  <si>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</si>
  <si>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</si>
  <si>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</si>
  <si>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</si>
  <si>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</si>
  <si>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</si>
  <si>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</si>
  <si>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</si>
  <si>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</si>
  <si>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</si>
  <si>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</si>
  <si>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</si>
  <si>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</si>
  <si>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</si>
  <si>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</si>
  <si>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</si>
  <si>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</si>
  <si>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</si>
  <si>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</si>
  <si>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</si>
  <si>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</si>
  <si>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</si>
  <si>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</si>
  <si>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</si>
  <si>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</si>
  <si>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</si>
  <si>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</si>
  <si>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</si>
  <si>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</si>
  <si>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</si>
  <si>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</si>
  <si>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</si>
  <si>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</si>
  <si>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</si>
  <si>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</si>
  <si>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</si>
  <si>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</si>
  <si>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</si>
  <si>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</si>
  <si>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</si>
  <si>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</si>
  <si>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</si>
  <si>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</si>
  <si>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</si>
  <si>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</si>
  <si>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</si>
  <si>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</si>
  <si>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</si>
  <si>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</si>
  <si>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</si>
  <si>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</si>
  <si>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</si>
  <si>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</si>
  <si>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</si>
  <si>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</si>
  <si>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</si>
  <si>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</si>
  <si>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</si>
  <si>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</si>
  <si>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</si>
  <si>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</si>
  <si>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</si>
  <si>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</si>
  <si>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</si>
  <si>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</si>
  <si>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</si>
  <si>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</si>
  <si>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</si>
  <si>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</si>
  <si>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</si>
  <si>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</si>
  <si>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</si>
  <si>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</si>
  <si>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</si>
  <si>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</si>
  <si>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</si>
  <si>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</si>
  <si>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</si>
  <si>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</si>
  <si>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</si>
  <si>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</si>
  <si>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</si>
  <si>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</si>
  <si>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</si>
  <si>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</si>
  <si>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</si>
  <si>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</si>
  <si>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</si>
  <si>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</si>
  <si>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</si>
  <si>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</si>
  <si>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</si>
  <si>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</si>
  <si>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</si>
  <si>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</si>
  <si>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</si>
  <si>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</si>
  <si>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</si>
  <si>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</si>
  <si>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</si>
  <si>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</si>
  <si>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</si>
  <si>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</si>
  <si>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</si>
  <si>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</si>
  <si>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</si>
  <si>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</si>
  <si>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</si>
  <si>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</si>
  <si>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</si>
  <si>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</si>
  <si>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</si>
  <si>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</si>
  <si>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</si>
  <si>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</si>
  <si>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</si>
  <si>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</si>
  <si>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</si>
  <si>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</si>
  <si>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</si>
  <si>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</si>
  <si>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</si>
  <si>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</si>
  <si>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</si>
  <si>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</si>
  <si>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</si>
  <si>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</si>
  <si>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</si>
  <si>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</si>
  <si>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</si>
  <si>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</si>
  <si>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</si>
  <si>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</si>
  <si>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</si>
  <si>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</si>
  <si>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</si>
  <si>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</si>
  <si>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</si>
  <si>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</si>
  <si>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</si>
  <si>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</si>
  <si>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</si>
  <si>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</si>
  <si>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</si>
  <si>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</si>
  <si>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</si>
  <si>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</si>
  <si>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</si>
  <si>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</si>
  <si>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</si>
  <si>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</si>
  <si>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</si>
  <si>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</si>
  <si>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</si>
  <si>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</si>
  <si>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</si>
  <si>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</si>
  <si>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</si>
  <si>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</si>
  <si>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</si>
  <si>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</si>
  <si>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</si>
  <si>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</si>
  <si>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</si>
  <si>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</si>
  <si>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</si>
  <si>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</si>
  <si>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</si>
  <si>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</si>
  <si>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</si>
  <si>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</si>
  <si>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</si>
  <si>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</si>
  <si>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</si>
  <si>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</si>
  <si>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</si>
  <si>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</si>
  <si>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</si>
  <si>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</si>
  <si>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</si>
  <si>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</si>
  <si>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</si>
  <si>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</si>
  <si>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</si>
  <si>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</si>
  <si>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</si>
  <si>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</si>
  <si>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</si>
  <si>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</si>
  <si>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</si>
  <si>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</si>
  <si>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</si>
  <si>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</si>
  <si>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</si>
  <si>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</si>
  <si>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</si>
  <si>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</si>
  <si>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</si>
  <si>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</si>
  <si>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</si>
  <si>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</si>
  <si>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</si>
  <si>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</si>
  <si>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</si>
  <si>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</si>
  <si>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</si>
  <si>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</si>
  <si>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</si>
  <si>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</si>
  <si>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</si>
  <si>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</si>
  <si>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</si>
  <si>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</si>
  <si>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</si>
  <si>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</si>
  <si>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</si>
  <si>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</si>
  <si>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</si>
  <si>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</si>
  <si>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</si>
  <si>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</si>
  <si>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</si>
  <si>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</si>
  <si>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</si>
  <si>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</si>
  <si>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</si>
  <si>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</si>
  <si>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</si>
  <si>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</si>
  <si>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</si>
  <si>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</si>
  <si>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</si>
  <si>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</si>
  <si>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</si>
  <si>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</si>
  <si>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</si>
  <si>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</si>
  <si>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</si>
  <si>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</si>
  <si>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</si>
  <si>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</si>
  <si>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</si>
  <si>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</si>
  <si>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</si>
  <si>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</si>
  <si>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</si>
  <si>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</si>
  <si>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</si>
  <si>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</si>
  <si>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</si>
  <si>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</si>
  <si>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</si>
  <si>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</si>
  <si>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</si>
  <si>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</si>
  <si>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</si>
  <si>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</si>
  <si>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</si>
  <si>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</si>
  <si>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</si>
  <si>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</si>
  <si>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</si>
  <si>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</si>
  <si>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</si>
  <si>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</si>
  <si>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</si>
  <si>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</si>
  <si>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</si>
  <si>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</si>
  <si>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</si>
  <si>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</si>
  <si>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</si>
  <si>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</si>
  <si>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</si>
  <si>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</si>
  <si>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</si>
  <si>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</si>
  <si>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</si>
  <si>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</si>
  <si>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</si>
  <si>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</si>
  <si>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</si>
  <si>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</si>
  <si>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</si>
  <si>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</si>
  <si>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</si>
  <si>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</si>
  <si>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</si>
  <si>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</si>
  <si>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</si>
  <si>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</si>
  <si>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</si>
  <si>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</si>
  <si>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</si>
  <si>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</si>
  <si>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</si>
  <si>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</si>
  <si>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</si>
  <si>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</si>
  <si>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</si>
  <si>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</si>
  <si>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</si>
  <si>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</si>
  <si>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</si>
  <si>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</si>
  <si>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</si>
  <si>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</si>
  <si>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</si>
  <si>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</si>
  <si>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</si>
  <si>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</si>
  <si>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</si>
  <si>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</si>
  <si>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</si>
  <si>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</si>
  <si>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</si>
  <si>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</si>
  <si>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</si>
  <si>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</si>
  <si>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</si>
  <si>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</si>
  <si>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</si>
  <si>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</si>
  <si>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</si>
  <si>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</si>
  <si>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</si>
  <si>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</si>
  <si>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</si>
  <si>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</si>
  <si>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</si>
  <si>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</si>
  <si>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</si>
  <si>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</si>
  <si>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</si>
  <si>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</si>
  <si>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</si>
  <si>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</si>
  <si>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</si>
  <si>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</si>
  <si>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</si>
  <si>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</si>
  <si>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</si>
  <si>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</si>
  <si>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</si>
  <si>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</si>
  <si>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</si>
  <si>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</si>
  <si>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</si>
  <si>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</si>
  <si>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</si>
  <si>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</si>
  <si>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</si>
  <si>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</si>
  <si>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</si>
  <si>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</si>
  <si>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</si>
  <si>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</si>
  <si>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</si>
  <si>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</si>
  <si>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</si>
  <si>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</si>
  <si>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</si>
  <si>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</si>
  <si>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</si>
  <si>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</si>
  <si>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</si>
  <si>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</si>
  <si>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</si>
  <si>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</si>
  <si>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</si>
  <si>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</si>
  <si>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</si>
  <si>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</si>
  <si>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</si>
  <si>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</si>
  <si>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</si>
  <si>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</si>
  <si>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</si>
  <si>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</si>
  <si>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</si>
  <si>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</si>
  <si>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</si>
  <si>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</si>
  <si>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</si>
  <si>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</si>
  <si>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</si>
  <si>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</si>
  <si>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</si>
  <si>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</si>
  <si>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</si>
  <si>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</si>
  <si>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</si>
  <si>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</si>
  <si>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</si>
  <si>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</si>
  <si>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</si>
  <si>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</si>
  <si>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</si>
  <si>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</si>
  <si>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</si>
  <si>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</si>
  <si>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</si>
  <si>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</si>
  <si>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</si>
  <si>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</si>
  <si>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</si>
  <si>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</si>
  <si>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</si>
  <si>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</si>
  <si>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</si>
  <si>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</si>
  <si>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</si>
  <si>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</si>
  <si>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</si>
  <si>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</si>
  <si>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</si>
  <si>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</si>
  <si>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</si>
  <si>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</si>
  <si>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</si>
  <si>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</si>
  <si>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</si>
  <si>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</si>
  <si>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</si>
  <si>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</si>
  <si>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</si>
  <si>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</si>
  <si>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</si>
  <si>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</si>
  <si>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</si>
  <si>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</si>
  <si>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</si>
  <si>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</si>
  <si>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</si>
  <si>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</si>
  <si>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</si>
  <si>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</si>
  <si>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</si>
  <si>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</si>
  <si>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</si>
  <si>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</si>
  <si>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</si>
  <si>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</si>
  <si>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</si>
  <si>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</si>
  <si>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</si>
  <si>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</si>
  <si>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</si>
  <si>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</si>
  <si>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</si>
  <si>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</si>
  <si>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</si>
  <si>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</si>
  <si>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</si>
  <si>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</si>
  <si>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</si>
  <si>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</si>
  <si>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</si>
  <si>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</si>
  <si>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</si>
  <si>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</si>
  <si>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</si>
  <si>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</si>
  <si>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</si>
  <si>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</si>
  <si>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</si>
  <si>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</si>
  <si>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</si>
  <si>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</si>
  <si>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</si>
  <si>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</si>
  <si>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</si>
  <si>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</si>
  <si>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</si>
  <si>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</si>
  <si>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</si>
  <si>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</si>
  <si>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</si>
  <si>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</si>
  <si>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</si>
  <si>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</si>
  <si>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</si>
  <si>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</si>
  <si>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</si>
  <si>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</si>
  <si>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</si>
  <si>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</si>
  <si>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</si>
  <si>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</si>
  <si>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</si>
  <si>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</si>
  <si>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</si>
  <si>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</si>
  <si>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</si>
  <si>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</si>
  <si>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</si>
  <si>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</si>
  <si>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</si>
  <si>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</si>
  <si>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</si>
  <si>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</si>
  <si>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</si>
  <si>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</si>
  <si>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</si>
  <si>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</si>
  <si>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</si>
  <si>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</si>
  <si>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</si>
  <si>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</si>
  <si>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</si>
  <si>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</si>
  <si>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</si>
  <si>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</si>
  <si>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</si>
  <si>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</si>
  <si>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</si>
  <si>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</si>
  <si>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</si>
  <si>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</si>
  <si>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</si>
  <si>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</si>
  <si>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</si>
  <si>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</si>
  <si>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</si>
  <si>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</si>
  <si>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</si>
  <si>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</si>
  <si>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</si>
  <si>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</si>
  <si>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</si>
  <si>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</si>
  <si>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</si>
  <si>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</si>
  <si>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</si>
  <si>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</si>
  <si>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</si>
  <si>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</si>
  <si>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</si>
  <si>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</si>
  <si>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</si>
  <si>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</si>
  <si>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</si>
  <si>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</si>
  <si>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</si>
  <si>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</si>
  <si>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</si>
  <si>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</si>
  <si>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</si>
  <si>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</si>
  <si>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</si>
  <si>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</si>
  <si>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</si>
  <si>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</si>
  <si>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</si>
  <si>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</si>
  <si>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</si>
  <si>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</si>
  <si>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</si>
  <si>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</si>
  <si>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</si>
  <si>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</si>
  <si>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</si>
  <si>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</si>
  <si>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</si>
  <si>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</si>
  <si>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</si>
  <si>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</si>
  <si>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</si>
  <si>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</si>
  <si>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</si>
  <si>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</si>
  <si>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</si>
  <si>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</si>
  <si>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</si>
  <si>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</si>
  <si>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</si>
  <si>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</si>
  <si>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</si>
  <si>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</si>
  <si>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</si>
  <si>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</si>
  <si>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</si>
  <si>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</si>
  <si>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</si>
  <si>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</si>
  <si>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</si>
  <si>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</si>
  <si>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</si>
  <si>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</si>
  <si>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</si>
  <si>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</si>
  <si>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</si>
  <si>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</si>
  <si>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</si>
  <si>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</si>
  <si>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</si>
  <si>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</si>
  <si>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</si>
  <si>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</si>
  <si>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</si>
  <si>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</si>
  <si>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</si>
  <si>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</si>
  <si>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</si>
  <si>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</si>
  <si>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</si>
  <si>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</si>
  <si>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</si>
  <si>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</si>
  <si>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</si>
  <si>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</si>
  <si>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</si>
  <si>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</si>
  <si>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</si>
  <si>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</si>
  <si>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</si>
  <si>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</si>
  <si>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</si>
  <si>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</si>
  <si>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</si>
  <si>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</si>
  <si>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</si>
  <si>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</si>
  <si>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</si>
  <si>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</si>
  <si>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</si>
  <si>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</si>
  <si>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</si>
  <si>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</si>
  <si>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</si>
  <si>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</si>
  <si>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</si>
  <si>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</si>
  <si>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</si>
  <si>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</si>
  <si>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</si>
  <si>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</si>
  <si>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</si>
  <si>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</si>
  <si>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</si>
  <si>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</si>
  <si>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</si>
  <si>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</si>
  <si>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</si>
  <si>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</si>
  <si>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</si>
  <si>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</si>
  <si>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</si>
  <si>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</si>
  <si>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</si>
  <si>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</si>
  <si>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</si>
  <si>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</si>
  <si>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</si>
  <si>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</si>
  <si>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</si>
  <si>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</si>
  <si>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</si>
  <si>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</si>
  <si>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</si>
  <si>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</si>
  <si>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</si>
  <si>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</si>
  <si>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</si>
  <si>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</si>
  <si>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</si>
  <si>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</si>
  <si>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</si>
  <si>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</si>
  <si>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</si>
  <si>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</si>
  <si>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</si>
  <si>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</si>
  <si>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</si>
  <si>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</si>
  <si>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</si>
  <si>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</si>
  <si>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</si>
  <si>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</si>
  <si>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</si>
  <si>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</si>
  <si>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</si>
  <si>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</si>
  <si>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</si>
  <si>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</si>
  <si>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</si>
  <si>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</si>
  <si>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</si>
  <si>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</si>
  <si>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</si>
  <si>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</si>
  <si>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</si>
  <si>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</si>
  <si>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</si>
  <si>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</si>
  <si>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</si>
  <si>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</si>
  <si>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</si>
  <si>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</si>
  <si>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</si>
  <si>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</si>
  <si>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</si>
  <si>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</si>
  <si>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</si>
  <si>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</si>
  <si>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</si>
  <si>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</si>
  <si>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</si>
  <si>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</si>
  <si>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</si>
  <si>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</si>
  <si>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</si>
  <si>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</si>
  <si>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</si>
  <si>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</si>
  <si>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</si>
  <si>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</si>
  <si>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</si>
  <si>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</si>
  <si>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</si>
  <si>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</si>
  <si>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</si>
  <si>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</si>
  <si>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</si>
  <si>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</si>
  <si>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</si>
  <si>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</si>
  <si>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</si>
  <si>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</si>
  <si>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</si>
  <si>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</si>
  <si>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</si>
  <si>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</si>
  <si>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</si>
  <si>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</si>
  <si>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</si>
  <si>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</si>
  <si>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</si>
  <si>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</si>
  <si>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</si>
  <si>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</si>
  <si>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</si>
  <si>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</si>
  <si>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</si>
  <si>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</si>
  <si>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</si>
  <si>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</si>
  <si>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</si>
  <si>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</si>
  <si>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</si>
  <si>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</si>
  <si>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</si>
  <si>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</si>
  <si>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</si>
  <si>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</si>
  <si>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</si>
  <si>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</si>
  <si>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</si>
  <si>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</si>
  <si>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</si>
  <si>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</si>
  <si>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</si>
  <si>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</si>
  <si>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</si>
  <si>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</si>
  <si>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</si>
  <si>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</si>
  <si>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</si>
  <si>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</si>
  <si>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</si>
  <si>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</si>
  <si>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</si>
  <si>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</si>
  <si>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</si>
  <si>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</si>
  <si>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</si>
  <si>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</si>
  <si>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</si>
  <si>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</si>
  <si>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</si>
  <si>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</si>
  <si>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</si>
  <si>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</si>
  <si>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</si>
  <si>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</si>
  <si>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</si>
  <si>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</si>
  <si>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</si>
  <si>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</si>
  <si>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</si>
  <si>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</si>
  <si>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</si>
  <si>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</si>
  <si>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</si>
  <si>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</si>
  <si>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</si>
  <si>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</si>
  <si>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</si>
  <si>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</si>
  <si>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</si>
  <si>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</si>
  <si>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</si>
  <si>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</si>
  <si>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</si>
  <si>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</si>
  <si>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</si>
  <si>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</si>
  <si>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</si>
  <si>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</si>
  <si>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</si>
  <si>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</si>
  <si>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</si>
  <si>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</si>
  <si>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</si>
  <si>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</si>
  <si>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</si>
  <si>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</si>
  <si>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</si>
  <si>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</si>
  <si>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</si>
  <si>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</si>
  <si>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</si>
  <si>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</si>
  <si>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</si>
  <si>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</si>
  <si>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</si>
  <si>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</si>
  <si>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</si>
  <si>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</si>
  <si>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</si>
  <si>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</si>
  <si>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</si>
  <si>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</si>
  <si>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</si>
  <si>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</si>
  <si>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</si>
  <si>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</si>
  <si>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</si>
  <si>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</si>
  <si>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</si>
  <si>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</si>
  <si>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</si>
  <si>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</si>
  <si>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</si>
  <si>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</si>
  <si>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</si>
  <si>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</si>
  <si>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</si>
  <si>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</si>
  <si>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</si>
  <si>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</si>
  <si>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</si>
  <si>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</si>
  <si>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</si>
  <si>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</si>
  <si>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</si>
  <si>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</si>
  <si>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</si>
  <si>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</si>
  <si>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</si>
  <si>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</si>
  <si>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</si>
  <si>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</si>
  <si>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</si>
  <si>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</si>
  <si>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</si>
  <si>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</si>
  <si>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</si>
  <si>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</si>
  <si>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</si>
  <si>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</si>
  <si>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</si>
  <si>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</si>
  <si>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</si>
  <si>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</si>
  <si>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</si>
  <si>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</si>
  <si>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</si>
  <si>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</si>
  <si>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</si>
  <si>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</si>
  <si>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</si>
  <si>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</si>
  <si>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</si>
  <si>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</si>
  <si>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</si>
  <si>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</si>
  <si>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</si>
  <si>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</si>
  <si>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</si>
  <si>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</si>
  <si>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</si>
  <si>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</si>
  <si>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</si>
  <si>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</si>
  <si>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</si>
  <si>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</si>
  <si>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</si>
  <si>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</si>
  <si>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</si>
  <si>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</si>
  <si>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</si>
  <si>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</si>
  <si>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</si>
  <si>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</si>
  <si>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</si>
  <si>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</si>
  <si>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</si>
  <si>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</si>
  <si>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</si>
  <si>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</si>
  <si>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</si>
  <si>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</si>
  <si>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</si>
  <si>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</si>
  <si>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</si>
  <si>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</si>
  <si>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</si>
  <si>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</si>
  <si>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</si>
  <si>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</si>
  <si>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</si>
  <si>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</si>
  <si>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</si>
  <si>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</si>
  <si>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</si>
  <si>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</si>
  <si>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</si>
  <si>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</si>
  <si>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</si>
  <si>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</si>
  <si>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</si>
  <si>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</si>
  <si>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</si>
  <si>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</si>
  <si>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</si>
  <si>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</si>
  <si>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</si>
  <si>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</si>
  <si>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</si>
  <si>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</si>
  <si>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</si>
  <si>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</si>
  <si>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</si>
  <si>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</si>
  <si>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</si>
  <si>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</si>
  <si>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</si>
  <si>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</si>
  <si>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</si>
  <si>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</si>
  <si>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</si>
  <si>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</si>
  <si>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</si>
  <si>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</si>
  <si>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</si>
  <si>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</si>
  <si>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</si>
  <si>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</si>
  <si>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</si>
  <si>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</si>
  <si>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</si>
  <si>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</si>
  <si>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</si>
  <si>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</si>
  <si>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</si>
  <si>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</si>
  <si>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</si>
  <si>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</si>
  <si>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</si>
  <si>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</si>
  <si>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</si>
  <si>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</si>
  <si>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</si>
  <si>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</si>
  <si>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</si>
  <si>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</si>
  <si>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</si>
  <si>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</si>
  <si>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</si>
  <si>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</si>
  <si>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</si>
  <si>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</si>
  <si>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</si>
  <si>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</si>
  <si>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</si>
  <si>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</si>
  <si>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</si>
  <si>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</si>
  <si>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</si>
  <si>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</si>
  <si>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</si>
  <si>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</si>
  <si>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</si>
  <si>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</si>
  <si>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</si>
  <si>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</si>
  <si>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</si>
  <si>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</si>
  <si>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</si>
  <si>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</si>
  <si>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</si>
  <si>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</si>
  <si>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</si>
  <si>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</si>
  <si>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</si>
  <si>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</si>
  <si>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</si>
  <si>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</si>
  <si>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</si>
  <si>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</si>
  <si>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</si>
  <si>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</si>
  <si>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</si>
  <si>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</si>
  <si>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</si>
  <si>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</si>
  <si>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</si>
  <si>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</si>
  <si>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</si>
  <si>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</si>
  <si>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</si>
  <si>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</si>
  <si>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</si>
  <si>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</si>
  <si>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</si>
  <si>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</si>
  <si>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</si>
  <si>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</si>
  <si>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</si>
  <si>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</si>
  <si>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</si>
  <si>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</si>
  <si>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</si>
  <si>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</si>
  <si>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</si>
  <si>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</si>
  <si>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</si>
  <si>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</si>
  <si>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</si>
  <si>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</si>
  <si>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</si>
  <si>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</si>
  <si>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</si>
  <si>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</si>
  <si>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</si>
  <si>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</si>
  <si>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</si>
  <si>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</si>
  <si>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</si>
  <si>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</si>
  <si>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</si>
  <si>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</si>
  <si>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</si>
  <si>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</si>
  <si>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</si>
  <si>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</si>
  <si>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</si>
  <si>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</si>
  <si>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</si>
  <si>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</si>
  <si>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</si>
  <si>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</si>
  <si>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</si>
  <si>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</si>
  <si>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</si>
  <si>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</si>
  <si>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</si>
  <si>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</si>
  <si>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</si>
  <si>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</si>
  <si>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</si>
  <si>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</si>
  <si>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</si>
  <si>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</si>
  <si>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</si>
  <si>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</si>
  <si>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</si>
  <si>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</si>
  <si>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</si>
  <si>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</si>
  <si>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</si>
  <si>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</si>
  <si>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</si>
  <si>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</si>
  <si>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</si>
  <si>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</si>
  <si>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</si>
  <si>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</si>
  <si>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</si>
  <si>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</si>
  <si>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</si>
  <si>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</si>
  <si>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</si>
  <si>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</si>
  <si>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</si>
  <si>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</si>
  <si>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</si>
  <si>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</si>
  <si>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</si>
  <si>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</si>
  <si>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</si>
  <si>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</si>
  <si>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</si>
  <si>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</si>
  <si>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</si>
  <si>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</si>
  <si>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</si>
  <si>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</si>
  <si>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</si>
  <si>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</si>
  <si>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</si>
  <si>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</si>
  <si>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</si>
  <si>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</si>
  <si>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</si>
  <si>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</si>
  <si>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</si>
  <si>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</si>
  <si>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</si>
  <si>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</si>
  <si>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</si>
  <si>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</si>
  <si>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</si>
  <si>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</si>
  <si>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</si>
  <si>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</si>
  <si>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</si>
  <si>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</si>
  <si>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</si>
  <si>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</si>
  <si>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</si>
  <si>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</si>
  <si>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</si>
  <si>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</si>
  <si>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</si>
  <si>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</si>
  <si>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</si>
  <si>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</si>
  <si>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</si>
  <si>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</si>
  <si>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</si>
  <si>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</si>
  <si>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</si>
  <si>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</si>
  <si>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</si>
  <si>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</si>
  <si>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</si>
  <si>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</si>
  <si>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</si>
  <si>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</si>
  <si>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</si>
  <si>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</si>
  <si>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</si>
  <si>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</si>
  <si>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</si>
  <si>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</si>
  <si>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</si>
  <si>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</si>
  <si>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</si>
  <si>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</si>
  <si>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</si>
  <si>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</si>
  <si>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</si>
  <si>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</si>
  <si>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</si>
  <si>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</si>
  <si>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</si>
  <si>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</si>
  <si>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</si>
  <si>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</si>
  <si>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</si>
  <si>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</si>
  <si>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</si>
  <si>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</si>
  <si>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</si>
  <si>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</si>
  <si>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</si>
  <si>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</si>
  <si>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</si>
  <si>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</si>
  <si>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</si>
  <si>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</si>
  <si>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</si>
  <si>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</si>
  <si>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</si>
  <si>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</si>
  <si>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</si>
  <si>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</si>
  <si>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</si>
  <si>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</si>
  <si>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</si>
  <si>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</si>
  <si>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</si>
  <si>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</si>
  <si>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</si>
  <si>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</si>
  <si>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</si>
  <si>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</si>
  <si>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</si>
  <si>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</si>
  <si>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</si>
  <si>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</si>
  <si>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</si>
  <si>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</si>
  <si>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</si>
  <si>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</si>
  <si>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</si>
  <si>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</si>
  <si>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</si>
  <si>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</si>
  <si>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</si>
  <si>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</si>
  <si>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</si>
  <si>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</si>
  <si>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</si>
  <si>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</si>
  <si>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</si>
  <si>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</si>
  <si>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</si>
  <si>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</si>
  <si>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</si>
  <si>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</si>
  <si>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</si>
  <si>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</si>
  <si>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</si>
  <si>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</si>
  <si>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</si>
  <si>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</si>
  <si>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</si>
  <si>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</si>
  <si>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</si>
  <si>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</si>
  <si>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</si>
  <si>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</si>
  <si>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</si>
  <si>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</si>
  <si>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</si>
  <si>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</si>
  <si>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</si>
  <si>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</si>
  <si>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</si>
  <si>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</si>
  <si>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</si>
  <si>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</si>
  <si>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</si>
  <si>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</si>
  <si>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</si>
  <si>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</si>
  <si>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</si>
  <si>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</si>
  <si>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</si>
  <si>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</si>
  <si>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</si>
  <si>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</si>
  <si>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</si>
  <si>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</si>
  <si>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</si>
  <si>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</si>
  <si>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</si>
  <si>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</si>
  <si>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</si>
  <si>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</si>
  <si>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</si>
  <si>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</si>
  <si>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</si>
  <si>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</si>
  <si>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</si>
  <si>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</si>
  <si>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</si>
  <si>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</si>
  <si>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</si>
  <si>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</si>
  <si>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</si>
  <si>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</si>
  <si>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</si>
  <si>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</si>
  <si>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</si>
  <si>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</si>
  <si>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</si>
  <si>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</si>
  <si>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</si>
  <si>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</si>
  <si>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</si>
  <si>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</si>
  <si>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</si>
  <si>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</si>
  <si>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</si>
  <si>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</si>
  <si>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</si>
  <si>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</si>
  <si>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</si>
  <si>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</si>
  <si>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</si>
  <si>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</si>
  <si>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</si>
  <si>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</si>
  <si>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</si>
  <si>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</si>
  <si>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</si>
  <si>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</si>
  <si>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</si>
  <si>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</si>
  <si>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</si>
  <si>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</si>
  <si>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</si>
  <si>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</si>
  <si>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</si>
  <si>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</si>
  <si>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</si>
  <si>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</si>
  <si>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</si>
  <si>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</si>
  <si>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</si>
  <si>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</si>
  <si>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</si>
  <si>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</si>
  <si>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</si>
  <si>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</si>
  <si>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</si>
  <si>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</si>
  <si>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</si>
  <si>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</si>
  <si>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</si>
  <si>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</si>
  <si>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</si>
  <si>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</si>
  <si>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</si>
  <si>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</si>
  <si>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</si>
  <si>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</si>
  <si>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</si>
  <si>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</si>
  <si>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</si>
  <si>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</si>
  <si>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</si>
  <si>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</si>
  <si>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</si>
  <si>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</si>
  <si>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</si>
  <si>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</si>
  <si>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</si>
  <si>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</si>
  <si>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</si>
  <si>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</si>
  <si>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</si>
  <si>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</si>
  <si>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</si>
  <si>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</si>
  <si>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</si>
  <si>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</si>
  <si>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</si>
  <si>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</si>
  <si>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</si>
  <si>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</si>
  <si>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</si>
  <si>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</si>
  <si>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</si>
  <si>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</si>
  <si>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</si>
  <si>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</si>
  <si>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</si>
  <si>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</si>
  <si>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</si>
  <si>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</si>
  <si>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</si>
  <si>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</si>
  <si>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</si>
  <si>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</si>
  <si>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</si>
  <si>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</si>
  <si>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</si>
  <si>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</si>
  <si>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</si>
  <si>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</si>
  <si>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</si>
  <si>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</si>
  <si>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</si>
  <si>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</si>
  <si>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</si>
  <si>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</si>
  <si>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</si>
  <si>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</si>
  <si>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</si>
  <si>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</si>
  <si>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</si>
  <si>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</si>
  <si>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</si>
  <si>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</si>
  <si>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</si>
  <si>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</si>
  <si>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</si>
  <si>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</si>
  <si>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</si>
  <si>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</si>
  <si>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</si>
  <si>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</si>
  <si>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</si>
  <si>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</si>
  <si>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</si>
  <si>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</si>
  <si>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</si>
  <si>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</si>
  <si>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</si>
  <si>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</si>
  <si>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</si>
  <si>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</si>
  <si>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</si>
  <si>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</si>
  <si>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</si>
  <si>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</si>
  <si>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</si>
  <si>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</si>
  <si>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</si>
  <si>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</si>
  <si>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</si>
  <si>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</si>
  <si>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</si>
  <si>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</si>
  <si>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</si>
  <si>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</si>
  <si>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</si>
  <si>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</si>
  <si>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</si>
  <si>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</si>
  <si>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</si>
  <si>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</si>
  <si>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</si>
  <si>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</si>
  <si>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</si>
  <si>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</si>
  <si>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</si>
  <si>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</si>
  <si>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</si>
  <si>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</si>
  <si>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</si>
  <si>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</si>
  <si>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</si>
  <si>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</si>
  <si>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</si>
  <si>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</si>
  <si>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</si>
  <si>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</si>
  <si>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</si>
  <si>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</si>
  <si>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</si>
  <si>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</si>
  <si>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</si>
  <si>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</si>
  <si>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</si>
  <si>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</si>
  <si>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</si>
  <si>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</si>
  <si>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</si>
  <si>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</si>
  <si>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</si>
  <si>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</si>
  <si>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</si>
  <si>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</si>
  <si>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</si>
  <si>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</si>
  <si>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</si>
  <si>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</si>
  <si>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</si>
  <si>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</si>
  <si>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</si>
  <si>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</si>
  <si>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</si>
  <si>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</si>
  <si>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</si>
  <si>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</si>
  <si>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</si>
  <si>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</si>
  <si>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</si>
  <si>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</si>
  <si>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</si>
  <si>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</si>
  <si>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</si>
  <si>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</si>
  <si>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</si>
  <si>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</si>
  <si>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</si>
  <si>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</si>
  <si>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</si>
  <si>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</si>
  <si>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</si>
  <si>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</si>
  <si>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</si>
  <si>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</si>
  <si>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</si>
  <si>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</si>
  <si>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</si>
  <si>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</si>
  <si>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</si>
  <si>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</si>
  <si>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</si>
  <si>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</si>
  <si>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</si>
  <si>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</si>
  <si>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</si>
  <si>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</si>
  <si>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</si>
  <si>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</si>
  <si>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</si>
  <si>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</si>
  <si>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</si>
  <si>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</si>
  <si>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</si>
  <si>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</si>
  <si>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</si>
  <si>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</si>
  <si>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</si>
  <si>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</si>
  <si>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</si>
  <si>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</si>
  <si>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</si>
  <si>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</si>
  <si>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</si>
  <si>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</si>
  <si>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</si>
  <si>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</si>
  <si>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</si>
  <si>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</si>
  <si>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</si>
  <si>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</si>
  <si>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</si>
  <si>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</si>
  <si>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</si>
  <si>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</si>
  <si>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</si>
  <si>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</si>
  <si>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</si>
  <si>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</si>
  <si>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</si>
  <si>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</si>
  <si>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</si>
  <si>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</si>
  <si>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</si>
  <si>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</si>
  <si>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</si>
  <si>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</si>
  <si>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</si>
  <si>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</si>
  <si>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</si>
  <si>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</si>
  <si>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</si>
  <si>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</si>
  <si>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</si>
  <si>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</si>
  <si>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</si>
  <si>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</si>
  <si>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</si>
  <si>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</si>
  <si>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</si>
  <si>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</si>
  <si>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</si>
  <si>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</si>
  <si>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</si>
  <si>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</si>
  <si>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</si>
  <si>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</si>
  <si>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</si>
  <si>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</si>
  <si>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</si>
  <si>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</si>
  <si>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</si>
  <si>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</si>
  <si>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</si>
  <si>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</si>
  <si>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</si>
  <si>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</si>
  <si>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</si>
  <si>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</si>
  <si>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</si>
  <si>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</si>
  <si>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</si>
  <si>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</si>
  <si>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</si>
  <si>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</si>
  <si>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</si>
  <si>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</si>
  <si>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</si>
  <si>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</si>
  <si>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</si>
  <si>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</si>
  <si>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</si>
  <si>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</si>
  <si>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</si>
  <si>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</si>
  <si>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</si>
  <si>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</si>
  <si>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</si>
  <si>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</si>
  <si>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</si>
  <si>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</si>
  <si>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</si>
  <si>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</si>
  <si>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</si>
  <si>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</si>
  <si>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</si>
  <si>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</si>
  <si>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</si>
  <si>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</si>
  <si>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</si>
  <si>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</si>
  <si>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</si>
  <si>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</si>
  <si>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</si>
  <si>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</si>
  <si>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</si>
  <si>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</si>
  <si>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</si>
  <si>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</si>
  <si>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</si>
  <si>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</si>
  <si>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</si>
  <si>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</si>
  <si>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</si>
  <si>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</si>
  <si>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</si>
  <si>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</si>
  <si>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</si>
  <si>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</si>
  <si>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</si>
  <si>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</si>
  <si>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</si>
  <si>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</si>
  <si>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</si>
  <si>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</si>
  <si>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</si>
  <si>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</si>
  <si>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</si>
  <si>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</si>
  <si>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</si>
  <si>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</si>
  <si>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</si>
  <si>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</si>
  <si>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</si>
  <si>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</si>
  <si>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</si>
  <si>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</si>
  <si>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</si>
  <si>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</si>
  <si>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</si>
  <si>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</si>
  <si>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</si>
  <si>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</si>
  <si>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</si>
  <si>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</si>
  <si>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</si>
  <si>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</si>
  <si>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</si>
  <si>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</si>
  <si>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</si>
  <si>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</si>
  <si>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</si>
  <si>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</si>
  <si>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</si>
  <si>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</si>
  <si>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</si>
  <si>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</si>
  <si>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</si>
  <si>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</si>
  <si>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</si>
  <si>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</si>
  <si>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</si>
  <si>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</si>
  <si>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</si>
  <si>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</si>
  <si>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</si>
  <si>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</si>
  <si>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</si>
  <si>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</si>
  <si>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</si>
  <si>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</si>
  <si>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</si>
  <si>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</si>
  <si>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</si>
  <si>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</si>
  <si>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</si>
  <si>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</si>
  <si>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</si>
  <si>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</si>
  <si>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</si>
  <si>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</si>
  <si>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</si>
  <si>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</si>
  <si>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</si>
  <si>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</si>
  <si>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</si>
  <si>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</si>
  <si>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</si>
  <si>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</si>
  <si>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</si>
  <si>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</si>
  <si>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</si>
  <si>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</si>
  <si>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</si>
  <si>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</si>
  <si>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</si>
  <si>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</si>
  <si>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</si>
  <si>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</si>
  <si>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</si>
  <si>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</si>
  <si>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</si>
  <si>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</si>
  <si>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</si>
  <si>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</si>
  <si>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</si>
  <si>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</si>
  <si>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</si>
  <si>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</si>
  <si>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</si>
  <si>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</si>
  <si>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</si>
  <si>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</si>
  <si>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</si>
  <si>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</si>
  <si>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</si>
  <si>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</si>
  <si>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</si>
  <si>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</si>
  <si>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</si>
  <si>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</si>
  <si>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</si>
  <si>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</si>
  <si>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</si>
  <si>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</si>
  <si>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</si>
  <si>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</si>
  <si>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</si>
  <si>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</si>
  <si>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</si>
  <si>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</si>
  <si>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</si>
  <si>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</si>
  <si>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</si>
  <si>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</si>
  <si>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</si>
  <si>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</si>
  <si>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</si>
  <si>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</si>
  <si>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</si>
  <si>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</si>
  <si>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</si>
  <si>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</si>
  <si>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</si>
  <si>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</si>
  <si>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</si>
  <si>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</si>
  <si>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</si>
  <si>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</si>
  <si>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</si>
  <si>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</si>
  <si>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</si>
  <si>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</si>
  <si>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</si>
  <si>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</si>
  <si>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</si>
  <si>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</si>
  <si>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</si>
  <si>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</si>
  <si>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</si>
  <si>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</si>
  <si>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</si>
  <si>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</si>
  <si>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</si>
  <si>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</si>
  <si>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</si>
  <si>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</si>
  <si>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</si>
  <si>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</si>
  <si>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</si>
  <si>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</si>
  <si>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</si>
  <si>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</si>
  <si>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</si>
  <si>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</si>
  <si>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</si>
  <si>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</si>
  <si>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</si>
  <si>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</si>
  <si>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</si>
  <si>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</si>
  <si>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</si>
  <si>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</si>
  <si>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</si>
  <si>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</si>
  <si>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</si>
  <si>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</si>
  <si>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</si>
  <si>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</si>
  <si>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</si>
  <si>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</si>
  <si>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</si>
  <si>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</si>
  <si>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</si>
  <si>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</si>
  <si>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</si>
  <si>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</si>
  <si>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</si>
  <si>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</si>
  <si>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</si>
  <si>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</si>
  <si>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</si>
  <si>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</si>
  <si>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</si>
  <si>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</si>
  <si>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</si>
  <si>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</si>
  <si>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</si>
  <si>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</si>
  <si>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</si>
  <si>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</si>
  <si>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</si>
  <si>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</si>
  <si>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</si>
  <si>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</si>
  <si>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</si>
  <si>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</si>
  <si>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</si>
  <si>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</si>
  <si>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</si>
  <si>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</si>
  <si>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</si>
  <si>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</si>
  <si>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</si>
  <si>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</si>
  <si>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</si>
  <si>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</si>
  <si>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</si>
  <si>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</si>
  <si>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</si>
  <si>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</si>
  <si>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</si>
  <si>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</si>
  <si>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</si>
  <si>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</si>
  <si>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</si>
  <si>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</si>
  <si>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</si>
  <si>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</si>
  <si>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</si>
  <si>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</si>
  <si>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</si>
  <si>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</si>
  <si>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</si>
  <si>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</si>
  <si>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</si>
  <si>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</si>
  <si>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</si>
  <si>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</si>
  <si>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</si>
  <si>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</si>
  <si>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</si>
  <si>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</si>
  <si>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</si>
  <si>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</si>
  <si>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</si>
  <si>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</si>
  <si>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</si>
  <si>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</si>
  <si>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</si>
  <si>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</si>
  <si>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</si>
  <si>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</si>
  <si>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</si>
  <si>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</si>
  <si>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</si>
  <si>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</si>
  <si>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</si>
  <si>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</si>
  <si>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</si>
  <si>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</si>
  <si>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</si>
  <si>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</si>
  <si>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</si>
  <si>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</si>
  <si>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</si>
  <si>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</si>
  <si>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</si>
  <si>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</si>
  <si>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</si>
  <si>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</si>
  <si>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</si>
  <si>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</si>
  <si>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</si>
  <si>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</si>
  <si>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</si>
  <si>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</si>
  <si>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</si>
  <si>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</si>
  <si>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</si>
  <si>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</si>
  <si>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</si>
  <si>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</si>
  <si>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</si>
  <si>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</si>
  <si>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</si>
  <si>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</si>
  <si>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</si>
  <si>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</si>
  <si>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</si>
  <si>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</si>
  <si>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</si>
  <si>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</si>
  <si>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</si>
  <si>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</si>
  <si>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</si>
  <si>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</si>
  <si>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</si>
  <si>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</si>
  <si>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</si>
  <si>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</si>
  <si>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</si>
  <si>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</si>
  <si>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</si>
  <si>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</si>
  <si>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</si>
  <si>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</si>
  <si>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</si>
  <si>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</si>
  <si>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</si>
  <si>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</si>
  <si>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</si>
  <si>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</si>
  <si>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</si>
  <si>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</si>
  <si>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</si>
  <si>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</si>
  <si>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</si>
  <si>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</si>
  <si>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</si>
  <si>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</si>
  <si>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</si>
  <si>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</si>
  <si>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</si>
  <si>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</si>
  <si>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</si>
  <si>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</si>
  <si>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</si>
  <si>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</si>
  <si>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</si>
  <si>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</si>
  <si>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</si>
  <si>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</si>
  <si>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</si>
  <si>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</si>
  <si>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</si>
  <si>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</si>
  <si>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</si>
  <si>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</si>
  <si>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</si>
  <si>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</si>
  <si>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</si>
  <si>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</si>
  <si>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</si>
  <si>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</si>
  <si>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</si>
  <si>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</si>
  <si>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</si>
  <si>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</si>
  <si>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</si>
  <si>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</si>
  <si>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</si>
  <si>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</si>
  <si>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</si>
  <si>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</si>
  <si>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</si>
  <si>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</si>
  <si>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</si>
  <si>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</si>
  <si>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</si>
  <si>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</si>
  <si>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</si>
  <si>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</si>
  <si>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</si>
  <si>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</si>
  <si>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</si>
  <si>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</si>
  <si>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</si>
  <si>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</si>
  <si>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</si>
  <si>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</si>
  <si>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</si>
  <si>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</si>
  <si>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</si>
  <si>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</si>
  <si>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</si>
  <si>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</si>
  <si>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</si>
  <si>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</si>
  <si>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</si>
  <si>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</si>
  <si>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</si>
  <si>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</si>
  <si>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</si>
  <si>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</si>
  <si>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</si>
  <si>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</si>
  <si>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</si>
  <si>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</si>
  <si>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</si>
  <si>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</si>
  <si>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</si>
  <si>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</si>
  <si>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</si>
  <si>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</si>
  <si>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</si>
  <si>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</si>
  <si>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</si>
  <si>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</si>
  <si>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</si>
  <si>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</si>
  <si>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</si>
  <si>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</si>
  <si>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</si>
  <si>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</si>
  <si>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</si>
  <si>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</si>
  <si>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</si>
  <si>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</si>
  <si>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</si>
  <si>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</si>
  <si>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</si>
  <si>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</si>
  <si>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</si>
  <si>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</si>
  <si>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</si>
  <si>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</si>
  <si>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</si>
  <si>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</si>
  <si>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</si>
  <si>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</si>
  <si>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</si>
  <si>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</si>
  <si>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</si>
  <si>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</si>
  <si>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</si>
  <si>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</si>
  <si>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</si>
  <si>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</si>
  <si>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</si>
  <si>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</si>
  <si>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</si>
  <si>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</si>
  <si>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</si>
  <si>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</si>
  <si>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</si>
  <si>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</si>
  <si>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</si>
  <si>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</si>
  <si>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</si>
  <si>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</si>
  <si>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</si>
  <si>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</si>
  <si>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</si>
  <si>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</si>
  <si>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</si>
  <si>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</si>
  <si>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</si>
  <si>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</si>
  <si>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</si>
  <si>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</si>
  <si>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</si>
  <si>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</si>
  <si>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</si>
  <si>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</si>
  <si>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</si>
  <si>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</si>
  <si>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</si>
  <si>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</si>
  <si>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</si>
  <si>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</si>
  <si>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</si>
  <si>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</si>
  <si>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</si>
  <si>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</si>
  <si>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</si>
  <si>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</si>
  <si>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</si>
  <si>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</si>
  <si>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</si>
  <si>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</si>
  <si>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</si>
  <si>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</si>
  <si>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</si>
  <si>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</si>
  <si>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</si>
  <si>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</si>
  <si>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</si>
  <si>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</si>
  <si>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</si>
  <si>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</si>
  <si>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</si>
  <si>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</si>
  <si>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</si>
  <si>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</si>
  <si>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</si>
  <si>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</si>
  <si>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</si>
  <si>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</si>
  <si>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</si>
  <si>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</si>
  <si>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</si>
  <si>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</si>
  <si>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</si>
  <si>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</si>
  <si>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</si>
  <si>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</si>
  <si>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</si>
  <si>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</si>
  <si>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</si>
  <si>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</si>
  <si>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</si>
  <si>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</si>
  <si>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</si>
  <si>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</si>
  <si>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</si>
  <si>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</si>
  <si>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</si>
  <si>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</si>
  <si>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</si>
  <si>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</si>
  <si>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</si>
  <si>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</si>
  <si>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</si>
  <si>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</si>
  <si>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</si>
  <si>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</si>
  <si>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</si>
  <si>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</si>
  <si>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</si>
  <si>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</si>
  <si>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</si>
  <si>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</si>
  <si>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</si>
  <si>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</si>
  <si>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</si>
  <si>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</si>
  <si>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</si>
  <si>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</si>
  <si>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</si>
  <si>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</si>
  <si>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</si>
  <si>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</si>
  <si>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</si>
  <si>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</si>
  <si>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</si>
  <si>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</si>
  <si>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</si>
  <si>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</si>
  <si>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</si>
  <si>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</si>
  <si>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</si>
  <si>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</si>
  <si>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</si>
  <si>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</si>
  <si>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</si>
  <si>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</si>
  <si>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</si>
  <si>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</si>
  <si>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</si>
  <si>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</si>
  <si>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</si>
  <si>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</si>
  <si>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</si>
  <si>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</si>
  <si>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</si>
  <si>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</si>
  <si>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</si>
  <si>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</si>
  <si>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</si>
  <si>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</si>
  <si>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</si>
  <si>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</si>
  <si>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</si>
  <si>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</si>
  <si>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</si>
  <si>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</si>
  <si>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</si>
  <si>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</si>
  <si>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</si>
  <si>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</si>
  <si>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</si>
  <si>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</si>
  <si>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</si>
  <si>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</si>
  <si>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</si>
  <si>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</si>
  <si>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</si>
  <si>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</si>
  <si>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</si>
  <si>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</si>
  <si>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</si>
  <si>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</si>
  <si>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</si>
  <si>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</si>
  <si>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</si>
  <si>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</si>
  <si>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</si>
  <si>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</si>
  <si>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</si>
  <si>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</si>
  <si>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</si>
  <si>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</si>
  <si>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</si>
  <si>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</si>
  <si>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</si>
  <si>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</si>
  <si>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</si>
  <si>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</si>
  <si>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</si>
  <si>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</si>
  <si>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</si>
  <si>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</si>
  <si>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</si>
  <si>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</si>
  <si>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</si>
  <si>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</si>
  <si>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</si>
  <si>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</si>
  <si>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</si>
  <si>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</si>
  <si>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</si>
  <si>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</si>
  <si>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</si>
  <si>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</si>
  <si>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</si>
  <si>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</si>
  <si>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</si>
  <si>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</si>
  <si>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</si>
  <si>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</si>
  <si>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</si>
  <si>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</si>
  <si>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</si>
  <si>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</si>
  <si>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</si>
  <si>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</si>
  <si>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</si>
  <si>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</si>
  <si>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</si>
  <si>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</si>
  <si>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</si>
  <si>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</si>
  <si>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</si>
  <si>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</si>
  <si>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</si>
  <si>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</si>
  <si>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</si>
  <si>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</si>
  <si>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</si>
  <si>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</si>
  <si>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</si>
  <si>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</si>
  <si>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</si>
  <si>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</si>
  <si>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</si>
  <si>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</si>
  <si>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</si>
  <si>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</si>
  <si>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</si>
  <si>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</si>
  <si>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</si>
  <si>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</si>
  <si>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</si>
  <si>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</si>
  <si>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</si>
  <si>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</si>
  <si>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</si>
  <si>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</si>
  <si>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</si>
  <si>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</si>
  <si>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</si>
  <si>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</si>
  <si>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</si>
  <si>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</si>
  <si>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</si>
  <si>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</si>
  <si>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</si>
  <si>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</si>
  <si>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</si>
  <si>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</si>
  <si>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</si>
  <si>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</si>
  <si>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</si>
  <si>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</si>
  <si>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</si>
  <si>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</si>
  <si>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</si>
  <si>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</si>
  <si>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</si>
  <si>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</si>
  <si>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</si>
  <si>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</si>
  <si>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</si>
  <si>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</si>
  <si>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</si>
  <si>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</si>
  <si>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</si>
  <si>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</si>
  <si>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</si>
  <si>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</si>
  <si>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</si>
  <si>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</si>
  <si>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</si>
  <si>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</si>
  <si>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</si>
  <si>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</si>
  <si>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</si>
  <si>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</si>
  <si>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</si>
  <si>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</si>
  <si>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</si>
  <si>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</si>
  <si>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</si>
  <si>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</si>
  <si>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</si>
  <si>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</si>
  <si>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</si>
  <si>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</si>
  <si>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</si>
  <si>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</si>
  <si>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</si>
  <si>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</si>
  <si>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</si>
  <si>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</si>
  <si>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</si>
  <si>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</si>
  <si>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</si>
  <si>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</si>
  <si>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</si>
  <si>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</si>
  <si>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</si>
  <si>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</si>
  <si>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</si>
  <si>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</si>
  <si>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</si>
  <si>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</si>
  <si>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</si>
  <si>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</si>
  <si>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</si>
  <si>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</si>
  <si>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</si>
  <si>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</si>
  <si>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</si>
  <si>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</si>
  <si>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</si>
  <si>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</si>
  <si>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</si>
  <si>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</si>
  <si>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</si>
  <si>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</si>
  <si>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</si>
  <si>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</si>
  <si>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</si>
  <si>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</si>
  <si>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</si>
  <si>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</si>
  <si>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</si>
  <si>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</si>
  <si>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</si>
  <si>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</si>
  <si>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</si>
  <si>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</si>
  <si>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</si>
  <si>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</si>
  <si>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</si>
  <si>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</si>
  <si>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</si>
  <si>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</si>
  <si>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</si>
  <si>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</si>
  <si>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</si>
  <si>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</si>
  <si>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</si>
  <si>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</si>
  <si>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</si>
  <si>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</si>
  <si>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</si>
  <si>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</si>
  <si>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</si>
  <si>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</si>
  <si>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</si>
  <si>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</si>
  <si>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</si>
  <si>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</si>
  <si>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</si>
  <si>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</si>
  <si>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</si>
  <si>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</si>
  <si>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</si>
  <si>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</si>
  <si>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</si>
  <si>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</si>
  <si>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</si>
  <si>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</si>
  <si>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</si>
  <si>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</si>
  <si>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</si>
  <si>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</si>
  <si>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</si>
  <si>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</si>
  <si>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</si>
  <si>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</si>
  <si>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</si>
  <si>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</si>
  <si>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</si>
  <si>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</si>
  <si>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</si>
  <si>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</si>
  <si>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</si>
  <si>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</si>
  <si>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</si>
  <si>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</si>
  <si>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</si>
  <si>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</si>
  <si>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</si>
  <si>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</si>
  <si>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</si>
  <si>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</si>
  <si>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</si>
  <si>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</si>
  <si>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</si>
  <si>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</si>
  <si>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</si>
  <si>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</si>
  <si>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</si>
  <si>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</si>
  <si>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</si>
  <si>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</si>
  <si>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</si>
  <si>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</si>
  <si>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</si>
  <si>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</si>
  <si>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</si>
  <si>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</si>
  <si>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</si>
  <si>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</si>
  <si>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</si>
  <si>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</si>
  <si>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</si>
  <si>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</si>
  <si>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</si>
  <si>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</si>
  <si>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</si>
  <si>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</si>
  <si>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</si>
  <si>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</si>
  <si>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</si>
  <si>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</si>
  <si>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</si>
  <si>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</si>
  <si>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</si>
  <si>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</si>
  <si>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</si>
  <si>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</si>
  <si>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</si>
  <si>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</si>
  <si>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</si>
  <si>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</si>
  <si>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</si>
  <si>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</si>
  <si>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</si>
  <si>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</si>
  <si>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</si>
  <si>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</si>
  <si>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</si>
  <si>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</si>
  <si>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</si>
  <si>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</si>
  <si>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</si>
  <si>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</si>
  <si>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</si>
  <si>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</si>
  <si>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</si>
  <si>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</si>
  <si>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</si>
  <si>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</si>
  <si>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</si>
  <si>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</si>
  <si>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</si>
  <si>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</si>
  <si>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</si>
  <si>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</si>
  <si>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</si>
  <si>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</si>
  <si>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</si>
  <si>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</si>
  <si>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</si>
  <si>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</si>
  <si>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</si>
  <si>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</si>
  <si>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</si>
  <si>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</si>
  <si>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</si>
  <si>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</si>
  <si>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</si>
  <si>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</si>
  <si>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</si>
  <si>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</si>
  <si>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</si>
  <si>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</si>
  <si>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</si>
  <si>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</si>
  <si>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</si>
  <si>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</si>
  <si>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</si>
  <si>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</si>
  <si>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</si>
  <si>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</si>
  <si>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</si>
  <si>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</si>
  <si>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</si>
  <si>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</si>
  <si>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</si>
  <si>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</si>
  <si>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</si>
  <si>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</si>
  <si>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</si>
  <si>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</si>
  <si>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</si>
  <si>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</si>
  <si>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</si>
  <si>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</si>
  <si>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</si>
  <si>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</si>
  <si>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</si>
  <si>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</si>
  <si>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</si>
  <si>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</si>
  <si>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</si>
  <si>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</si>
  <si>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</si>
  <si>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</si>
  <si>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</si>
  <si>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</si>
  <si>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</si>
  <si>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</si>
  <si>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</si>
  <si>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</si>
  <si>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</si>
  <si>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</si>
  <si>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</si>
  <si>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</si>
  <si>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</si>
  <si>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</si>
  <si>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</si>
  <si>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</si>
  <si>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</si>
  <si>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</si>
  <si>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</si>
  <si>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</si>
  <si>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</si>
  <si>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</si>
  <si>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</si>
  <si>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</si>
  <si>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</si>
  <si>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</si>
  <si>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</si>
  <si>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</si>
  <si>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</si>
  <si>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</si>
  <si>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</si>
  <si>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</si>
  <si>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</si>
  <si>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</si>
  <si>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</si>
  <si>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</si>
  <si>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</si>
  <si>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</si>
  <si>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</si>
  <si>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</si>
  <si>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</si>
  <si>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</si>
  <si>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</si>
  <si>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</si>
  <si>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</si>
  <si>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</si>
  <si>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</si>
  <si>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</si>
  <si>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</si>
  <si>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</si>
  <si>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</si>
  <si>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</si>
  <si>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</si>
  <si>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</si>
  <si>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</si>
  <si>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</si>
  <si>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</si>
  <si>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</si>
  <si>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</si>
  <si>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</si>
  <si>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</si>
  <si>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</si>
  <si>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</si>
  <si>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</si>
  <si>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</si>
  <si>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</si>
  <si>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</si>
  <si>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</si>
  <si>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</si>
  <si>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</si>
  <si>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</si>
  <si>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</si>
  <si>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</si>
  <si>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</si>
  <si>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</si>
  <si>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</si>
  <si>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</si>
  <si>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</si>
  <si>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</si>
  <si>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</si>
  <si>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</si>
  <si>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</si>
  <si>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</si>
  <si>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</si>
  <si>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</si>
  <si>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</si>
  <si>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</si>
  <si>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</si>
  <si>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</si>
  <si>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</si>
  <si>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</si>
  <si>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</si>
  <si>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</si>
  <si>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</si>
  <si>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</si>
  <si>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</si>
  <si>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</si>
  <si>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</si>
  <si>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</si>
  <si>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</si>
  <si>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</si>
  <si>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</si>
  <si>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</si>
  <si>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</si>
  <si>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</si>
  <si>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</si>
  <si>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</si>
  <si>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</si>
  <si>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</si>
  <si>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</si>
  <si>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</si>
  <si>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</si>
  <si>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</si>
  <si>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</si>
  <si>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</si>
  <si>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</si>
  <si>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</si>
  <si>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</si>
  <si>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</si>
  <si>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</si>
  <si>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</si>
  <si>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</si>
  <si>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</si>
  <si>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</si>
  <si>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</si>
  <si>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</si>
  <si>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</si>
  <si>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</si>
  <si>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</si>
  <si>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</si>
  <si>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</si>
  <si>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</si>
  <si>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</si>
  <si>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</si>
  <si>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</si>
  <si>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</si>
  <si>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</si>
  <si>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</si>
  <si>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</si>
  <si>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</si>
  <si>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</si>
  <si>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</si>
  <si>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</si>
  <si>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</si>
  <si>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</si>
  <si>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</si>
  <si>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</si>
  <si>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</si>
  <si>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</si>
  <si>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</si>
  <si>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</si>
  <si>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</si>
  <si>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</si>
  <si>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</si>
  <si>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</si>
  <si>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</si>
  <si>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</si>
  <si>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</si>
  <si>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</si>
  <si>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</si>
  <si>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</si>
  <si>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</si>
  <si>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</si>
  <si>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</si>
  <si>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</si>
  <si>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</si>
  <si>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</si>
  <si>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</si>
  <si>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</si>
  <si>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</si>
  <si>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</si>
  <si>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</si>
  <si>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</si>
  <si>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</si>
  <si>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</si>
  <si>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</si>
  <si>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</si>
  <si>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</si>
  <si>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</si>
  <si>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</si>
  <si>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</si>
  <si>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</si>
  <si>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</si>
  <si>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</si>
  <si>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</si>
  <si>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</si>
  <si>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</si>
  <si>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</si>
  <si>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</si>
  <si>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</si>
  <si>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</si>
  <si>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</si>
  <si>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</si>
  <si>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</si>
  <si>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</si>
  <si>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</si>
  <si>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</si>
  <si>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</si>
  <si>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</si>
  <si>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</si>
  <si>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</si>
  <si>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</si>
  <si>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</si>
  <si>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</si>
  <si>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</si>
  <si>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</si>
  <si>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</si>
  <si>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</si>
  <si>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</si>
  <si>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</si>
  <si>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</si>
  <si>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</si>
  <si>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</si>
  <si>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</si>
  <si>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</si>
  <si>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</si>
  <si>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</si>
  <si>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</si>
  <si>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</si>
  <si>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</si>
  <si>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</si>
  <si>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</si>
  <si>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</si>
  <si>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</si>
  <si>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</si>
  <si>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</si>
  <si>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</si>
  <si>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</si>
  <si>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</si>
  <si>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</si>
  <si>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</si>
  <si>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</si>
  <si>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</si>
  <si>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</si>
  <si>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</si>
  <si>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</si>
  <si>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</si>
  <si>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</si>
  <si>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</si>
  <si>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</si>
  <si>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</si>
  <si>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</si>
  <si>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</si>
  <si>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</si>
  <si>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</si>
  <si>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</si>
  <si>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</si>
  <si>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</si>
  <si>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</si>
  <si>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</si>
  <si>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</si>
  <si>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</si>
  <si>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</si>
  <si>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</si>
  <si>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</si>
  <si>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</si>
  <si>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</si>
  <si>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</si>
  <si>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</si>
  <si>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</si>
  <si>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</si>
  <si>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</si>
  <si>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</si>
  <si>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</si>
  <si>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</si>
  <si>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</si>
  <si>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</si>
  <si>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</si>
  <si>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</si>
  <si>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</si>
  <si>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</si>
  <si>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</si>
  <si>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</si>
  <si>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</si>
  <si>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</si>
  <si>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</si>
  <si>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</si>
  <si>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</si>
  <si>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</si>
  <si>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</si>
  <si>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</si>
  <si>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</si>
  <si>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</si>
  <si>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</si>
  <si>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</si>
  <si>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</si>
  <si>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</si>
  <si>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</si>
  <si>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</si>
  <si>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</si>
  <si>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</si>
  <si>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</si>
  <si>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</si>
  <si>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</si>
  <si>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</si>
  <si>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</si>
  <si>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</si>
  <si>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</si>
  <si>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</si>
  <si>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</si>
  <si>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</si>
  <si>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</si>
  <si>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</si>
  <si>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</si>
  <si>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</si>
  <si>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</si>
  <si>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</si>
  <si>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</si>
  <si>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</si>
  <si>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</si>
  <si>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</si>
  <si>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</si>
  <si>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</si>
  <si>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</si>
  <si>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</si>
  <si>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</si>
  <si>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</si>
  <si>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</si>
  <si>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</si>
  <si>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</si>
  <si>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</si>
  <si>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</si>
  <si>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</si>
  <si>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</si>
  <si>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</si>
  <si>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</si>
  <si>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</si>
  <si>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</si>
  <si>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</si>
  <si>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</si>
  <si>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</si>
  <si>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</si>
  <si>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</si>
  <si>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</si>
  <si>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</si>
  <si>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</si>
  <si>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</si>
  <si>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</si>
  <si>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</si>
  <si>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</si>
  <si>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</si>
  <si>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</si>
  <si>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</si>
  <si>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</si>
  <si>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</si>
  <si>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</si>
  <si>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</si>
  <si>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</si>
  <si>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</si>
  <si>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</si>
  <si>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</si>
  <si>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</si>
  <si>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</si>
  <si>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</si>
  <si>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</si>
  <si>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</si>
  <si>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</si>
  <si>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</si>
  <si>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</si>
  <si>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</si>
  <si>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</si>
  <si>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</si>
  <si>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</si>
  <si>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</si>
  <si>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</si>
  <si>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</si>
  <si>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</si>
  <si>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</si>
  <si>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</si>
  <si>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</si>
  <si>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</si>
  <si>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</si>
  <si>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</si>
  <si>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</si>
  <si>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</si>
  <si>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</si>
  <si>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</si>
  <si>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</si>
  <si>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</si>
  <si>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</si>
  <si>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</si>
  <si>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</si>
  <si>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</si>
  <si>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</si>
  <si>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</si>
  <si>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</si>
  <si>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</si>
  <si>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</si>
  <si>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</si>
  <si>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</si>
  <si>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</si>
  <si>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</si>
  <si>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</si>
  <si>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</si>
  <si>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</si>
  <si>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</si>
  <si>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</si>
  <si>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</si>
  <si>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</si>
  <si>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</si>
  <si>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</si>
  <si>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</si>
  <si>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</si>
  <si>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</si>
  <si>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</si>
  <si>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</si>
  <si>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</si>
  <si>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</si>
  <si>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</si>
  <si>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</si>
  <si>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</si>
  <si>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</si>
  <si>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</si>
  <si>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</si>
  <si>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</si>
  <si>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</si>
  <si>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</si>
  <si>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</si>
  <si>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收益法</t>
  </si>
  <si>
    <t>钢混</t>
  </si>
  <si>
    <t>非生产用房</t>
  </si>
  <si>
    <t>香河第一城德胜门高尔夫</t>
    <phoneticPr fontId="6" type="noConversion"/>
  </si>
  <si>
    <t>德胜门高尔夫</t>
  </si>
  <si>
    <t>德胜门高尔夫</t>
    <phoneticPr fontId="7" type="noConversion"/>
  </si>
  <si>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</si>
  <si>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</si>
  <si>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</si>
  <si>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</si>
  <si>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</si>
  <si>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</si>
  <si>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</si>
  <si>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</si>
  <si>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</si>
  <si>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</si>
  <si>
    <t>押一</t>
  </si>
  <si>
    <t>按租金收入计税</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</si>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</sst>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Alignment="1" applyProtection="1">
      <alignment vertical="center"/>
      <protection locked="0"/>
    </xf>
    <xf numFmtId="2" fontId="49" fillId="18" borderId="1" xfId="0" applyNumberFormat="1" applyFont="1" applyFill="1" applyBorder="1" applyAlignment="1" applyProtection="1">
      <alignment horizontal="center" vertical="center"/>
    </xf>
    <xf numFmtId="2" fontId="49" fillId="6" borderId="1" xfId="0" applyNumberFormat="1" applyFont="1" applyFill="1" applyBorder="1" applyAlignment="1" applyProtection="1">
      <alignment horizontal="center" vertical="center"/>
    </xf>
    <xf numFmtId="2" fontId="49" fillId="6" borderId="13" xfId="0" applyNumberFormat="1" applyFont="1" applyFill="1" applyBorder="1" applyAlignment="1" applyProtection="1">
      <alignment horizontal="center" vertical="center"/>
    </xf>
    <xf numFmtId="2" fontId="49" fillId="6" borderId="2" xfId="0" applyNumberFormat="1" applyFont="1" applyFill="1" applyBorder="1" applyAlignment="1" applyProtection="1">
      <alignment horizontal="center" vertical="center"/>
    </xf>
    <xf numFmtId="2" fontId="49" fillId="6" borderId="78" xfId="0"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65" fillId="5" borderId="1" xfId="12" applyFill="1" applyBorder="1" applyAlignment="1">
      <alignment horizontal="center" vertical="center" wrapText="1"/>
    </xf>
    <xf numFmtId="0" fontId="165" fillId="0" borderId="1" xfId="12"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7704;&#23450;&#38376;&#21450;&#21830;&#381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C6">
            <v>476</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北京市香河第一城德胜门高尔夫房地产市场价值预评估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受贵公司委托，我公司对北京市香河第一城德胜门高尔夫房地产市场价值进行了预评估。</v>
      </c>
    </row>
    <row r="7" spans="1:2" s="1318" customFormat="1">
      <c r="A7" s="1316" t="s">
        <v>991</v>
      </c>
      <c r="B7" s="1317" t="str">
        <f>'预评函-1'!A7</f>
        <v>估价对象为北京市香河第一城德胜门高尔夫房地产，为所有。根据《国有土地使用证》[]，估价对象（分摊）出让国有建设用地使用权面积为47032平方米，建筑面积为8275.91平方米。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德胜门高尔夫房地产,为开发建设的，该项目尚在开发建设中。根据《国有土地使用证》[]，估价对象（分摊）出让国有建设用地使用权面积为47032平方米，规划建筑面积为8275.91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2895</v>
      </c>
    </row>
    <row r="21" spans="1:2" s="1318" customFormat="1">
      <c r="A21" s="1316" t="s">
        <v>962</v>
      </c>
      <c r="B21" s="1317">
        <f ca="1">'预评函-2'!D7</f>
        <v>3498</v>
      </c>
    </row>
    <row r="22" spans="1:2" s="1318" customFormat="1">
      <c r="A22" s="1316" t="s">
        <v>963</v>
      </c>
      <c r="B22" s="1317" t="str">
        <f ca="1">'预评函-2'!D6</f>
        <v>贰仟捌佰玖拾伍万元整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2895</v>
      </c>
    </row>
    <row r="31" spans="1:2" s="1318" customFormat="1">
      <c r="A31" s="1316" t="s">
        <v>1001</v>
      </c>
      <c r="B31" s="1317">
        <f ca="1">'预评函-2'!D15</f>
        <v>3498</v>
      </c>
    </row>
    <row r="32" spans="1:2" s="1318" customFormat="1">
      <c r="A32" s="1316" t="s">
        <v>968</v>
      </c>
      <c r="B32" s="1317" t="str">
        <f ca="1">'预评函-2'!D14</f>
        <v>贰仟捌佰玖拾伍万元整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北京市香河第一城德胜门高尔夫房地产</v>
      </c>
    </row>
    <row r="42" spans="1:2" s="1318" customFormat="1">
      <c r="A42" s="1316" t="s">
        <v>1015</v>
      </c>
      <c r="B42" s="1317" t="str">
        <f>'预评函-3'!B2</f>
        <v>建筑面积</v>
      </c>
    </row>
    <row r="43" spans="1:2" s="1318" customFormat="1">
      <c r="A43" s="1316" t="s">
        <v>1016</v>
      </c>
      <c r="B43" s="1317">
        <f>'预评函-3'!B4</f>
        <v>8275.91</v>
      </c>
    </row>
    <row r="44" spans="1:2" s="1318" customFormat="1">
      <c r="A44" s="1316" t="s">
        <v>1000</v>
      </c>
      <c r="B44" s="1317" t="str">
        <f>'预评函-3'!C2</f>
        <v>(分摊)土地面积</v>
      </c>
    </row>
    <row r="45" spans="1:2" s="1318" customFormat="1">
      <c r="A45" s="1316" t="s">
        <v>972</v>
      </c>
      <c r="B45" s="1317">
        <f>'预评函-3'!C4</f>
        <v>47032</v>
      </c>
    </row>
    <row r="46" spans="1:2" s="1318" customFormat="1">
      <c r="A46" s="1316" t="s">
        <v>998</v>
      </c>
      <c r="B46" s="1317" t="str">
        <f>'预评函-3'!D2</f>
        <v>出让国有建设用地使用权价值</v>
      </c>
    </row>
    <row r="47" spans="1:2" s="1318" customFormat="1">
      <c r="A47" s="1316" t="s">
        <v>973</v>
      </c>
      <c r="B47" s="1317">
        <f ca="1">'预评函-3'!D4</f>
        <v>863</v>
      </c>
    </row>
    <row r="48" spans="1:2" s="1318" customFormat="1">
      <c r="A48" s="1316" t="s">
        <v>974</v>
      </c>
      <c r="B48" s="1317">
        <f ca="1">'预评函-3'!E4</f>
        <v>1043</v>
      </c>
    </row>
    <row r="49" spans="1:2" s="1318" customFormat="1">
      <c r="A49" s="1316" t="s">
        <v>975</v>
      </c>
      <c r="B49" s="1317" t="str">
        <f ca="1">'预评函-3'!D5</f>
        <v>捌佰陆拾叁万元整</v>
      </c>
    </row>
    <row r="50" spans="1:2" s="1318" customFormat="1">
      <c r="A50" s="1316" t="s">
        <v>999</v>
      </c>
      <c r="B50" s="1317" t="str">
        <f>'预评函-3'!F2</f>
        <v>在建建筑物价值</v>
      </c>
    </row>
    <row r="51" spans="1:2" s="1318" customFormat="1">
      <c r="A51" s="1316" t="s">
        <v>976</v>
      </c>
      <c r="B51" s="1317">
        <f ca="1">'预评函-3'!F4</f>
        <v>2032</v>
      </c>
    </row>
    <row r="52" spans="1:2" s="1318" customFormat="1">
      <c r="A52" s="1316" t="s">
        <v>977</v>
      </c>
      <c r="B52" s="1317">
        <f ca="1">'预评函-3'!G4</f>
        <v>2455</v>
      </c>
    </row>
    <row r="53" spans="1:2" s="1318" customFormat="1">
      <c r="A53" s="1316" t="s">
        <v>1005</v>
      </c>
      <c r="B53" s="1317" t="str">
        <f ca="1">'预评函-3'!F5</f>
        <v>贰仟零叁拾贰万元整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德胜门高尔夫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1690" t="s">
        <v>651</v>
      </c>
      <c r="C54" s="1687" t="s">
        <v>1008</v>
      </c>
    </row>
    <row r="55" spans="1:4">
      <c r="A55" s="3315"/>
      <c r="B55" s="1690" t="s">
        <v>652</v>
      </c>
      <c r="C55" s="1687" t="s">
        <v>1009</v>
      </c>
    </row>
    <row r="56" spans="1:4">
      <c r="A56" s="3315"/>
      <c r="B56" s="1690" t="s">
        <v>653</v>
      </c>
      <c r="C56" s="1687" t="s">
        <v>1013</v>
      </c>
    </row>
    <row r="57" spans="1:4">
      <c r="A57" s="331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24" t="str">
        <f>IF(B10="北京市","北京市",C10)&amp;F10&amp;IF(结果表!G1="在建","出让国有建设用地使用权及在建建筑物",IF(结果表!G1="土地","出让国有建设用地使用权",))&amp;B9&amp;"预评估"</f>
        <v>北京市香河第一城德胜门高尔夫房地产市场价值预评估</v>
      </c>
      <c r="C1" s="3325"/>
      <c r="D1" s="3325"/>
      <c r="E1" s="3325"/>
      <c r="F1" s="3325"/>
      <c r="G1" s="3325"/>
      <c r="H1" s="3325"/>
      <c r="I1" s="3326"/>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北京市香河第一城德胜门高尔夫房地产市场价值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北京市香河第一城德胜门高尔夫房地产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5"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5"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3170</v>
      </c>
      <c r="C8" s="2563"/>
      <c r="D8" s="3327" t="s">
        <v>2678</v>
      </c>
      <c r="E8" s="2564"/>
      <c r="F8" s="2565"/>
      <c r="G8" s="2836"/>
      <c r="H8" s="2836"/>
      <c r="I8" s="2836"/>
      <c r="J8" s="2614"/>
      <c r="K8" s="2786"/>
      <c r="L8" s="2785"/>
      <c r="M8" s="2785"/>
      <c r="N8" s="2614"/>
      <c r="O8" s="2625"/>
      <c r="P8" s="2614"/>
      <c r="Q8" s="2614"/>
      <c r="R8" s="2614"/>
    </row>
    <row r="9" spans="1:28" ht="13.5" thickBot="1">
      <c r="A9" s="2566" t="s">
        <v>2679</v>
      </c>
      <c r="B9" s="2567" t="s">
        <v>3169</v>
      </c>
      <c r="C9" s="2568"/>
      <c r="D9" s="3328"/>
      <c r="E9" s="2567"/>
      <c r="F9" s="2569"/>
      <c r="G9" s="2838"/>
      <c r="H9" s="2838"/>
      <c r="I9" s="2838"/>
      <c r="J9" s="2614"/>
      <c r="K9" s="2788"/>
      <c r="L9" s="2785"/>
      <c r="M9" s="2785"/>
      <c r="N9" s="2614"/>
      <c r="O9" s="2625"/>
      <c r="P9" s="2614"/>
      <c r="Q9" s="2614"/>
      <c r="R9" s="2614"/>
    </row>
    <row r="10" spans="1:28" ht="15" thickTop="1">
      <c r="A10" s="2570" t="s">
        <v>2680</v>
      </c>
      <c r="B10" s="2571" t="s">
        <v>3168</v>
      </c>
      <c r="C10" s="2572"/>
      <c r="D10" s="2555"/>
      <c r="E10" s="2573" t="s">
        <v>2681</v>
      </c>
      <c r="F10" s="3223" t="s">
        <v>3563</v>
      </c>
      <c r="G10" s="2839"/>
      <c r="H10" s="2840"/>
      <c r="I10" s="2841"/>
      <c r="J10" s="2614"/>
      <c r="K10" s="2788"/>
      <c r="L10" s="2785"/>
      <c r="M10" s="2785"/>
      <c r="N10" s="2614"/>
      <c r="O10" s="2625"/>
      <c r="P10" s="2614"/>
      <c r="Q10" s="2614"/>
      <c r="R10" s="2614"/>
    </row>
    <row r="11" spans="1:28">
      <c r="A11" s="2574" t="s">
        <v>2682</v>
      </c>
      <c r="B11" s="2575" t="s">
        <v>3172</v>
      </c>
      <c r="C11" s="2576"/>
      <c r="D11" s="2577"/>
      <c r="E11" s="2543"/>
      <c r="F11" s="2543"/>
      <c r="G11" s="2543"/>
      <c r="H11" s="2543"/>
      <c r="I11" s="2543"/>
      <c r="J11" s="2614"/>
      <c r="K11" s="2788"/>
      <c r="L11" s="2785"/>
      <c r="M11" s="2785"/>
      <c r="N11" s="2614"/>
      <c r="O11" s="2625"/>
      <c r="P11" s="2614"/>
      <c r="Q11" s="2614"/>
      <c r="R11" s="2614"/>
    </row>
    <row r="12" spans="1:28">
      <c r="A12" s="2578" t="s">
        <v>2683</v>
      </c>
      <c r="B12" s="2575" t="s">
        <v>3171</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52775</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21.64</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34"/>
      <c r="C16" s="3335"/>
      <c r="D16" s="3336"/>
      <c r="E16" s="2588" t="s">
        <v>2695</v>
      </c>
      <c r="F16" s="3337"/>
      <c r="G16" s="3338"/>
      <c r="H16" s="3338"/>
      <c r="I16" s="3339"/>
      <c r="J16" s="2614"/>
      <c r="K16" s="2790"/>
      <c r="L16" s="2626"/>
      <c r="M16" s="2626"/>
      <c r="N16" s="2681"/>
      <c r="O16" s="2626"/>
      <c r="P16" s="2681"/>
      <c r="Q16" s="2614"/>
      <c r="R16" s="2614"/>
    </row>
    <row r="17" spans="1:28">
      <c r="A17" s="319" t="s">
        <v>2696</v>
      </c>
      <c r="B17" s="308" t="s">
        <v>2697</v>
      </c>
      <c r="C17" s="11">
        <f>'数据-汇总表'!E3</f>
        <v>8275.91</v>
      </c>
      <c r="D17" s="2495" t="s">
        <v>2698</v>
      </c>
      <c r="E17" s="3340" t="s">
        <v>2699</v>
      </c>
      <c r="F17" s="3341"/>
      <c r="G17" s="3341"/>
      <c r="H17" s="3341"/>
      <c r="I17" s="3342"/>
      <c r="J17" s="2614"/>
      <c r="K17" s="2791"/>
      <c r="L17" s="2626"/>
      <c r="M17" s="2626"/>
      <c r="N17" s="2681"/>
      <c r="O17" s="2626"/>
      <c r="P17" s="2681"/>
      <c r="Q17" s="2614"/>
      <c r="R17" s="2614"/>
      <c r="S17" s="2614"/>
      <c r="T17" s="2614"/>
      <c r="U17" s="2614"/>
      <c r="V17" s="2614"/>
    </row>
    <row r="18" spans="1:28" ht="24.75" thickBot="1">
      <c r="A18" s="2589" t="s">
        <v>2700</v>
      </c>
      <c r="B18" s="1203" t="s">
        <v>2701</v>
      </c>
      <c r="C18" s="2590">
        <f>'数据-汇总表'!D3</f>
        <v>47032</v>
      </c>
      <c r="D18" s="1205" t="s">
        <v>2702</v>
      </c>
      <c r="E18" s="3343" t="s">
        <v>2703</v>
      </c>
      <c r="F18" s="3344"/>
      <c r="G18" s="3344"/>
      <c r="H18" s="3344"/>
      <c r="I18" s="3345"/>
      <c r="J18" s="2614"/>
      <c r="K18" s="2791"/>
      <c r="L18" s="2626"/>
      <c r="M18" s="2626"/>
      <c r="N18" s="2681"/>
      <c r="O18" s="2626"/>
      <c r="P18" s="2681"/>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30" t="s">
        <v>2707</v>
      </c>
      <c r="C20" s="3331"/>
      <c r="D20" s="3332" t="s">
        <v>2708</v>
      </c>
      <c r="E20" s="3333"/>
      <c r="F20" s="2820" t="s">
        <v>1501</v>
      </c>
      <c r="G20" s="2837"/>
      <c r="H20" s="2837"/>
      <c r="I20" s="2837"/>
      <c r="J20" s="2614"/>
      <c r="K20" s="332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5"/>
      <c r="B21" s="2806" t="s">
        <v>2710</v>
      </c>
      <c r="C21" s="2807" t="s">
        <v>1502</v>
      </c>
      <c r="D21" s="1704" t="s">
        <v>2711</v>
      </c>
      <c r="E21" s="2808" t="s">
        <v>1502</v>
      </c>
      <c r="F21" s="2821"/>
      <c r="G21" s="2837"/>
      <c r="H21" s="2837"/>
      <c r="I21" s="2837"/>
      <c r="J21" s="2614"/>
      <c r="K21" s="33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5"/>
      <c r="B22" s="2809" t="s">
        <v>2712</v>
      </c>
      <c r="C22" s="2807" t="s">
        <v>1503</v>
      </c>
      <c r="D22" s="2836"/>
      <c r="E22" s="2836"/>
      <c r="F22" s="2836"/>
      <c r="G22" s="2837"/>
      <c r="H22" s="2837"/>
      <c r="I22" s="2837"/>
      <c r="J22" s="2614"/>
      <c r="K22" s="33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5"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5" thickTop="1">
      <c r="A27" s="3317"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17"/>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17"/>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18"/>
      <c r="B30" s="308" t="s">
        <v>2719</v>
      </c>
      <c r="C30" s="3319"/>
      <c r="D30" s="3320"/>
      <c r="E30" s="2837"/>
      <c r="F30" s="2837"/>
      <c r="G30" s="2837"/>
      <c r="H30" s="2837"/>
      <c r="I30" s="2837"/>
      <c r="J30" s="2614"/>
      <c r="K30" s="2788"/>
      <c r="L30" s="2785"/>
      <c r="M30" s="2785"/>
      <c r="N30" s="2614"/>
      <c r="O30" s="2625"/>
      <c r="P30" s="2614"/>
      <c r="Q30" s="2614"/>
      <c r="R30" s="2614"/>
      <c r="S30" s="2614"/>
      <c r="T30" s="2614"/>
      <c r="U30" s="2614"/>
      <c r="V30" s="2614"/>
    </row>
    <row r="31" spans="1:28">
      <c r="A31" s="3321" t="s">
        <v>2720</v>
      </c>
      <c r="B31" s="2597" t="s">
        <v>3173</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22"/>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22"/>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3174</v>
      </c>
      <c r="C34" s="2164" t="s">
        <v>3175</v>
      </c>
      <c r="D34" s="2164" t="s">
        <v>3176</v>
      </c>
      <c r="E34" s="2164" t="s">
        <v>3177</v>
      </c>
      <c r="F34" s="2164" t="s">
        <v>3178</v>
      </c>
      <c r="G34" s="2164" t="s">
        <v>3179</v>
      </c>
      <c r="H34" s="2164"/>
      <c r="I34" s="2837"/>
      <c r="J34" s="2614"/>
      <c r="K34" s="2602">
        <f>COUNTIF(B34:H34,"——")</f>
        <v>0</v>
      </c>
      <c r="L34" s="329" t="s">
        <v>2722</v>
      </c>
      <c r="M34" s="329" t="s">
        <v>2723</v>
      </c>
      <c r="N34" s="329" t="s">
        <v>2724</v>
      </c>
      <c r="O34" s="329" t="s">
        <v>2725</v>
      </c>
      <c r="P34" s="329" t="s">
        <v>2726</v>
      </c>
      <c r="Q34" s="329" t="s">
        <v>2727</v>
      </c>
      <c r="R34" s="329" t="s">
        <v>2728</v>
      </c>
      <c r="S34" s="3316" t="s">
        <v>2729</v>
      </c>
      <c r="T34" s="2603" t="str">
        <f>NUMBERSTRING(7-K34,1)&amp;"通"</f>
        <v>七通</v>
      </c>
      <c r="U34" s="2614"/>
      <c r="V34" s="2614"/>
    </row>
    <row r="35" spans="1:30">
      <c r="A35" s="2604"/>
      <c r="B35" s="3323" t="s">
        <v>2730</v>
      </c>
      <c r="C35" s="3323"/>
      <c r="D35" s="3323"/>
      <c r="E35" s="3323"/>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16"/>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5"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709" customWidth="1"/>
    <col min="2" max="2" width="10.25" style="1709" customWidth="1"/>
    <col min="3" max="3" width="13.62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A13</f>
        <v>47032</v>
      </c>
      <c r="B3" s="14">
        <f>IF(C3="否",G5-AT5,G5)</f>
        <v>8275.91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8275.91</v>
      </c>
      <c r="H5" s="16">
        <f t="shared" ref="H5:AT5" si="0">SUM(H13:H656)</f>
        <v>8275.91</v>
      </c>
      <c r="I5" s="16">
        <f t="shared" si="0"/>
        <v>8275.91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8275.91</v>
      </c>
      <c r="BA5" s="18">
        <f t="shared" si="1"/>
        <v>8275.91</v>
      </c>
      <c r="BB5" s="18">
        <f t="shared" si="1"/>
        <v>8275.91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47032</v>
      </c>
      <c r="F6" s="16" t="s">
        <v>1</v>
      </c>
      <c r="G6" s="16" t="s">
        <v>2</v>
      </c>
      <c r="H6" s="20">
        <f>SUMIF(I$12:AB$12,"总值",I6:AB6)</f>
        <v>47032</v>
      </c>
      <c r="I6" s="16">
        <f t="shared" ref="I6:AB6" si="2">ROUND($A$3*I5/$B$3,2)</f>
        <v>47032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47032</v>
      </c>
      <c r="AZ6" s="16" t="s">
        <v>3</v>
      </c>
      <c r="BA6" s="16">
        <f>ROUND($AY$6*BA5/$AZ$5,2)</f>
        <v>47032</v>
      </c>
      <c r="BB6" s="16">
        <f>ROUND($AY$6*BB5/$AZ$5,2)</f>
        <v>47032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ustomHeight="1">
      <c r="A13" s="1163">
        <f>清单!C37+清单!C38</f>
        <v>47032</v>
      </c>
      <c r="B13" s="1163"/>
      <c r="C13" s="1163" t="str">
        <f>清单!J37</f>
        <v>德胜门城楼</v>
      </c>
      <c r="D13" s="1761" t="s">
        <v>3278</v>
      </c>
      <c r="E13" s="16">
        <f>IF($C$3="是",ROUND($A$3*G13/$B$3,2),ROUND($A$3*(G13-AT13)/$B$3,2))</f>
        <v>41667.25</v>
      </c>
      <c r="F13" s="32"/>
      <c r="G13" s="33">
        <f>H13+AC13+AT13</f>
        <v>7331.91</v>
      </c>
      <c r="H13" s="20">
        <f>SUMIF(I$12:AB$12,"总值",I13:AB13)</f>
        <v>7331.91</v>
      </c>
      <c r="I13" s="1762">
        <f>清单!D37</f>
        <v>7331.91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47032</v>
      </c>
      <c r="AW13" s="11">
        <f t="shared" si="6"/>
        <v>0</v>
      </c>
      <c r="AX13" s="11" t="str">
        <f t="shared" si="6"/>
        <v>德胜门城楼</v>
      </c>
      <c r="AY13" s="1484">
        <f>ROUND($AY$6*AZ13/$AZ$5,2)</f>
        <v>41667.25</v>
      </c>
      <c r="AZ13" s="16">
        <f>BA13+BL13</f>
        <v>7331.91</v>
      </c>
      <c r="BA13" s="16">
        <f>SUM(BB13:BK13)</f>
        <v>7331.91</v>
      </c>
      <c r="BB13" s="16">
        <f>IF($D13="是",I13-J13,0)</f>
        <v>7331.91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ustomHeight="1">
      <c r="A14" s="13"/>
      <c r="B14" s="1163"/>
      <c r="C14" s="1163" t="str">
        <f>清单!J38</f>
        <v>高尔夫练习场</v>
      </c>
      <c r="D14" s="1761" t="s">
        <v>3278</v>
      </c>
      <c r="E14" s="16">
        <f>IF($C$3="是",ROUND($A$3*G14/$B$3,2),ROUND($A$3*(G14-AT14)/$B$3,2))</f>
        <v>2398.23</v>
      </c>
      <c r="F14" s="32"/>
      <c r="G14" s="33">
        <f>H14+AC14+AT14</f>
        <v>422</v>
      </c>
      <c r="H14" s="20">
        <f>SUMIF(I$12:AB$12,"总值",I14:AB14)</f>
        <v>422</v>
      </c>
      <c r="I14" s="1762">
        <f>清单!D38</f>
        <v>422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高尔夫练习场</v>
      </c>
      <c r="AY14" s="1484">
        <f>ROUND($AY$6*AZ14/$AZ$5,2)</f>
        <v>2398.23</v>
      </c>
      <c r="AZ14" s="16">
        <f>BA14+BL14</f>
        <v>422</v>
      </c>
      <c r="BA14" s="16">
        <f>SUM(BB14:BK14)</f>
        <v>422</v>
      </c>
      <c r="BB14" s="16">
        <f>IF($D14="是",I14-J14,0)</f>
        <v>422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ustomHeight="1">
      <c r="A15" s="1163"/>
      <c r="B15" s="1163"/>
      <c r="C15" s="1163" t="str">
        <f>清单!J39</f>
        <v>高尔夫球场办公房</v>
      </c>
      <c r="D15" s="1761" t="s">
        <v>3278</v>
      </c>
      <c r="E15" s="16">
        <f>IF($C$3="是",ROUND($A$3*G15/$B$3,2),ROUND($A$3*(G15-AT15)/$B$3,2))</f>
        <v>2966.53</v>
      </c>
      <c r="F15" s="32"/>
      <c r="G15" s="33">
        <f>H15+AC15+AT15</f>
        <v>522</v>
      </c>
      <c r="H15" s="20">
        <f>SUMIF(I$12:AB$12,"总值",I15:AB15)</f>
        <v>522</v>
      </c>
      <c r="I15" s="1762">
        <f>清单!D39</f>
        <v>522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高尔夫球场办公房</v>
      </c>
      <c r="AY15" s="1484">
        <f>ROUND($AY$6*AZ15/$AZ$5,2)</f>
        <v>2966.53</v>
      </c>
      <c r="AZ15" s="16">
        <f>BA15+BL15</f>
        <v>522</v>
      </c>
      <c r="BA15" s="16">
        <f>SUM(BB15:BK15)</f>
        <v>522</v>
      </c>
      <c r="BB15" s="16">
        <f>IF($D15="是",I15-J15,0)</f>
        <v>522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ustomHeight="1">
      <c r="A16" s="1163"/>
      <c r="B16" s="1163"/>
      <c r="C16" s="1163"/>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ustomHeight="1">
      <c r="A17" s="1163"/>
      <c r="B17" s="1163"/>
      <c r="C17" s="1163"/>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1163"/>
      <c r="D18" s="1761"/>
      <c r="E18" s="35">
        <f t="shared" ref="E18:E112" si="7">IF($C$3="是",ROUND($A$3*G18/$B$3,2),ROUND($A$3*(G18-AT18)/$B$3,2))</f>
        <v>0</v>
      </c>
      <c r="F18" s="36"/>
      <c r="G18" s="37">
        <f t="shared" ref="G18:G109" si="8">H18+AC18+AT18</f>
        <v>0</v>
      </c>
      <c r="H18" s="38">
        <f t="shared" ref="H18:H109" si="9">SUMIF(I$12:AB$12,"总值",I18:AB18)</f>
        <v>0</v>
      </c>
      <c r="I18" s="176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1163"/>
      <c r="D19" s="1761"/>
      <c r="E19" s="35">
        <f t="shared" si="7"/>
        <v>0</v>
      </c>
      <c r="F19" s="36"/>
      <c r="G19" s="37">
        <f t="shared" si="8"/>
        <v>0</v>
      </c>
      <c r="H19" s="38">
        <f t="shared" si="9"/>
        <v>0</v>
      </c>
      <c r="I19" s="176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163"/>
      <c r="D20" s="1761"/>
      <c r="E20" s="35">
        <f t="shared" si="7"/>
        <v>0</v>
      </c>
      <c r="F20" s="36"/>
      <c r="G20" s="37">
        <f t="shared" si="8"/>
        <v>0</v>
      </c>
      <c r="H20" s="38">
        <f t="shared" si="9"/>
        <v>0</v>
      </c>
      <c r="I20" s="176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1163"/>
      <c r="D21" s="1761"/>
      <c r="E21" s="35">
        <f t="shared" si="7"/>
        <v>0</v>
      </c>
      <c r="F21" s="36"/>
      <c r="G21" s="37">
        <f t="shared" si="8"/>
        <v>0</v>
      </c>
      <c r="H21" s="38">
        <f t="shared" si="9"/>
        <v>0</v>
      </c>
      <c r="I21" s="176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1163"/>
      <c r="D22" s="1761"/>
      <c r="E22" s="35">
        <f t="shared" si="7"/>
        <v>0</v>
      </c>
      <c r="F22" s="36"/>
      <c r="G22" s="37">
        <f t="shared" si="8"/>
        <v>0</v>
      </c>
      <c r="H22" s="38">
        <f t="shared" si="9"/>
        <v>0</v>
      </c>
      <c r="I22" s="176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1163"/>
      <c r="D23" s="1761"/>
      <c r="E23" s="35">
        <f t="shared" si="7"/>
        <v>0</v>
      </c>
      <c r="F23" s="36"/>
      <c r="G23" s="37">
        <f t="shared" si="8"/>
        <v>0</v>
      </c>
      <c r="H23" s="38">
        <f t="shared" si="9"/>
        <v>0</v>
      </c>
      <c r="I23" s="176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1163"/>
      <c r="D24" s="1761"/>
      <c r="E24" s="35">
        <f t="shared" si="7"/>
        <v>0</v>
      </c>
      <c r="F24" s="36"/>
      <c r="G24" s="37">
        <f t="shared" si="8"/>
        <v>0</v>
      </c>
      <c r="H24" s="38">
        <f t="shared" si="9"/>
        <v>0</v>
      </c>
      <c r="I24" s="176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1163"/>
      <c r="D25" s="1761"/>
      <c r="E25" s="35">
        <f t="shared" si="7"/>
        <v>0</v>
      </c>
      <c r="F25" s="36"/>
      <c r="G25" s="37">
        <f t="shared" si="8"/>
        <v>0</v>
      </c>
      <c r="H25" s="38">
        <f t="shared" si="9"/>
        <v>0</v>
      </c>
      <c r="I25" s="176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1163"/>
      <c r="D26" s="1761"/>
      <c r="E26" s="35">
        <f t="shared" si="7"/>
        <v>0</v>
      </c>
      <c r="F26" s="36"/>
      <c r="G26" s="37">
        <f t="shared" si="8"/>
        <v>0</v>
      </c>
      <c r="H26" s="38">
        <f t="shared" si="9"/>
        <v>0</v>
      </c>
      <c r="I26" s="176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1163"/>
      <c r="D27" s="1761"/>
      <c r="E27" s="35">
        <f t="shared" si="7"/>
        <v>0</v>
      </c>
      <c r="F27" s="36"/>
      <c r="G27" s="37">
        <f t="shared" si="8"/>
        <v>0</v>
      </c>
      <c r="H27" s="38">
        <f t="shared" si="9"/>
        <v>0</v>
      </c>
      <c r="I27" s="176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1163"/>
      <c r="D28" s="1761"/>
      <c r="E28" s="35">
        <f t="shared" si="7"/>
        <v>0</v>
      </c>
      <c r="F28" s="36"/>
      <c r="G28" s="37">
        <f t="shared" si="8"/>
        <v>0</v>
      </c>
      <c r="H28" s="38">
        <f t="shared" si="9"/>
        <v>0</v>
      </c>
      <c r="I28" s="176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1163"/>
      <c r="D29" s="1761"/>
      <c r="E29" s="35">
        <f t="shared" si="7"/>
        <v>0</v>
      </c>
      <c r="F29" s="36"/>
      <c r="G29" s="37">
        <f t="shared" si="8"/>
        <v>0</v>
      </c>
      <c r="H29" s="38">
        <f t="shared" si="9"/>
        <v>0</v>
      </c>
      <c r="I29" s="176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1163"/>
      <c r="D30" s="1761"/>
      <c r="E30" s="35">
        <f t="shared" si="7"/>
        <v>0</v>
      </c>
      <c r="F30" s="36"/>
      <c r="G30" s="37">
        <f t="shared" si="8"/>
        <v>0</v>
      </c>
      <c r="H30" s="38">
        <f t="shared" si="9"/>
        <v>0</v>
      </c>
      <c r="I30" s="176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1163"/>
      <c r="D31" s="1761"/>
      <c r="E31" s="35">
        <f t="shared" si="7"/>
        <v>0</v>
      </c>
      <c r="F31" s="36"/>
      <c r="G31" s="37">
        <f t="shared" si="8"/>
        <v>0</v>
      </c>
      <c r="H31" s="38">
        <f t="shared" si="9"/>
        <v>0</v>
      </c>
      <c r="I31" s="176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1163"/>
      <c r="D32" s="1761"/>
      <c r="E32" s="35">
        <f t="shared" si="7"/>
        <v>0</v>
      </c>
      <c r="F32" s="36"/>
      <c r="G32" s="37">
        <f t="shared" si="8"/>
        <v>0</v>
      </c>
      <c r="H32" s="38">
        <f t="shared" si="9"/>
        <v>0</v>
      </c>
      <c r="I32" s="176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1163"/>
      <c r="D33" s="1761"/>
      <c r="E33" s="35">
        <f t="shared" si="7"/>
        <v>0</v>
      </c>
      <c r="F33" s="36"/>
      <c r="G33" s="37">
        <f t="shared" si="8"/>
        <v>0</v>
      </c>
      <c r="H33" s="38">
        <f t="shared" si="9"/>
        <v>0</v>
      </c>
      <c r="I33" s="176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1163"/>
      <c r="D34" s="1761"/>
      <c r="E34" s="35">
        <f t="shared" si="7"/>
        <v>0</v>
      </c>
      <c r="F34" s="36"/>
      <c r="G34" s="37">
        <f t="shared" si="8"/>
        <v>0</v>
      </c>
      <c r="H34" s="38">
        <f t="shared" si="9"/>
        <v>0</v>
      </c>
      <c r="I34" s="176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1163"/>
      <c r="D35" s="1761"/>
      <c r="E35" s="35">
        <f t="shared" si="7"/>
        <v>0</v>
      </c>
      <c r="F35" s="36"/>
      <c r="G35" s="37">
        <f t="shared" si="8"/>
        <v>0</v>
      </c>
      <c r="H35" s="38">
        <f t="shared" si="9"/>
        <v>0</v>
      </c>
      <c r="I35" s="176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1163"/>
      <c r="D36" s="1761"/>
      <c r="E36" s="35">
        <f t="shared" si="7"/>
        <v>0</v>
      </c>
      <c r="F36" s="36"/>
      <c r="G36" s="37">
        <f t="shared" si="8"/>
        <v>0</v>
      </c>
      <c r="H36" s="38">
        <f t="shared" si="9"/>
        <v>0</v>
      </c>
      <c r="I36" s="176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1163"/>
      <c r="D37" s="1761"/>
      <c r="E37" s="35">
        <f t="shared" si="7"/>
        <v>0</v>
      </c>
      <c r="F37" s="36"/>
      <c r="G37" s="37">
        <f t="shared" si="8"/>
        <v>0</v>
      </c>
      <c r="H37" s="38">
        <f t="shared" si="9"/>
        <v>0</v>
      </c>
      <c r="I37" s="176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9"/>
      <c r="B38" s="34"/>
      <c r="C38" s="1163"/>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6" t="s">
        <v>0</v>
      </c>
      <c r="B1" s="3346" t="s">
        <v>4</v>
      </c>
      <c r="C1" s="3346" t="s">
        <v>5</v>
      </c>
      <c r="D1" s="3347" t="s">
        <v>53</v>
      </c>
      <c r="E1" s="3347" t="s">
        <v>54</v>
      </c>
      <c r="F1" s="3347"/>
      <c r="G1" s="3347"/>
      <c r="H1" s="3347"/>
      <c r="I1" s="3347"/>
      <c r="J1" s="3347"/>
      <c r="K1" s="3347"/>
      <c r="L1" s="3347"/>
      <c r="M1" s="3347"/>
    </row>
    <row r="2" spans="1:13" ht="27" customHeight="1">
      <c r="A2" s="3346"/>
      <c r="B2" s="3346"/>
      <c r="C2" s="3346"/>
      <c r="D2" s="3347"/>
      <c r="E2" s="3347" t="s">
        <v>37</v>
      </c>
      <c r="F2" s="3347" t="s">
        <v>38</v>
      </c>
      <c r="G2" s="3347"/>
      <c r="H2" s="3347"/>
      <c r="I2" s="3347"/>
      <c r="J2" s="3347" t="s">
        <v>39</v>
      </c>
      <c r="K2" s="3347"/>
      <c r="L2" s="3347"/>
      <c r="M2" s="3347"/>
    </row>
    <row r="3" spans="1:13" ht="28.5">
      <c r="A3" s="3346"/>
      <c r="B3" s="3346"/>
      <c r="C3" s="3346"/>
      <c r="D3" s="3347"/>
      <c r="E3" s="33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7" t="s">
        <v>55</v>
      </c>
      <c r="B9" s="3347"/>
      <c r="C9" s="33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B22" workbookViewId="0">
      <selection activeCell="C37" sqref="C37:C39"/>
    </sheetView>
  </sheetViews>
  <sheetFormatPr defaultColWidth="9" defaultRowHeight="13.5"/>
  <cols>
    <col min="1" max="1" width="16.75" style="3227" customWidth="1"/>
    <col min="2" max="2" width="31" style="3227" customWidth="1"/>
    <col min="3" max="3" width="27.125" style="3227" customWidth="1"/>
    <col min="4" max="4" width="17.75" style="3227" customWidth="1"/>
    <col min="5" max="6" width="17.75" style="3226" customWidth="1"/>
    <col min="7" max="8" width="9" style="3226"/>
    <col min="9" max="9" width="10.5" style="3226" bestFit="1" customWidth="1"/>
    <col min="10" max="10" width="18.75" style="3227" customWidth="1"/>
    <col min="11" max="16384" width="9" style="3227"/>
  </cols>
  <sheetData>
    <row r="2" spans="1:10">
      <c r="A2" s="3224" t="s">
        <v>3180</v>
      </c>
      <c r="B2" s="3348" t="s">
        <v>3181</v>
      </c>
      <c r="C2" s="3348"/>
      <c r="D2" s="3348"/>
      <c r="E2" s="3225"/>
      <c r="F2" s="3225"/>
    </row>
    <row r="3" spans="1:10" ht="27">
      <c r="A3" s="3228" t="s">
        <v>3182</v>
      </c>
      <c r="B3" s="3228" t="s">
        <v>3183</v>
      </c>
      <c r="C3" s="3228" t="s">
        <v>3184</v>
      </c>
      <c r="D3" s="3228" t="s">
        <v>3185</v>
      </c>
      <c r="E3" s="3228" t="s">
        <v>3186</v>
      </c>
      <c r="F3" s="3228" t="s">
        <v>3187</v>
      </c>
      <c r="G3" s="3229" t="s">
        <v>3188</v>
      </c>
      <c r="H3" s="3229" t="s">
        <v>3189</v>
      </c>
      <c r="I3" s="3229" t="s">
        <v>3190</v>
      </c>
      <c r="J3" s="3230" t="s">
        <v>3191</v>
      </c>
    </row>
    <row r="4" spans="1:10">
      <c r="A4" s="3349" t="s">
        <v>3192</v>
      </c>
      <c r="B4" s="3231" t="s">
        <v>3193</v>
      </c>
      <c r="C4" s="3349">
        <v>51912</v>
      </c>
      <c r="D4" s="3231">
        <v>2524.48</v>
      </c>
      <c r="E4" s="3231">
        <v>3</v>
      </c>
      <c r="F4" s="3231" t="s">
        <v>3194</v>
      </c>
      <c r="G4" s="3349" t="s">
        <v>3195</v>
      </c>
      <c r="H4" s="3231" t="s">
        <v>3196</v>
      </c>
      <c r="I4" s="3353">
        <v>48633</v>
      </c>
      <c r="J4" s="3232" t="s">
        <v>3197</v>
      </c>
    </row>
    <row r="5" spans="1:10">
      <c r="A5" s="3349"/>
      <c r="B5" s="3231" t="s">
        <v>3198</v>
      </c>
      <c r="C5" s="3349"/>
      <c r="D5" s="3231">
        <v>140028.32</v>
      </c>
      <c r="E5" s="3231">
        <v>17</v>
      </c>
      <c r="F5" s="3231" t="s">
        <v>3194</v>
      </c>
      <c r="G5" s="3349"/>
      <c r="H5" s="3231" t="s">
        <v>3199</v>
      </c>
      <c r="I5" s="3353"/>
      <c r="J5" s="3232" t="s">
        <v>3200</v>
      </c>
    </row>
    <row r="6" spans="1:10">
      <c r="A6" s="3231" t="s">
        <v>3201</v>
      </c>
      <c r="B6" s="3231"/>
      <c r="C6" s="3231">
        <f>SUM(C4)</f>
        <v>51912</v>
      </c>
      <c r="D6" s="3231">
        <f>SUM(D4)</f>
        <v>2524.48</v>
      </c>
      <c r="E6" s="3231"/>
      <c r="F6" s="3231"/>
      <c r="G6" s="3231"/>
      <c r="H6" s="3231"/>
      <c r="I6" s="3231"/>
      <c r="J6" s="3233"/>
    </row>
    <row r="11" spans="1:10">
      <c r="A11" s="3224" t="s">
        <v>3202</v>
      </c>
      <c r="B11" s="3348" t="s">
        <v>3203</v>
      </c>
      <c r="C11" s="3348"/>
      <c r="D11" s="3348"/>
    </row>
    <row r="12" spans="1:10" ht="27">
      <c r="A12" s="3228" t="s">
        <v>3204</v>
      </c>
      <c r="B12" s="3228" t="s">
        <v>3205</v>
      </c>
      <c r="C12" s="3228" t="s">
        <v>3206</v>
      </c>
      <c r="D12" s="3228" t="s">
        <v>3207</v>
      </c>
      <c r="E12" s="3228" t="s">
        <v>3208</v>
      </c>
      <c r="F12" s="3228" t="s">
        <v>3209</v>
      </c>
      <c r="G12" s="3229" t="s">
        <v>3210</v>
      </c>
      <c r="H12" s="3229" t="s">
        <v>3211</v>
      </c>
      <c r="I12" s="3229" t="s">
        <v>3212</v>
      </c>
      <c r="J12" s="3230" t="s">
        <v>3213</v>
      </c>
    </row>
    <row r="13" spans="1:10" ht="13.5" customHeight="1">
      <c r="A13" s="3354" t="s">
        <v>3214</v>
      </c>
      <c r="B13" s="3231" t="s">
        <v>3215</v>
      </c>
      <c r="C13" s="3349">
        <v>34944</v>
      </c>
      <c r="D13" s="3231">
        <v>69.56</v>
      </c>
      <c r="E13" s="3234"/>
      <c r="F13" s="3231" t="s">
        <v>3216</v>
      </c>
      <c r="G13" s="3354" t="s">
        <v>3217</v>
      </c>
      <c r="H13" s="3231" t="s">
        <v>3218</v>
      </c>
      <c r="I13" s="3357">
        <v>48633</v>
      </c>
      <c r="J13" s="3232" t="s">
        <v>3219</v>
      </c>
    </row>
    <row r="14" spans="1:10">
      <c r="A14" s="3355"/>
      <c r="B14" s="3231" t="s">
        <v>3220</v>
      </c>
      <c r="C14" s="3349"/>
      <c r="D14" s="3231">
        <v>69.56</v>
      </c>
      <c r="E14" s="3234"/>
      <c r="F14" s="3231" t="s">
        <v>3216</v>
      </c>
      <c r="G14" s="3355"/>
      <c r="H14" s="3231" t="s">
        <v>3218</v>
      </c>
      <c r="I14" s="3358"/>
      <c r="J14" s="3235"/>
    </row>
    <row r="15" spans="1:10">
      <c r="A15" s="3355"/>
      <c r="B15" s="3231" t="s">
        <v>3221</v>
      </c>
      <c r="C15" s="3349"/>
      <c r="D15" s="3231">
        <v>209.91</v>
      </c>
      <c r="E15" s="3231">
        <v>2</v>
      </c>
      <c r="F15" s="3231" t="s">
        <v>3216</v>
      </c>
      <c r="G15" s="3355"/>
      <c r="H15" s="3231" t="s">
        <v>3218</v>
      </c>
      <c r="I15" s="3358"/>
      <c r="J15" s="3232" t="s">
        <v>3222</v>
      </c>
    </row>
    <row r="16" spans="1:10">
      <c r="A16" s="3355"/>
      <c r="B16" s="3231" t="s">
        <v>3223</v>
      </c>
      <c r="C16" s="3349"/>
      <c r="D16" s="3231">
        <v>260.76</v>
      </c>
      <c r="E16" s="3231">
        <v>2</v>
      </c>
      <c r="F16" s="3231" t="s">
        <v>3216</v>
      </c>
      <c r="G16" s="3355"/>
      <c r="H16" s="3231" t="s">
        <v>3218</v>
      </c>
      <c r="I16" s="3358"/>
      <c r="J16" s="3232" t="s">
        <v>3224</v>
      </c>
    </row>
    <row r="17" spans="1:10">
      <c r="A17" s="3355"/>
      <c r="B17" s="3231" t="s">
        <v>3225</v>
      </c>
      <c r="C17" s="3349"/>
      <c r="D17" s="3231">
        <v>171.35</v>
      </c>
      <c r="E17" s="3231">
        <v>2</v>
      </c>
      <c r="F17" s="3231" t="s">
        <v>3216</v>
      </c>
      <c r="G17" s="3355"/>
      <c r="H17" s="3231" t="s">
        <v>3218</v>
      </c>
      <c r="I17" s="3358"/>
      <c r="J17" s="3235"/>
    </row>
    <row r="18" spans="1:10">
      <c r="A18" s="3355"/>
      <c r="B18" s="3231" t="s">
        <v>3226</v>
      </c>
      <c r="C18" s="3349"/>
      <c r="D18" s="3231">
        <v>407.78</v>
      </c>
      <c r="E18" s="3231">
        <v>2</v>
      </c>
      <c r="F18" s="3231" t="s">
        <v>3216</v>
      </c>
      <c r="G18" s="3355"/>
      <c r="H18" s="3231" t="s">
        <v>3218</v>
      </c>
      <c r="I18" s="3358"/>
      <c r="J18" s="3232" t="s">
        <v>3227</v>
      </c>
    </row>
    <row r="19" spans="1:10">
      <c r="A19" s="3355"/>
      <c r="B19" s="3231" t="s">
        <v>3228</v>
      </c>
      <c r="C19" s="3349"/>
      <c r="D19" s="3231">
        <v>342.14</v>
      </c>
      <c r="E19" s="3231">
        <v>2</v>
      </c>
      <c r="F19" s="3231" t="s">
        <v>3216</v>
      </c>
      <c r="G19" s="3355"/>
      <c r="H19" s="3231" t="s">
        <v>3218</v>
      </c>
      <c r="I19" s="3358"/>
      <c r="J19" s="3232" t="s">
        <v>3229</v>
      </c>
    </row>
    <row r="20" spans="1:10">
      <c r="A20" s="3355"/>
      <c r="B20" s="3231" t="s">
        <v>3230</v>
      </c>
      <c r="C20" s="3349"/>
      <c r="D20" s="3231">
        <v>675.82</v>
      </c>
      <c r="E20" s="3231">
        <v>3</v>
      </c>
      <c r="F20" s="3231" t="s">
        <v>3216</v>
      </c>
      <c r="G20" s="3355"/>
      <c r="H20" s="3231" t="s">
        <v>3218</v>
      </c>
      <c r="I20" s="3358"/>
      <c r="J20" s="3232" t="s">
        <v>3231</v>
      </c>
    </row>
    <row r="21" spans="1:10">
      <c r="A21" s="3355"/>
      <c r="B21" s="3231" t="s">
        <v>3232</v>
      </c>
      <c r="C21" s="3349"/>
      <c r="D21" s="3231">
        <v>226.67</v>
      </c>
      <c r="E21" s="3231">
        <v>2</v>
      </c>
      <c r="F21" s="3231" t="s">
        <v>3216</v>
      </c>
      <c r="G21" s="3355"/>
      <c r="H21" s="3231" t="s">
        <v>3218</v>
      </c>
      <c r="I21" s="3358"/>
      <c r="J21" s="3232" t="s">
        <v>3233</v>
      </c>
    </row>
    <row r="22" spans="1:10">
      <c r="A22" s="3355"/>
      <c r="B22" s="3231" t="s">
        <v>3234</v>
      </c>
      <c r="C22" s="3349"/>
      <c r="D22" s="3231">
        <v>40.020000000000003</v>
      </c>
      <c r="E22" s="3231">
        <v>1</v>
      </c>
      <c r="F22" s="3231" t="s">
        <v>3216</v>
      </c>
      <c r="G22" s="3355"/>
      <c r="H22" s="3231" t="s">
        <v>3218</v>
      </c>
      <c r="I22" s="3358"/>
      <c r="J22" s="3232" t="s">
        <v>3235</v>
      </c>
    </row>
    <row r="23" spans="1:10">
      <c r="A23" s="3355"/>
      <c r="B23" s="3231" t="s">
        <v>3236</v>
      </c>
      <c r="C23" s="3349"/>
      <c r="D23" s="3231">
        <v>175.7</v>
      </c>
      <c r="E23" s="3231">
        <v>2</v>
      </c>
      <c r="F23" s="3231" t="s">
        <v>3216</v>
      </c>
      <c r="G23" s="3355"/>
      <c r="H23" s="3231" t="s">
        <v>3218</v>
      </c>
      <c r="I23" s="3358"/>
      <c r="J23" s="3232" t="s">
        <v>3237</v>
      </c>
    </row>
    <row r="24" spans="1:10">
      <c r="A24" s="3355"/>
      <c r="B24" s="3231" t="s">
        <v>3238</v>
      </c>
      <c r="C24" s="3349"/>
      <c r="D24" s="3231">
        <v>74.489999999999995</v>
      </c>
      <c r="E24" s="3231">
        <v>1</v>
      </c>
      <c r="F24" s="3231" t="s">
        <v>3216</v>
      </c>
      <c r="G24" s="3355"/>
      <c r="H24" s="3231" t="s">
        <v>3218</v>
      </c>
      <c r="I24" s="3358"/>
      <c r="J24" s="3232" t="s">
        <v>3239</v>
      </c>
    </row>
    <row r="25" spans="1:10">
      <c r="A25" s="3355"/>
      <c r="B25" s="3231" t="s">
        <v>3240</v>
      </c>
      <c r="C25" s="3349"/>
      <c r="D25" s="3231">
        <v>104.35</v>
      </c>
      <c r="E25" s="3231">
        <v>1</v>
      </c>
      <c r="F25" s="3231" t="s">
        <v>3216</v>
      </c>
      <c r="G25" s="3355"/>
      <c r="H25" s="3231" t="s">
        <v>3218</v>
      </c>
      <c r="I25" s="3358"/>
      <c r="J25" s="3232" t="s">
        <v>3241</v>
      </c>
    </row>
    <row r="26" spans="1:10">
      <c r="A26" s="3355"/>
      <c r="B26" s="3231" t="s">
        <v>3242</v>
      </c>
      <c r="C26" s="3349"/>
      <c r="D26" s="3231">
        <v>84.37</v>
      </c>
      <c r="E26" s="3231">
        <v>2</v>
      </c>
      <c r="F26" s="3231" t="s">
        <v>3216</v>
      </c>
      <c r="G26" s="3355"/>
      <c r="H26" s="3231" t="s">
        <v>3218</v>
      </c>
      <c r="I26" s="3358"/>
      <c r="J26" s="3232" t="s">
        <v>3243</v>
      </c>
    </row>
    <row r="27" spans="1:10">
      <c r="A27" s="3355"/>
      <c r="B27" s="3231" t="s">
        <v>3244</v>
      </c>
      <c r="C27" s="3349"/>
      <c r="D27" s="3231">
        <v>641.46</v>
      </c>
      <c r="E27" s="3231">
        <v>3</v>
      </c>
      <c r="F27" s="3231" t="s">
        <v>3216</v>
      </c>
      <c r="G27" s="3355"/>
      <c r="H27" s="3231" t="s">
        <v>3218</v>
      </c>
      <c r="I27" s="3358"/>
      <c r="J27" s="3232" t="s">
        <v>3245</v>
      </c>
    </row>
    <row r="28" spans="1:10">
      <c r="A28" s="3355"/>
      <c r="B28" s="3231" t="s">
        <v>3246</v>
      </c>
      <c r="C28" s="3349"/>
      <c r="D28" s="3231">
        <v>276.52999999999997</v>
      </c>
      <c r="E28" s="3231">
        <v>2</v>
      </c>
      <c r="F28" s="3231" t="s">
        <v>3216</v>
      </c>
      <c r="G28" s="3355"/>
      <c r="H28" s="3231" t="s">
        <v>3218</v>
      </c>
      <c r="I28" s="3358"/>
      <c r="J28" s="3232" t="s">
        <v>3247</v>
      </c>
    </row>
    <row r="29" spans="1:10">
      <c r="A29" s="3355"/>
      <c r="B29" s="3231" t="s">
        <v>3248</v>
      </c>
      <c r="C29" s="3349"/>
      <c r="D29" s="3231">
        <v>44.63</v>
      </c>
      <c r="E29" s="3231">
        <v>1</v>
      </c>
      <c r="F29" s="3231" t="s">
        <v>3216</v>
      </c>
      <c r="G29" s="3355"/>
      <c r="H29" s="3231" t="s">
        <v>3218</v>
      </c>
      <c r="I29" s="3358"/>
      <c r="J29" s="3232" t="s">
        <v>3249</v>
      </c>
    </row>
    <row r="30" spans="1:10">
      <c r="A30" s="3355"/>
      <c r="B30" s="3231" t="s">
        <v>3250</v>
      </c>
      <c r="C30" s="3349"/>
      <c r="D30" s="3231">
        <v>72.89</v>
      </c>
      <c r="E30" s="3231">
        <v>1</v>
      </c>
      <c r="F30" s="3231" t="s">
        <v>3216</v>
      </c>
      <c r="G30" s="3355"/>
      <c r="H30" s="3231" t="s">
        <v>3218</v>
      </c>
      <c r="I30" s="3358"/>
      <c r="J30" s="3232" t="s">
        <v>3251</v>
      </c>
    </row>
    <row r="31" spans="1:10">
      <c r="A31" s="3355"/>
      <c r="B31" s="3231" t="s">
        <v>3252</v>
      </c>
      <c r="C31" s="3349"/>
      <c r="D31" s="3231">
        <v>155.77000000000001</v>
      </c>
      <c r="E31" s="3231">
        <v>2</v>
      </c>
      <c r="F31" s="3231" t="s">
        <v>3216</v>
      </c>
      <c r="G31" s="3355"/>
      <c r="H31" s="3231" t="s">
        <v>3218</v>
      </c>
      <c r="I31" s="3358"/>
      <c r="J31" s="3232" t="s">
        <v>3253</v>
      </c>
    </row>
    <row r="32" spans="1:10">
      <c r="A32" s="3355"/>
      <c r="B32" s="3231" t="s">
        <v>3254</v>
      </c>
      <c r="C32" s="3349"/>
      <c r="D32" s="3231">
        <v>1228.42</v>
      </c>
      <c r="E32" s="3231">
        <v>2</v>
      </c>
      <c r="F32" s="3231" t="s">
        <v>3216</v>
      </c>
      <c r="G32" s="3355"/>
      <c r="H32" s="3231" t="s">
        <v>3218</v>
      </c>
      <c r="I32" s="3358"/>
      <c r="J32" s="3232" t="s">
        <v>3255</v>
      </c>
    </row>
    <row r="33" spans="1:10">
      <c r="A33" s="3355"/>
      <c r="B33" s="3231" t="s">
        <v>3256</v>
      </c>
      <c r="C33" s="3349"/>
      <c r="D33" s="3231">
        <v>1228.42</v>
      </c>
      <c r="E33" s="3231">
        <v>2</v>
      </c>
      <c r="F33" s="3231" t="s">
        <v>3216</v>
      </c>
      <c r="G33" s="3355"/>
      <c r="H33" s="3231" t="s">
        <v>3218</v>
      </c>
      <c r="I33" s="3358"/>
      <c r="J33" s="3232" t="s">
        <v>3257</v>
      </c>
    </row>
    <row r="34" spans="1:10">
      <c r="A34" s="3355"/>
      <c r="B34" s="3231" t="s">
        <v>3258</v>
      </c>
      <c r="C34" s="3349"/>
      <c r="D34" s="3231">
        <v>749.23</v>
      </c>
      <c r="E34" s="3231">
        <v>3</v>
      </c>
      <c r="F34" s="3231" t="s">
        <v>3216</v>
      </c>
      <c r="G34" s="3355"/>
      <c r="H34" s="3231" t="s">
        <v>3218</v>
      </c>
      <c r="I34" s="3358"/>
      <c r="J34" s="3232" t="s">
        <v>3259</v>
      </c>
    </row>
    <row r="35" spans="1:10">
      <c r="A35" s="3355"/>
      <c r="B35" s="3231" t="s">
        <v>3260</v>
      </c>
      <c r="C35" s="3349"/>
      <c r="D35" s="3231">
        <v>5193.3599999999997</v>
      </c>
      <c r="E35" s="3231">
        <v>6</v>
      </c>
      <c r="F35" s="3231" t="s">
        <v>3216</v>
      </c>
      <c r="G35" s="3355"/>
      <c r="H35" s="3231" t="s">
        <v>3218</v>
      </c>
      <c r="I35" s="3358"/>
      <c r="J35" s="3232" t="s">
        <v>3261</v>
      </c>
    </row>
    <row r="36" spans="1:10">
      <c r="A36" s="3356"/>
      <c r="B36" s="3231" t="s">
        <v>3262</v>
      </c>
      <c r="C36" s="3349"/>
      <c r="D36" s="3231">
        <v>112.68</v>
      </c>
      <c r="E36" s="3231">
        <v>1</v>
      </c>
      <c r="F36" s="3231" t="s">
        <v>3216</v>
      </c>
      <c r="G36" s="3356"/>
      <c r="H36" s="3231" t="s">
        <v>3218</v>
      </c>
      <c r="I36" s="3359"/>
      <c r="J36" s="3232" t="s">
        <v>3263</v>
      </c>
    </row>
    <row r="37" spans="1:10" s="3266" customFormat="1" ht="27">
      <c r="A37" s="3262" t="s">
        <v>3264</v>
      </c>
      <c r="B37" s="3262" t="s">
        <v>3265</v>
      </c>
      <c r="C37" s="3263">
        <v>5213</v>
      </c>
      <c r="D37" s="3263">
        <v>7331.91</v>
      </c>
      <c r="E37" s="3262">
        <v>6</v>
      </c>
      <c r="F37" s="3262" t="s">
        <v>3216</v>
      </c>
      <c r="G37" s="3262" t="s">
        <v>3217</v>
      </c>
      <c r="H37" s="3262" t="s">
        <v>3218</v>
      </c>
      <c r="I37" s="3264">
        <v>52775</v>
      </c>
      <c r="J37" s="3265" t="s">
        <v>3266</v>
      </c>
    </row>
    <row r="38" spans="1:10" s="3266" customFormat="1" ht="27">
      <c r="A38" s="3350" t="s">
        <v>3267</v>
      </c>
      <c r="B38" s="3262" t="s">
        <v>3268</v>
      </c>
      <c r="C38" s="3352">
        <v>41819</v>
      </c>
      <c r="D38" s="3263">
        <v>422</v>
      </c>
      <c r="E38" s="3262">
        <v>1</v>
      </c>
      <c r="F38" s="3262" t="s">
        <v>3216</v>
      </c>
      <c r="G38" s="3262" t="s">
        <v>3217</v>
      </c>
      <c r="H38" s="3262" t="s">
        <v>3218</v>
      </c>
      <c r="I38" s="3264">
        <v>52775</v>
      </c>
      <c r="J38" s="3265" t="s">
        <v>3269</v>
      </c>
    </row>
    <row r="39" spans="1:10" s="3266" customFormat="1">
      <c r="A39" s="3351"/>
      <c r="B39" s="3262" t="s">
        <v>3270</v>
      </c>
      <c r="C39" s="3352"/>
      <c r="D39" s="3263">
        <v>522</v>
      </c>
      <c r="E39" s="3262">
        <v>1</v>
      </c>
      <c r="F39" s="3262" t="s">
        <v>3216</v>
      </c>
      <c r="G39" s="3262"/>
      <c r="H39" s="3262" t="s">
        <v>3218</v>
      </c>
      <c r="I39" s="3262"/>
      <c r="J39" s="3265" t="s">
        <v>3271</v>
      </c>
    </row>
    <row r="40" spans="1:10" ht="27">
      <c r="A40" s="3231" t="s">
        <v>3272</v>
      </c>
      <c r="B40" s="3231" t="s">
        <v>3273</v>
      </c>
      <c r="C40" s="3236">
        <v>16953</v>
      </c>
      <c r="D40" s="3236">
        <v>12979.84</v>
      </c>
      <c r="E40" s="3234"/>
      <c r="F40" s="3231" t="s">
        <v>3274</v>
      </c>
      <c r="G40" s="3231" t="s">
        <v>3217</v>
      </c>
      <c r="H40" s="3231" t="s">
        <v>3218</v>
      </c>
      <c r="I40" s="3237">
        <v>48633</v>
      </c>
      <c r="J40" s="3233" t="s">
        <v>3559</v>
      </c>
    </row>
    <row r="41" spans="1:10">
      <c r="A41" s="3236" t="s">
        <v>3275</v>
      </c>
      <c r="B41" s="3236"/>
      <c r="C41" s="3236">
        <f>SUM(C13:C40)</f>
        <v>98929</v>
      </c>
      <c r="D41" s="3236">
        <f>SUM(D13:D40)</f>
        <v>33871.619999999995</v>
      </c>
      <c r="E41" s="3231"/>
      <c r="F41" s="3231"/>
      <c r="G41" s="3231"/>
      <c r="H41" s="3231"/>
      <c r="I41" s="3231"/>
      <c r="J41" s="3233"/>
    </row>
  </sheetData>
  <dataConsolidate/>
  <mergeCells count="12">
    <mergeCell ref="I4:I5"/>
    <mergeCell ref="A13:A36"/>
    <mergeCell ref="C13:C36"/>
    <mergeCell ref="G13:G36"/>
    <mergeCell ref="I13:I36"/>
    <mergeCell ref="B11:D11"/>
    <mergeCell ref="B2:D2"/>
    <mergeCell ref="A4:A5"/>
    <mergeCell ref="C4:C5"/>
    <mergeCell ref="G4:G5"/>
    <mergeCell ref="A38:A39"/>
    <mergeCell ref="C38:C3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69" t="s">
        <v>1576</v>
      </c>
      <c r="B2" s="3369"/>
      <c r="C2" s="3369"/>
      <c r="D2" s="885" t="s">
        <v>1552</v>
      </c>
      <c r="E2" s="1775" t="s">
        <v>1553</v>
      </c>
      <c r="F2" s="2832"/>
      <c r="G2" s="2823"/>
      <c r="H2" s="2824"/>
      <c r="I2" s="2498" t="s">
        <v>1577</v>
      </c>
      <c r="J2" s="2832"/>
      <c r="K2" s="2832"/>
      <c r="L2" s="2832"/>
      <c r="M2" s="2832"/>
      <c r="N2" s="2834"/>
      <c r="O2" s="2832"/>
      <c r="P2" s="2832"/>
    </row>
    <row r="3" spans="1:16" ht="15.75" thickBot="1">
      <c r="A3" s="3370" t="s">
        <v>1550</v>
      </c>
      <c r="B3" s="3370"/>
      <c r="C3" s="3370"/>
      <c r="D3" s="46">
        <f>'数据-基础表'!AY6</f>
        <v>47032</v>
      </c>
      <c r="E3" s="46">
        <f>'数据-基础表'!AZ5</f>
        <v>8275.91</v>
      </c>
      <c r="F3" s="2832"/>
      <c r="G3" s="1260"/>
      <c r="H3" s="1138" t="s">
        <v>1551</v>
      </c>
      <c r="I3" s="945">
        <f>ROUND('数据-基础表'!B3/'数据-基础表'!A3,2)</f>
        <v>0.18</v>
      </c>
      <c r="J3" s="2832"/>
      <c r="K3" s="2832"/>
      <c r="L3" s="2832"/>
      <c r="M3" s="2832"/>
      <c r="N3" s="2834"/>
      <c r="O3" s="2832"/>
      <c r="P3" s="2832"/>
    </row>
    <row r="4" spans="1:16" ht="15">
      <c r="A4" s="3371"/>
      <c r="B4" s="3372"/>
      <c r="C4" s="3373"/>
      <c r="D4" s="1777" t="s">
        <v>1552</v>
      </c>
      <c r="E4" s="1778" t="s">
        <v>1553</v>
      </c>
      <c r="F4" s="2832"/>
      <c r="G4" s="2825" t="s">
        <v>1578</v>
      </c>
      <c r="H4" s="1138" t="s">
        <v>1558</v>
      </c>
      <c r="I4" s="945">
        <f>ROUND(SUMIF('数据-基础表'!I9:AS9,"地上",'数据-基础表'!I5:AS5)/'数据-基础表'!A3,2)</f>
        <v>0.18</v>
      </c>
      <c r="J4" s="2832"/>
      <c r="K4" s="2832"/>
      <c r="L4" s="2832"/>
      <c r="M4" s="2832"/>
      <c r="N4" s="2834"/>
      <c r="O4" s="2832"/>
      <c r="P4" s="2832"/>
    </row>
    <row r="5" spans="1:16">
      <c r="A5" s="47" t="s">
        <v>1554</v>
      </c>
      <c r="B5" s="3374" t="s">
        <v>1555</v>
      </c>
      <c r="C5" s="3374"/>
      <c r="D5" s="48">
        <f>ROUND($D$3*E5/$E$3,2)</f>
        <v>0</v>
      </c>
      <c r="E5" s="49">
        <f>SUMIF('数据-基础表'!$11:$11,"住宅",'数据-基础表'!$5:$5)</f>
        <v>0</v>
      </c>
      <c r="F5" s="2832"/>
      <c r="G5" s="1260"/>
      <c r="H5" s="1138" t="s">
        <v>1551</v>
      </c>
      <c r="I5" s="945">
        <f>ROUND(E31/D31,2)</f>
        <v>0.18</v>
      </c>
      <c r="J5" s="2832"/>
      <c r="K5" s="2832"/>
      <c r="L5" s="2832"/>
      <c r="M5" s="2832"/>
      <c r="N5" s="2832"/>
      <c r="O5" s="2832"/>
      <c r="P5" s="2832"/>
    </row>
    <row r="6" spans="1:16" ht="15" thickBot="1">
      <c r="A6" s="1780"/>
      <c r="B6" s="3374" t="s">
        <v>1556</v>
      </c>
      <c r="C6" s="3374"/>
      <c r="D6" s="48">
        <f>ROUND($D$3*E6/$E$3,2)</f>
        <v>47032</v>
      </c>
      <c r="E6" s="49">
        <f>E3-E5</f>
        <v>8275.91</v>
      </c>
      <c r="F6" s="2832"/>
      <c r="G6" s="2826" t="s">
        <v>1557</v>
      </c>
      <c r="H6" s="1261" t="s">
        <v>1558</v>
      </c>
      <c r="I6" s="2827">
        <f>ROUND(F31/D31,2)</f>
        <v>0.18</v>
      </c>
      <c r="J6" s="2832"/>
      <c r="K6" s="2832"/>
      <c r="L6" s="2832"/>
      <c r="M6" s="2832"/>
      <c r="N6" s="2832"/>
      <c r="O6" s="2832"/>
      <c r="P6" s="2832"/>
    </row>
    <row r="7" spans="1:16" ht="15.75" thickBot="1">
      <c r="A7" s="3366"/>
      <c r="B7" s="3367"/>
      <c r="C7" s="3368"/>
      <c r="D7" s="1777" t="s">
        <v>1552</v>
      </c>
      <c r="E7" s="1781" t="s">
        <v>1559</v>
      </c>
      <c r="F7" s="2832"/>
      <c r="G7" s="2828" t="s">
        <v>1560</v>
      </c>
      <c r="H7" s="2829"/>
      <c r="I7" s="2830"/>
      <c r="J7" s="2832"/>
      <c r="K7" s="2832"/>
      <c r="L7" s="2832"/>
      <c r="M7" s="2832"/>
      <c r="N7" s="2832"/>
      <c r="O7" s="2832"/>
      <c r="P7" s="2832"/>
    </row>
    <row r="8" spans="1:16">
      <c r="A8" s="47" t="s">
        <v>1561</v>
      </c>
      <c r="B8" s="50" t="s">
        <v>1562</v>
      </c>
      <c r="C8" s="48" t="s">
        <v>1563</v>
      </c>
      <c r="D8" s="48">
        <f t="shared" ref="D8:D15" si="0">ROUND($D$3*E8/$E$3,2)</f>
        <v>47032</v>
      </c>
      <c r="E8" s="51">
        <f>SUMIF('数据-基础表'!BB10:BK10,"地上",'数据-基础表'!BB5:BK5)</f>
        <v>8275.91</v>
      </c>
      <c r="F8" s="2832"/>
      <c r="G8" s="2833"/>
      <c r="H8" s="2833"/>
      <c r="I8" s="2832"/>
      <c r="J8" s="2832"/>
      <c r="K8" s="2832"/>
      <c r="L8" s="2832"/>
      <c r="M8" s="2832"/>
      <c r="N8" s="2832"/>
      <c r="O8" s="2832"/>
      <c r="P8" s="2832"/>
    </row>
    <row r="9" spans="1:16">
      <c r="A9" s="1782"/>
      <c r="B9" s="1783"/>
      <c r="C9" s="48" t="s">
        <v>1564</v>
      </c>
      <c r="D9" s="48">
        <f t="shared" si="0"/>
        <v>0</v>
      </c>
      <c r="E9" s="52">
        <v>0</v>
      </c>
      <c r="F9" s="2832"/>
      <c r="G9" s="2833"/>
      <c r="H9" s="2833"/>
      <c r="I9" s="2832"/>
      <c r="J9" s="2832"/>
      <c r="K9" s="2832"/>
      <c r="L9" s="2832"/>
      <c r="M9" s="2832"/>
      <c r="N9" s="2832"/>
      <c r="O9" s="2832"/>
      <c r="P9" s="2832"/>
    </row>
    <row r="10" spans="1:16">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1568</v>
      </c>
      <c r="D16" s="50">
        <f>SUM(D8:D15)</f>
        <v>47032</v>
      </c>
      <c r="E16" s="53">
        <f>SUM(E8:E15)</f>
        <v>8275.91</v>
      </c>
      <c r="F16" s="2832"/>
      <c r="G16" s="2833"/>
      <c r="H16" s="1784" t="s">
        <v>1580</v>
      </c>
      <c r="I16" s="1785"/>
      <c r="J16" s="1254"/>
      <c r="K16" s="3363" t="s">
        <v>1580</v>
      </c>
      <c r="L16" s="3364"/>
      <c r="M16" s="3364"/>
      <c r="N16" s="3364"/>
      <c r="O16" s="3364"/>
      <c r="P16" s="3365"/>
    </row>
    <row r="17" spans="1:19" ht="15">
      <c r="A17" s="1786" t="s">
        <v>1581</v>
      </c>
      <c r="B17" s="1787" t="s">
        <v>1582</v>
      </c>
      <c r="C17" s="1788" t="s">
        <v>1583</v>
      </c>
      <c r="D17" s="1789" t="s">
        <v>1571</v>
      </c>
      <c r="E17" s="1790" t="s">
        <v>1572</v>
      </c>
      <c r="F17" s="1791"/>
      <c r="G17" s="1792"/>
      <c r="H17" s="1793" t="s">
        <v>1584</v>
      </c>
      <c r="I17" s="1794" t="s">
        <v>1569</v>
      </c>
      <c r="J17" s="1254"/>
      <c r="K17" s="3360" t="s">
        <v>1585</v>
      </c>
      <c r="L17" s="3361"/>
      <c r="M17" s="3362"/>
      <c r="N17" s="3360" t="s">
        <v>1586</v>
      </c>
      <c r="O17" s="3361"/>
      <c r="P17" s="3362"/>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3565</v>
      </c>
      <c r="D19" s="48">
        <f>ROUND($D$3*E19/$E$3,2)</f>
        <v>47032</v>
      </c>
      <c r="E19" s="56">
        <f t="shared" ref="E19:E26" si="1">SUM(F19:G19)</f>
        <v>8275.91</v>
      </c>
      <c r="F19" s="2971">
        <f>'数据-基础表'!I5</f>
        <v>8275.91</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47032</v>
      </c>
      <c r="S19" s="1139">
        <f t="shared" si="5"/>
        <v>8275.91</v>
      </c>
    </row>
    <row r="20" spans="1:19">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47032</v>
      </c>
      <c r="E27" s="1256">
        <f>IF(SUM(E19:E26)='数据-基础表'!BA5,SUM(E19:E26),IF(F27="地上面积有误","面积有误","地下面积有误"))</f>
        <v>8275.91</v>
      </c>
      <c r="F27" s="1255">
        <f>IF(SUM(F19:F26)=E8,SUM(F19:F26),"地上面积有误")</f>
        <v>8275.91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47032</v>
      </c>
      <c r="S27" s="1138">
        <f>IF(SUM(S19:S26)=$E$3,SUM(S19:S26),SUM(S19:S26)&amp;"误差"&amp;ROUND(SUM(S19:S26)-E3,2))</f>
        <v>8275.91</v>
      </c>
    </row>
    <row r="28" spans="1:19">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1603</v>
      </c>
      <c r="D31" s="685">
        <f>D27+D30</f>
        <v>47032</v>
      </c>
      <c r="E31" s="685">
        <f>E27+E30</f>
        <v>8275.91</v>
      </c>
      <c r="F31" s="686">
        <f>F27+F30</f>
        <v>8275.91</v>
      </c>
      <c r="G31" s="687">
        <f>G27+G30</f>
        <v>0</v>
      </c>
      <c r="H31" s="2832"/>
      <c r="I31" s="2832"/>
      <c r="J31" s="2832"/>
      <c r="K31" s="2832"/>
      <c r="L31" s="2832"/>
      <c r="M31" s="2832"/>
      <c r="N31" s="2832"/>
      <c r="O31" s="2832"/>
      <c r="P31" s="2832"/>
    </row>
    <row r="32" spans="1:19">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23" sqref="P23"/>
    </sheetView>
  </sheetViews>
  <sheetFormatPr defaultColWidth="13.75" defaultRowHeight="12.75"/>
  <cols>
    <col min="1" max="1" width="20.875" style="1881" customWidth="1"/>
    <col min="2" max="2" width="12" style="1819" customWidth="1"/>
    <col min="3" max="3" width="12.75" style="1819" customWidth="1"/>
    <col min="4" max="4" width="9.125" style="1882"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7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德胜门高尔夫</v>
      </c>
      <c r="B6" s="1850" t="str">
        <f>IF(A6=0,"","经营性")</f>
        <v>经营性</v>
      </c>
      <c r="C6" s="1851" t="s">
        <v>1102</v>
      </c>
      <c r="D6" s="948">
        <f>SUMIF(项目基本情况!D$12:I$12,C6,项目基本情况!D$14:I$14)</f>
        <v>40</v>
      </c>
      <c r="E6" s="947">
        <f>IF(B6="","",SUMIF(项目基本情况!D$12:I$12,C6,项目基本情况!D$13:I$13))</f>
        <v>52775</v>
      </c>
      <c r="F6" s="68">
        <f>SUMIF(项目基本情况!D$12:I$12,C6,项目基本情况!D$15:I$15)</f>
        <v>21.64</v>
      </c>
      <c r="G6" s="69">
        <f>IF(ISERROR(ROUND(POWER(1+H6,D6-F6)*(POWER(1+H6,F6)-1)/(POWER(1+H6,D6)-1),3)),0,ROUND(POWER(1+H6,D6-F6)*(POWER(1+H6,F6)-1)/(POWER(1+H6,D6)-1),3))</f>
        <v>0.76</v>
      </c>
      <c r="H6" s="741">
        <v>0.05</v>
      </c>
      <c r="I6" s="741">
        <v>5.5E-2</v>
      </c>
      <c r="J6" s="70">
        <v>8.5000000000000006E-2</v>
      </c>
      <c r="K6" s="1142">
        <f>SUMIF('数据-汇总表'!C$19:C$33,A6,'数据-汇总表'!E$19:E$33)</f>
        <v>8275.91</v>
      </c>
      <c r="L6" s="742">
        <v>4000</v>
      </c>
      <c r="M6" s="71">
        <f t="shared" ref="M6:M14" si="0">ROUND(K6*L6/10000,0)</f>
        <v>3310</v>
      </c>
      <c r="N6" s="740">
        <f>(N18+N19)/2</f>
        <v>0.7</v>
      </c>
      <c r="O6" s="71" t="str">
        <f>IF($N$5="成新度","——",ROUND(M6*N6,0))</f>
        <v>——</v>
      </c>
      <c r="P6" s="72" t="str">
        <f>IF($N$5="成新度","——",M6-O6)</f>
        <v>——</v>
      </c>
      <c r="Q6" s="743">
        <v>0.15</v>
      </c>
      <c r="R6" s="73">
        <f ca="1">SUMIF('数据-汇总表'!C$19:C$33,A6,'数据-汇总表'!R$19:R$27)</f>
        <v>47032</v>
      </c>
      <c r="S6" s="54">
        <f>IF('数据-汇总表'!$I$17="按面积比例",SUMIF('数据-汇总表'!C$19:C$33,A6,'数据-汇总表'!K$19:K$33),SUMIF('数据-汇总表'!C$19:C$33,A6,'数据-汇总表'!N$19:N$33))</f>
        <v>0</v>
      </c>
      <c r="T6" s="1287">
        <f>ROUND($L$14*S6/10000,0)</f>
        <v>0</v>
      </c>
      <c r="U6" s="74">
        <v>0.7</v>
      </c>
      <c r="V6" s="75">
        <v>0</v>
      </c>
      <c r="W6" s="75">
        <v>0.15</v>
      </c>
      <c r="X6" s="1152"/>
      <c r="Y6" s="76">
        <f>N6</f>
        <v>0.7</v>
      </c>
      <c r="Z6" s="77"/>
      <c r="AA6" s="70"/>
      <c r="AB6" s="70"/>
      <c r="AC6" s="1152"/>
      <c r="AD6" s="78"/>
      <c r="AE6" s="1153">
        <f ca="1">IF(AN6="",0,SUMIF(INDIRECT("'"&amp;AN6&amp;"'"&amp;"!E:E"),$AE$5,INDIRECT("'"&amp;AN6&amp;"'"&amp;"!F:F")))</f>
        <v>21.64</v>
      </c>
      <c r="AF6" s="1483"/>
      <c r="AG6" s="143">
        <f>IF(AF6="",0,AE6-AF6)</f>
        <v>0</v>
      </c>
      <c r="AH6" s="79"/>
      <c r="AI6" s="81">
        <v>365</v>
      </c>
      <c r="AJ6" s="82"/>
      <c r="AK6" s="83">
        <v>0.01</v>
      </c>
      <c r="AL6" s="84">
        <v>1E-3</v>
      </c>
      <c r="AM6" s="85">
        <v>0.01</v>
      </c>
      <c r="AN6" s="1852" t="s">
        <v>3560</v>
      </c>
      <c r="AO6" s="55">
        <f ca="1">SUMIF(INDIRECT("'"&amp;AN6&amp;"'"&amp;"!A:A"),"总价",INDIRECT("'"&amp;AN6&amp;"'"&amp;"!B:B"))</f>
        <v>1035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v>
      </c>
      <c r="H16" s="95">
        <f>ROUND(SUMPRODUCT(H6:H13,K6:K13)/SUMPRODUCT((H6:H13&gt;0)*(K6:K13)),3)</f>
        <v>0.05</v>
      </c>
      <c r="I16" s="96"/>
      <c r="J16" s="96"/>
      <c r="K16" s="97">
        <f>SUM(K6:K15)</f>
        <v>8275.91</v>
      </c>
      <c r="L16" s="98">
        <f>ROUND(M16*10000/SUM(K6:K14),0)</f>
        <v>4000</v>
      </c>
      <c r="M16" s="98">
        <f>SUM(M6:M14)</f>
        <v>3310</v>
      </c>
      <c r="N16" s="99">
        <f>ROUND(SUMPRODUCT(M6:M14,N6:N14)/M16,3)</f>
        <v>0.7</v>
      </c>
      <c r="O16" s="98">
        <f>SUM(O6:O14)</f>
        <v>0</v>
      </c>
      <c r="P16" s="98">
        <f>SUM(P6:P14)</f>
        <v>0</v>
      </c>
      <c r="Q16" s="100">
        <f>ROUND(SUMPRODUCT(Q6:Q13,K6:K13)/SUMPRODUCT((Q6:Q13&gt;0)*(K6:K13)),2)</f>
        <v>0.15</v>
      </c>
      <c r="R16" s="1146">
        <f ca="1">SUM(R6:R13)</f>
        <v>47032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3267">
        <f>K16-M20</f>
        <v>8275.91</v>
      </c>
      <c r="N18" s="3239">
        <f>ROUND(1-(2022-1998)/60,2)</f>
        <v>0.6</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9" t="s">
        <v>1656</v>
      </c>
      <c r="B19" s="108">
        <v>0</v>
      </c>
      <c r="C19" s="2975" t="s">
        <v>2802</v>
      </c>
      <c r="D19" s="2850"/>
      <c r="E19" s="2847"/>
      <c r="F19" s="2847"/>
      <c r="G19" s="2847"/>
      <c r="H19" s="2847"/>
      <c r="I19" s="2847"/>
      <c r="J19" s="2847"/>
      <c r="K19" s="2846"/>
      <c r="L19" s="2846"/>
      <c r="M19" s="2845"/>
      <c r="N19" s="3240">
        <v>0.8</v>
      </c>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60" t="s">
        <v>1657</v>
      </c>
      <c r="B20" s="109">
        <v>2</v>
      </c>
      <c r="C20" s="2976" t="s">
        <v>2800</v>
      </c>
      <c r="D20" s="2850"/>
      <c r="E20" s="2847"/>
      <c r="F20" s="2847"/>
      <c r="G20" s="2847"/>
      <c r="H20" s="2847"/>
      <c r="I20" s="2847"/>
      <c r="J20" s="2847"/>
      <c r="K20" s="2846"/>
      <c r="L20" s="2846"/>
      <c r="M20" s="2845"/>
      <c r="N20" s="3239"/>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61" t="s">
        <v>1658</v>
      </c>
      <c r="B21" s="109">
        <f>B20</f>
        <v>2</v>
      </c>
      <c r="C21" s="2847"/>
      <c r="D21" s="2850"/>
      <c r="E21" s="2847"/>
      <c r="F21" s="2847"/>
      <c r="G21" s="2847"/>
      <c r="H21" s="2847"/>
      <c r="I21" s="2847"/>
      <c r="J21" s="2847"/>
      <c r="K21" s="2846"/>
      <c r="L21" s="2846"/>
      <c r="M21" s="2845"/>
      <c r="N21" s="1818"/>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60" t="s">
        <v>1659</v>
      </c>
      <c r="B22" s="110">
        <f>B19+B20</f>
        <v>2</v>
      </c>
      <c r="C22" s="2847"/>
      <c r="D22" s="2850"/>
      <c r="E22" s="2847"/>
      <c r="F22" s="2847"/>
      <c r="G22" s="2847"/>
      <c r="H22" s="2847"/>
      <c r="I22" s="2847"/>
      <c r="J22" s="2847"/>
      <c r="K22" s="2846"/>
      <c r="L22" s="2846"/>
      <c r="M22" s="2845"/>
      <c r="N22" s="3240"/>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61"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7.75">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ROUND(B28*K16/10000,0)</f>
        <v>27</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3572</v>
      </c>
      <c r="B40" s="1191">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4" t="s">
        <v>1678</v>
      </c>
      <c r="B41" s="121">
        <f>B42+B43</f>
        <v>5.5000000000000007E-2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70"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70" t="s">
        <v>1680</v>
      </c>
      <c r="B43" s="123">
        <f>B42*(B44+B45+B46)+B47</f>
        <v>5.000000000000001E-3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2" customFormat="1" ht="18.75" thickBot="1">
      <c r="A1" s="3375" t="s">
        <v>2783</v>
      </c>
      <c r="B1" s="3376"/>
      <c r="C1" s="3376"/>
      <c r="D1" s="3376"/>
      <c r="E1" s="3376"/>
      <c r="F1" s="3376"/>
      <c r="G1" s="3376"/>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2779</v>
      </c>
      <c r="D2" s="2636"/>
      <c r="E2" s="2633"/>
      <c r="F2" s="2637"/>
      <c r="G2" s="2635" t="s">
        <v>2780</v>
      </c>
      <c r="H2" s="888"/>
      <c r="I2" s="888"/>
      <c r="J2" s="888"/>
      <c r="K2" s="888"/>
      <c r="L2" s="888"/>
      <c r="M2" s="888"/>
      <c r="N2" s="888"/>
      <c r="O2" s="888"/>
      <c r="P2" s="888"/>
      <c r="Q2" s="888"/>
      <c r="R2" s="888"/>
    </row>
    <row r="3" spans="1:29" ht="26.25"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4.75" thickBot="1">
      <c r="A4" s="2617"/>
      <c r="B4" s="329" t="s">
        <v>2755</v>
      </c>
      <c r="C4" s="3252" t="s">
        <v>3566</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81">
      <c r="A6" s="2617"/>
      <c r="B6" s="329" t="s">
        <v>2761</v>
      </c>
      <c r="C6" s="3253" t="s">
        <v>3567</v>
      </c>
      <c r="D6" s="2639"/>
      <c r="E6" s="2642"/>
      <c r="F6" s="329" t="s">
        <v>2762</v>
      </c>
      <c r="G6" s="2643" t="s">
        <v>2763</v>
      </c>
      <c r="H6" s="888"/>
      <c r="I6" s="888"/>
      <c r="J6" s="888"/>
      <c r="K6" s="888"/>
      <c r="L6" s="888"/>
      <c r="M6" s="888"/>
      <c r="N6" s="888"/>
      <c r="O6" s="888"/>
      <c r="P6" s="888"/>
      <c r="Q6" s="888"/>
      <c r="R6" s="888"/>
    </row>
    <row r="7" spans="1:29" ht="41.25" thickBot="1">
      <c r="A7" s="2617"/>
      <c r="B7" s="329" t="s">
        <v>2759</v>
      </c>
      <c r="C7" s="3253" t="s">
        <v>3568</v>
      </c>
      <c r="D7" s="2644"/>
      <c r="E7" s="2645"/>
      <c r="F7" s="2646" t="s">
        <v>2764</v>
      </c>
      <c r="G7" s="2647" t="s">
        <v>2765</v>
      </c>
      <c r="H7" s="888"/>
      <c r="I7" s="888"/>
      <c r="J7" s="888"/>
      <c r="K7" s="888"/>
      <c r="L7" s="888"/>
      <c r="M7" s="888"/>
      <c r="N7" s="888"/>
      <c r="O7" s="888"/>
      <c r="P7" s="888"/>
      <c r="Q7" s="888"/>
      <c r="R7" s="888"/>
    </row>
    <row r="8" spans="1:29" ht="27">
      <c r="A8" s="2617"/>
      <c r="B8" s="329" t="s">
        <v>2762</v>
      </c>
      <c r="C8" s="3253" t="s">
        <v>3569</v>
      </c>
      <c r="D8" s="2644"/>
      <c r="E8" s="2644"/>
      <c r="F8" s="2648"/>
      <c r="G8" s="2648"/>
      <c r="H8" s="888"/>
      <c r="I8" s="888"/>
      <c r="J8" s="888"/>
      <c r="K8" s="888"/>
      <c r="L8" s="888"/>
      <c r="M8" s="888"/>
      <c r="N8" s="888"/>
      <c r="O8" s="888"/>
      <c r="P8" s="888"/>
      <c r="Q8" s="888"/>
      <c r="R8" s="888"/>
    </row>
    <row r="9" spans="1:29" ht="54">
      <c r="A9" s="2617"/>
      <c r="B9" s="329" t="s">
        <v>2766</v>
      </c>
      <c r="C9" s="3254" t="s">
        <v>3570</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3571</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8">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75" thickBot="1">
      <c r="A13" s="2662" t="s">
        <v>2784</v>
      </c>
      <c r="B13" s="2656"/>
      <c r="C13" s="2656"/>
      <c r="D13" s="2654"/>
      <c r="E13" s="2656"/>
      <c r="F13" s="2656"/>
      <c r="G13" s="2656"/>
    </row>
    <row r="14" spans="1:29" ht="15" thickBot="1">
      <c r="A14" s="2666"/>
      <c r="B14" s="2666"/>
      <c r="C14" s="2667" t="s">
        <v>2768</v>
      </c>
      <c r="D14" s="2639"/>
      <c r="E14" s="2668"/>
      <c r="F14" s="2668"/>
      <c r="G14" s="2635" t="s">
        <v>2769</v>
      </c>
    </row>
    <row r="15" spans="1:29" ht="25.5">
      <c r="A15" s="2619" t="s">
        <v>2770</v>
      </c>
      <c r="B15" s="2669" t="s">
        <v>2753</v>
      </c>
      <c r="C15" s="2670">
        <f>C3</f>
        <v>0</v>
      </c>
      <c r="D15" s="2639"/>
      <c r="E15" s="2620" t="s">
        <v>2771</v>
      </c>
      <c r="F15" s="2669" t="s">
        <v>2772</v>
      </c>
      <c r="G15" s="2671" t="str">
        <f>G3</f>
        <v>估价对象位于XX开发区，园区建设成熟度XX，产业集聚程度XX</v>
      </c>
    </row>
    <row r="16" spans="1:29" ht="38.25">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63.75">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5.5">
      <c r="A19" s="2621"/>
      <c r="B19" s="2674" t="s">
        <v>2774</v>
      </c>
      <c r="C19" s="2676"/>
      <c r="D19" s="2639"/>
      <c r="E19" s="2622"/>
      <c r="F19" s="329" t="s">
        <v>2759</v>
      </c>
      <c r="G19" s="2675" t="str">
        <f>G5</f>
        <v>估价对象所在区域公共配套设施齐备情况</v>
      </c>
    </row>
    <row r="20" spans="1:18" ht="38.25">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8.25">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5"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5"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22" sqref="N22"/>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8275.91</v>
      </c>
      <c r="C1" s="2860"/>
      <c r="D1" s="2860"/>
      <c r="E1" s="2860"/>
      <c r="F1" s="2860"/>
      <c r="G1" s="2861"/>
      <c r="H1" s="2862"/>
      <c r="I1" s="2862"/>
      <c r="J1" s="2862"/>
      <c r="K1" s="2862"/>
    </row>
    <row r="2" spans="1:11" ht="16.5">
      <c r="A2" s="2684" t="s">
        <v>1078</v>
      </c>
      <c r="B2" s="2684">
        <f>SUM(C14:C23)</f>
        <v>47032</v>
      </c>
      <c r="C2" s="2860"/>
      <c r="D2" s="2860"/>
      <c r="E2" s="2860"/>
      <c r="F2" s="2860"/>
      <c r="G2" s="2861"/>
      <c r="H2" s="2862"/>
      <c r="I2" s="2862"/>
      <c r="J2" s="2862"/>
      <c r="K2" s="2862"/>
    </row>
    <row r="3" spans="1:11" ht="16.5">
      <c r="A3" s="2684" t="s">
        <v>1087</v>
      </c>
      <c r="B3" s="2686">
        <f>项目基本情况!D3</f>
        <v>44876</v>
      </c>
      <c r="C3" s="2860"/>
      <c r="D3" s="2860"/>
      <c r="E3" s="2860"/>
      <c r="F3" s="2860"/>
      <c r="G3" s="2861"/>
      <c r="H3" s="2862"/>
      <c r="I3" s="2862"/>
      <c r="J3" s="2862"/>
      <c r="K3" s="2862"/>
    </row>
    <row r="4" spans="1:11" ht="33">
      <c r="A4" s="2684" t="s">
        <v>1086</v>
      </c>
      <c r="B4" s="2684" t="s">
        <v>1085</v>
      </c>
      <c r="C4" s="2684" t="s">
        <v>1084</v>
      </c>
      <c r="D4" s="2684" t="s">
        <v>1083</v>
      </c>
      <c r="E4" s="2860"/>
      <c r="F4" s="2861"/>
      <c r="G4" s="2861"/>
      <c r="H4" s="2862"/>
      <c r="I4" s="2862"/>
      <c r="J4" s="2862"/>
      <c r="K4" s="2862"/>
    </row>
    <row r="5" spans="1:11" ht="16.5">
      <c r="A5" s="2684" t="s">
        <v>1082</v>
      </c>
      <c r="B5" s="2684">
        <f ca="1">SUM(D14:D23)</f>
        <v>2895</v>
      </c>
      <c r="C5" s="2684">
        <f ca="1">ROUND(B5*10000/$B$1,0)</f>
        <v>3498</v>
      </c>
      <c r="D5" s="2684">
        <f ca="1">ROUND(B5*10000/$B$2,0)</f>
        <v>616</v>
      </c>
      <c r="E5" s="2860"/>
      <c r="F5" s="2861"/>
      <c r="G5" s="2861"/>
      <c r="H5" s="2862"/>
      <c r="I5" s="2862"/>
      <c r="J5" s="2862"/>
      <c r="K5" s="2862"/>
    </row>
    <row r="6" spans="1:11" ht="16.5">
      <c r="A6" s="2684" t="s">
        <v>1081</v>
      </c>
      <c r="B6" s="2684">
        <f ca="1">SUM(G14:G23)</f>
        <v>2895</v>
      </c>
      <c r="C6" s="2684">
        <f ca="1">ROUND(B6*10000/$B$1,0)</f>
        <v>3498</v>
      </c>
      <c r="D6" s="2684">
        <f ca="1">ROUND(B6*10000/$B$2,0)</f>
        <v>616</v>
      </c>
      <c r="E6" s="2860"/>
      <c r="F6" s="2861"/>
      <c r="G6" s="2861"/>
      <c r="H6" s="2862"/>
      <c r="I6" s="2862"/>
      <c r="J6" s="2862"/>
      <c r="K6" s="2862"/>
    </row>
    <row r="7" spans="1:11" ht="16.5">
      <c r="A7" s="2684" t="s">
        <v>1089</v>
      </c>
      <c r="B7" s="2684">
        <f>SUM(H14:H23)</f>
        <v>0</v>
      </c>
      <c r="C7" s="2684">
        <f>ROUND(B7*10000/$B$1,0)</f>
        <v>0</v>
      </c>
      <c r="D7" s="2684">
        <f>ROUND(B7*10000/$B$2,0)</f>
        <v>0</v>
      </c>
      <c r="E7" s="2860"/>
      <c r="F7" s="2861"/>
      <c r="G7" s="2861"/>
      <c r="H7" s="2862"/>
      <c r="I7" s="2862"/>
      <c r="J7" s="2862"/>
      <c r="K7" s="2862"/>
    </row>
    <row r="8" spans="1:11" ht="16.5">
      <c r="A8" s="2684" t="s">
        <v>1012</v>
      </c>
      <c r="B8" s="2684">
        <f>SUM(I14:I23)</f>
        <v>0</v>
      </c>
      <c r="C8" s="2684">
        <f>ROUND(B8*10000/$B$1,0)</f>
        <v>0</v>
      </c>
      <c r="D8" s="2684">
        <f>ROUND(B8*10000/$B$2,0)</f>
        <v>0</v>
      </c>
      <c r="E8" s="2860"/>
      <c r="F8" s="2861"/>
      <c r="G8" s="2861"/>
      <c r="H8" s="2862"/>
      <c r="I8" s="2862"/>
      <c r="J8" s="2862"/>
      <c r="K8" s="2862"/>
    </row>
    <row r="9" spans="1:11" ht="16.5">
      <c r="A9" s="2684" t="s">
        <v>1080</v>
      </c>
      <c r="B9" s="2692"/>
      <c r="C9" s="2860"/>
      <c r="D9" s="2860"/>
      <c r="E9" s="2860"/>
      <c r="F9" s="2861"/>
      <c r="G9" s="2861"/>
      <c r="H9" s="2862"/>
      <c r="I9" s="2862"/>
      <c r="J9" s="2862"/>
      <c r="K9" s="2862"/>
    </row>
    <row r="10" spans="1:11" ht="16.5">
      <c r="A10" s="2684" t="s">
        <v>1079</v>
      </c>
      <c r="B10" s="2692"/>
      <c r="C10" s="2860"/>
      <c r="D10" s="2860"/>
      <c r="E10" s="2860"/>
      <c r="F10" s="2861"/>
      <c r="G10" s="2861"/>
      <c r="H10" s="2862"/>
      <c r="I10" s="2862"/>
      <c r="J10" s="2862"/>
      <c r="K10" s="2862"/>
    </row>
    <row r="11" spans="1:11" ht="16.5">
      <c r="A11" s="2684" t="s">
        <v>1095</v>
      </c>
      <c r="B11" s="2692"/>
      <c r="C11" s="2860"/>
      <c r="D11" s="2860"/>
      <c r="E11" s="2860"/>
      <c r="F11" s="2861"/>
      <c r="G11" s="2861"/>
      <c r="H11" s="2862"/>
      <c r="I11" s="2862"/>
      <c r="J11" s="2862"/>
      <c r="K11" s="2862"/>
    </row>
    <row r="12" spans="1:11" ht="16.5">
      <c r="A12" s="2860"/>
      <c r="B12" s="2860"/>
      <c r="C12" s="2860"/>
      <c r="D12" s="2860"/>
      <c r="E12" s="2860"/>
      <c r="F12" s="2861"/>
      <c r="G12" s="2861"/>
      <c r="H12" s="2862"/>
      <c r="I12" s="2862"/>
      <c r="J12" s="2862"/>
      <c r="K12" s="2862"/>
    </row>
    <row r="13" spans="1:11" ht="33">
      <c r="A13" s="2687" t="s">
        <v>1094</v>
      </c>
      <c r="B13" s="2688" t="s">
        <v>1091</v>
      </c>
      <c r="C13" s="2688" t="s">
        <v>1093</v>
      </c>
      <c r="D13" s="2688" t="s">
        <v>1092</v>
      </c>
      <c r="E13" s="2684" t="s">
        <v>1084</v>
      </c>
      <c r="F13" s="2684" t="s">
        <v>1083</v>
      </c>
      <c r="G13" s="2688" t="s">
        <v>1077</v>
      </c>
      <c r="H13" s="2688" t="s">
        <v>1088</v>
      </c>
      <c r="I13" s="2688" t="s">
        <v>1076</v>
      </c>
      <c r="J13" s="2861"/>
      <c r="K13" s="2862"/>
    </row>
    <row r="14" spans="1:11" ht="16.5">
      <c r="A14" s="2689" t="s">
        <v>1075</v>
      </c>
      <c r="B14" s="2690">
        <f>结果表!B118</f>
        <v>8275.91</v>
      </c>
      <c r="C14" s="2690">
        <f>结果表!C118</f>
        <v>47032</v>
      </c>
      <c r="D14" s="2690">
        <f ca="1">结果表!G19</f>
        <v>2895</v>
      </c>
      <c r="E14" s="2690">
        <f ca="1">ROUND(D14*10000/B14,0)</f>
        <v>3498</v>
      </c>
      <c r="F14" s="2690">
        <f ca="1">ROUND(D14*10000/C14,0)</f>
        <v>616</v>
      </c>
      <c r="G14" s="2690">
        <f ca="1">D14</f>
        <v>2895</v>
      </c>
      <c r="H14" s="2690" t="str">
        <f>结果表!D124</f>
        <v>——</v>
      </c>
      <c r="I14" s="2690" t="str">
        <f>结果表!D126</f>
        <v>——</v>
      </c>
      <c r="J14" s="2861"/>
      <c r="K14" s="2862"/>
    </row>
    <row r="15" spans="1:11" ht="16.5">
      <c r="A15" s="2689" t="s">
        <v>1074</v>
      </c>
      <c r="B15" s="2691"/>
      <c r="C15" s="2691"/>
      <c r="D15" s="2691"/>
      <c r="E15" s="2690" t="e">
        <f t="shared" ref="E15:E23" si="0">ROUND(D15*10000/B15,0)</f>
        <v>#DIV/0!</v>
      </c>
      <c r="F15" s="2690" t="e">
        <f t="shared" ref="F15:F23" si="1">ROUND(D15*10000/C15,0)</f>
        <v>#DIV/0!</v>
      </c>
      <c r="G15" s="1452"/>
      <c r="H15" s="1452"/>
      <c r="I15" s="2691"/>
      <c r="J15" s="2861"/>
      <c r="K15" s="2862"/>
    </row>
    <row r="16" spans="1:11" ht="16.5">
      <c r="A16" s="2689" t="s">
        <v>1073</v>
      </c>
      <c r="B16" s="2691"/>
      <c r="C16" s="2691"/>
      <c r="D16" s="2691"/>
      <c r="E16" s="2690" t="e">
        <f t="shared" si="0"/>
        <v>#DIV/0!</v>
      </c>
      <c r="F16" s="2690" t="e">
        <f t="shared" si="1"/>
        <v>#DIV/0!</v>
      </c>
      <c r="G16" s="1452"/>
      <c r="H16" s="1452"/>
      <c r="I16" s="2691"/>
      <c r="J16" s="2862"/>
      <c r="K16" s="2862"/>
    </row>
    <row r="17" spans="1:11" ht="16.5">
      <c r="A17" s="2689" t="s">
        <v>1072</v>
      </c>
      <c r="B17" s="2691"/>
      <c r="C17" s="2691"/>
      <c r="D17" s="2691"/>
      <c r="E17" s="2690" t="e">
        <f t="shared" si="0"/>
        <v>#DIV/0!</v>
      </c>
      <c r="F17" s="2690" t="e">
        <f t="shared" si="1"/>
        <v>#DIV/0!</v>
      </c>
      <c r="G17" s="1452"/>
      <c r="H17" s="1452"/>
      <c r="I17" s="2691"/>
      <c r="J17" s="2862"/>
      <c r="K17" s="2862"/>
    </row>
    <row r="18" spans="1:11" ht="16.5">
      <c r="A18" s="2689" t="s">
        <v>1071</v>
      </c>
      <c r="B18" s="2691"/>
      <c r="C18" s="2691"/>
      <c r="D18" s="2691"/>
      <c r="E18" s="2690" t="e">
        <f t="shared" si="0"/>
        <v>#DIV/0!</v>
      </c>
      <c r="F18" s="2690" t="e">
        <f t="shared" si="1"/>
        <v>#DIV/0!</v>
      </c>
      <c r="G18" s="2691"/>
      <c r="H18" s="2691"/>
      <c r="I18" s="2691"/>
      <c r="J18" s="2862"/>
      <c r="K18" s="2862"/>
    </row>
    <row r="19" spans="1:11" ht="16.5">
      <c r="A19" s="2689" t="s">
        <v>1070</v>
      </c>
      <c r="B19" s="2691"/>
      <c r="C19" s="2691"/>
      <c r="D19" s="2691"/>
      <c r="E19" s="2690" t="e">
        <f t="shared" si="0"/>
        <v>#DIV/0!</v>
      </c>
      <c r="F19" s="2690" t="e">
        <f t="shared" si="1"/>
        <v>#DIV/0!</v>
      </c>
      <c r="G19" s="2691"/>
      <c r="H19" s="2691"/>
      <c r="I19" s="2691"/>
      <c r="J19" s="2862"/>
      <c r="K19" s="2862"/>
    </row>
    <row r="20" spans="1:11" ht="16.5">
      <c r="A20" s="2689" t="s">
        <v>1069</v>
      </c>
      <c r="B20" s="2691"/>
      <c r="C20" s="2691"/>
      <c r="D20" s="2691"/>
      <c r="E20" s="2690" t="e">
        <f t="shared" si="0"/>
        <v>#DIV/0!</v>
      </c>
      <c r="F20" s="2690" t="e">
        <f t="shared" si="1"/>
        <v>#DIV/0!</v>
      </c>
      <c r="G20" s="2691"/>
      <c r="H20" s="2691"/>
      <c r="I20" s="2691"/>
      <c r="J20" s="2862"/>
      <c r="K20" s="2862"/>
    </row>
    <row r="21" spans="1:11" ht="16.5">
      <c r="A21" s="2689" t="s">
        <v>1068</v>
      </c>
      <c r="B21" s="2691"/>
      <c r="C21" s="2691"/>
      <c r="D21" s="2691"/>
      <c r="E21" s="2690" t="e">
        <f t="shared" si="0"/>
        <v>#DIV/0!</v>
      </c>
      <c r="F21" s="2690" t="e">
        <f t="shared" si="1"/>
        <v>#DIV/0!</v>
      </c>
      <c r="G21" s="2691"/>
      <c r="H21" s="2691"/>
      <c r="I21" s="2691"/>
      <c r="J21" s="2862"/>
      <c r="K21" s="2862"/>
    </row>
    <row r="22" spans="1:11" ht="16.5">
      <c r="A22" s="2689" t="s">
        <v>1067</v>
      </c>
      <c r="B22" s="2691"/>
      <c r="C22" s="2691"/>
      <c r="D22" s="2691"/>
      <c r="E22" s="2690" t="e">
        <f t="shared" si="0"/>
        <v>#DIV/0!</v>
      </c>
      <c r="F22" s="2690" t="e">
        <f t="shared" si="1"/>
        <v>#DIV/0!</v>
      </c>
      <c r="G22" s="2691"/>
      <c r="H22" s="2691"/>
      <c r="I22" s="2691"/>
      <c r="J22" s="2862"/>
      <c r="K22" s="2862"/>
    </row>
    <row r="23" spans="1:11" ht="16.5">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0" sqref="G10"/>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3564</v>
      </c>
      <c r="D1" s="1883"/>
      <c r="E1" s="1883"/>
      <c r="F1" s="1885" t="s">
        <v>1708</v>
      </c>
      <c r="G1" s="1697" t="s">
        <v>3173</v>
      </c>
      <c r="H1" s="1886" t="str">
        <f>IF(G1="现房","——","估价对象范围")</f>
        <v>——</v>
      </c>
      <c r="I1" s="1887" t="s">
        <v>3557</v>
      </c>
    </row>
    <row r="2" spans="1:12" ht="21.75" customHeight="1" thickBot="1">
      <c r="A2" s="3411" t="str">
        <f>项目基本情况!S2</f>
        <v>北京市香河第一城德胜门高尔夫房地产</v>
      </c>
      <c r="B2" s="3412"/>
      <c r="C2" s="3412"/>
      <c r="D2" s="3412"/>
      <c r="E2" s="3412"/>
      <c r="F2" s="3412"/>
      <c r="G2" s="3412"/>
      <c r="H2" s="3412"/>
      <c r="I2" s="3413"/>
    </row>
    <row r="3" spans="1:12" ht="12.75">
      <c r="A3" s="3415" t="s">
        <v>1709</v>
      </c>
      <c r="B3" s="3416"/>
      <c r="C3" s="3416"/>
      <c r="D3" s="3416"/>
      <c r="E3" s="3416"/>
      <c r="F3" s="3416"/>
      <c r="G3" s="3416"/>
      <c r="H3" s="3416"/>
      <c r="I3" s="3416"/>
    </row>
    <row r="4" spans="1:12" ht="14.25">
      <c r="A4" s="1890" t="s">
        <v>1710</v>
      </c>
      <c r="B4" s="1891" t="s">
        <v>1711</v>
      </c>
      <c r="C4" s="1892" t="s">
        <v>3558</v>
      </c>
      <c r="D4" s="1892" t="s">
        <v>3560</v>
      </c>
      <c r="E4" s="3417" t="s">
        <v>1712</v>
      </c>
      <c r="F4" s="3418"/>
      <c r="G4" s="3418"/>
      <c r="H4" s="3418"/>
      <c r="I4" s="34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1" t="s">
        <v>1713</v>
      </c>
      <c r="B5" s="3378">
        <v>25</v>
      </c>
      <c r="C5" s="3394"/>
      <c r="D5" s="3414"/>
      <c r="E5" s="136" t="s">
        <v>1714</v>
      </c>
      <c r="F5" s="1893"/>
      <c r="G5" s="1893"/>
      <c r="H5" s="1893"/>
      <c r="I5" s="1508"/>
    </row>
    <row r="6" spans="1:12" ht="12.75">
      <c r="A6" s="3391"/>
      <c r="B6" s="3378"/>
      <c r="C6" s="3395"/>
      <c r="D6" s="3414"/>
      <c r="E6" s="136" t="s">
        <v>1715</v>
      </c>
      <c r="F6" s="1893"/>
      <c r="G6" s="1893"/>
      <c r="H6" s="1893"/>
      <c r="I6" s="1508"/>
    </row>
    <row r="7" spans="1:12" ht="12.75">
      <c r="A7" s="3391"/>
      <c r="B7" s="3378"/>
      <c r="C7" s="3396"/>
      <c r="D7" s="3414"/>
      <c r="E7" s="136" t="s">
        <v>1716</v>
      </c>
      <c r="F7" s="1893"/>
      <c r="G7" s="1893"/>
      <c r="H7" s="1893"/>
      <c r="I7" s="1508"/>
    </row>
    <row r="8" spans="1:12" ht="12.75">
      <c r="A8" s="3391" t="s">
        <v>1717</v>
      </c>
      <c r="B8" s="3378">
        <v>15</v>
      </c>
      <c r="C8" s="3394"/>
      <c r="D8" s="3414"/>
      <c r="E8" s="136" t="s">
        <v>1718</v>
      </c>
      <c r="F8" s="1893"/>
      <c r="G8" s="1893"/>
      <c r="H8" s="1893"/>
      <c r="I8" s="1508"/>
    </row>
    <row r="9" spans="1:12" ht="12.75">
      <c r="A9" s="3391"/>
      <c r="B9" s="3378"/>
      <c r="C9" s="3396"/>
      <c r="D9" s="3414"/>
      <c r="E9" s="136" t="s">
        <v>1719</v>
      </c>
      <c r="F9" s="1893"/>
      <c r="G9" s="1893"/>
      <c r="H9" s="1893"/>
      <c r="I9" s="1508"/>
    </row>
    <row r="10" spans="1:12" ht="12.75">
      <c r="A10" s="3391" t="s">
        <v>1720</v>
      </c>
      <c r="B10" s="3378">
        <v>15</v>
      </c>
      <c r="C10" s="3394"/>
      <c r="D10" s="3414"/>
      <c r="E10" s="136" t="s">
        <v>1721</v>
      </c>
      <c r="F10" s="1893"/>
      <c r="G10" s="1893"/>
      <c r="H10" s="1893"/>
      <c r="I10" s="1508"/>
    </row>
    <row r="11" spans="1:12" ht="12.75">
      <c r="A11" s="3391"/>
      <c r="B11" s="3378"/>
      <c r="C11" s="3396"/>
      <c r="D11" s="3414"/>
      <c r="E11" s="136" t="s">
        <v>1722</v>
      </c>
      <c r="F11" s="1893"/>
      <c r="G11" s="1893"/>
      <c r="H11" s="1893"/>
      <c r="I11" s="1508"/>
    </row>
    <row r="12" spans="1:12" ht="12.75">
      <c r="A12" s="3391" t="s">
        <v>1723</v>
      </c>
      <c r="B12" s="3378">
        <v>15</v>
      </c>
      <c r="C12" s="3394"/>
      <c r="D12" s="3414"/>
      <c r="E12" s="136" t="s">
        <v>1724</v>
      </c>
      <c r="F12" s="1893"/>
      <c r="G12" s="1893"/>
      <c r="H12" s="1893"/>
      <c r="I12" s="1508"/>
    </row>
    <row r="13" spans="1:12" ht="12.75">
      <c r="A13" s="3391"/>
      <c r="B13" s="3378"/>
      <c r="C13" s="3396"/>
      <c r="D13" s="3414"/>
      <c r="E13" s="136" t="s">
        <v>1725</v>
      </c>
      <c r="F13" s="1893"/>
      <c r="G13" s="1893"/>
      <c r="H13" s="1893"/>
      <c r="I13" s="1508"/>
    </row>
    <row r="14" spans="1:12" ht="12.75">
      <c r="A14" s="3391" t="s">
        <v>1726</v>
      </c>
      <c r="B14" s="3378">
        <v>30</v>
      </c>
      <c r="C14" s="3394">
        <v>5</v>
      </c>
      <c r="D14" s="3414">
        <v>5</v>
      </c>
      <c r="E14" s="136" t="s">
        <v>1727</v>
      </c>
      <c r="F14" s="1893"/>
      <c r="G14" s="1893"/>
      <c r="H14" s="1893"/>
      <c r="I14" s="1508"/>
    </row>
    <row r="15" spans="1:12" ht="12.75">
      <c r="A15" s="3391"/>
      <c r="B15" s="3378"/>
      <c r="C15" s="3395"/>
      <c r="D15" s="3414"/>
      <c r="E15" s="136" t="s">
        <v>1728</v>
      </c>
      <c r="F15" s="1893"/>
      <c r="G15" s="1893"/>
      <c r="H15" s="1893"/>
      <c r="I15" s="1508"/>
    </row>
    <row r="16" spans="1:12" ht="12.75">
      <c r="A16" s="3391"/>
      <c r="B16" s="3378"/>
      <c r="C16" s="3396"/>
      <c r="D16" s="3414"/>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01" t="s">
        <v>2632</v>
      </c>
      <c r="F18" s="3402"/>
      <c r="G18" s="3402"/>
      <c r="H18" s="3402"/>
      <c r="I18" s="3402"/>
      <c r="K18" s="308" t="s">
        <v>1734</v>
      </c>
      <c r="L18" s="308">
        <f>IF(C1="",'数据-汇总表'!E3,SUMIF(项目类型,C1,'数据-汇总表'!E17:E26)+SUMIF(项目类型,C1,'数据-汇总表'!I17:I26))</f>
        <v>8275.91</v>
      </c>
      <c r="M18" s="308">
        <f>IF(C1="",'数据-汇总表'!E3,SUMIF(项目类型,C1,'数据-汇总表'!E17:E26))</f>
        <v>8275.91</v>
      </c>
    </row>
    <row r="19" spans="1:36" ht="15">
      <c r="A19" s="1897" t="s">
        <v>1735</v>
      </c>
      <c r="B19" s="1898" t="s">
        <v>1736</v>
      </c>
      <c r="C19" s="139">
        <f ca="1">SUMIF(INDIRECT("'"&amp;C4&amp;"'"&amp;"!A:A"),结果表!B19,INDIRECT("'"&amp;C4&amp;"'"&amp;"!B:B"))</f>
        <v>4755</v>
      </c>
      <c r="D19" s="140">
        <f ca="1">SUMIF(INDIRECT("'"&amp;D4&amp;"'"&amp;"!A:A"),结果表!B19,INDIRECT("'"&amp;D4&amp;"'"&amp;"!B:B"))</f>
        <v>1035</v>
      </c>
      <c r="E19" s="1897" t="s">
        <v>1737</v>
      </c>
      <c r="F19" s="1898" t="s">
        <v>1736</v>
      </c>
      <c r="G19" s="141">
        <f ca="1">ROUND(C19*$C$18+D19*$D$18,0)</f>
        <v>2895</v>
      </c>
      <c r="H19" s="1899" t="s">
        <v>1738</v>
      </c>
      <c r="I19" s="134"/>
      <c r="K19" s="308" t="s">
        <v>1739</v>
      </c>
      <c r="L19" s="308">
        <f>IF(C1="",'数据-汇总表'!D3,SUMIF(项目类型,C1,'数据-汇总表'!D17:D26)+SUMIF(项目类型,C1,'数据-汇总表'!H17:H27))</f>
        <v>47032</v>
      </c>
      <c r="M19" s="308">
        <f>IF(C1="",'数据-汇总表'!D3,SUMIF(项目类型,C1,'数据-汇总表'!D17:D26))</f>
        <v>47032</v>
      </c>
    </row>
    <row r="20" spans="1:36" ht="15">
      <c r="A20" s="1900"/>
      <c r="B20" s="1138" t="s">
        <v>1740</v>
      </c>
      <c r="C20" s="142">
        <f ca="1">SUMIF(INDIRECT("'"&amp;C4&amp;"'"&amp;"!A:A"),结果表!B20,INDIRECT("'"&amp;C4&amp;"'"&amp;"!B:B"))</f>
        <v>5746</v>
      </c>
      <c r="D20" s="143">
        <f ca="1">SUMIF(INDIRECT("'"&amp;D4&amp;"'"&amp;"!A:A"),结果表!B20,INDIRECT("'"&amp;D4&amp;"'"&amp;"!B:B"))</f>
        <v>1251</v>
      </c>
      <c r="E20" s="1900"/>
      <c r="F20" s="1138" t="s">
        <v>1740</v>
      </c>
      <c r="G20" s="144">
        <f ca="1">ROUND(C20*$C$18+D20*$D$18,0)</f>
        <v>3499</v>
      </c>
      <c r="H20" s="898" t="s">
        <v>1741</v>
      </c>
      <c r="I20" s="134"/>
    </row>
    <row r="21" spans="1:36" ht="15" customHeight="1" thickBot="1">
      <c r="A21" s="918"/>
      <c r="B21" s="1901" t="s">
        <v>1742</v>
      </c>
      <c r="C21" s="728">
        <f ca="1">ROUND(C19*10000/L19,0)</f>
        <v>1011</v>
      </c>
      <c r="D21" s="729">
        <f ca="1">ROUND(D19*10000/L19,0)</f>
        <v>220</v>
      </c>
      <c r="E21" s="918"/>
      <c r="F21" s="1901" t="s">
        <v>1742</v>
      </c>
      <c r="G21" s="145">
        <f ca="1">ROUND(G19*10000/L19,0)</f>
        <v>616</v>
      </c>
      <c r="H21" s="1902" t="s">
        <v>1741</v>
      </c>
      <c r="I21" s="134"/>
      <c r="K21" s="734">
        <f ca="1">收益法!C6</f>
        <v>180</v>
      </c>
    </row>
    <row r="22" spans="1:36" ht="15" thickBot="1">
      <c r="A22" s="1825" t="s">
        <v>1743</v>
      </c>
      <c r="B22" s="1903"/>
      <c r="C22" s="1904"/>
      <c r="D22" s="730">
        <f ca="1">IF(C19&lt;D19,D19/C19-1,C19/D19-1)</f>
        <v>3.5942028985507246</v>
      </c>
      <c r="E22" s="134"/>
      <c r="F22" s="134"/>
      <c r="G22" s="134"/>
      <c r="H22" s="134"/>
      <c r="I22" s="134"/>
      <c r="K22" s="734">
        <f>[2]收益法!$C$6</f>
        <v>476</v>
      </c>
    </row>
    <row r="23" spans="1:36" ht="13.5" thickBot="1">
      <c r="A23" s="1883"/>
      <c r="B23" s="1883"/>
      <c r="C23" s="1883"/>
      <c r="D23" s="1883"/>
      <c r="E23" s="134"/>
      <c r="F23" s="134"/>
      <c r="G23" s="134"/>
      <c r="H23" s="134"/>
      <c r="I23" s="134"/>
    </row>
    <row r="24" spans="1:36" ht="14.25">
      <c r="A24" s="3385" t="s">
        <v>1744</v>
      </c>
      <c r="B24" s="1898" t="s">
        <v>1736</v>
      </c>
      <c r="C24" s="141">
        <f>IF(B30=0,0,D30)</f>
        <v>0</v>
      </c>
      <c r="D24" s="1905"/>
      <c r="E24" s="134"/>
      <c r="F24" s="134"/>
      <c r="G24" s="134"/>
      <c r="H24" s="134"/>
      <c r="I24" s="134"/>
    </row>
    <row r="25" spans="1:36" ht="14.25">
      <c r="A25" s="3386"/>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2895</v>
      </c>
      <c r="D32" s="1911" t="s">
        <v>3579</v>
      </c>
      <c r="E32" s="134"/>
      <c r="F32" s="134"/>
      <c r="G32" s="134"/>
      <c r="H32" s="134"/>
      <c r="I32" s="134"/>
    </row>
    <row r="33" spans="1:15" ht="15">
      <c r="A33" s="875" t="s">
        <v>1751</v>
      </c>
      <c r="B33" s="1912"/>
      <c r="C33" s="1913" t="s">
        <v>3578</v>
      </c>
      <c r="D33" s="1914" t="s">
        <v>3558</v>
      </c>
      <c r="E33" s="1915" t="s">
        <v>1752</v>
      </c>
      <c r="F33" s="1916" t="str">
        <f>IF(D32="楼面单价","取值（单价）","取值（总价）")</f>
        <v>取值（总价）</v>
      </c>
      <c r="G33" s="134"/>
      <c r="H33" s="134"/>
      <c r="I33" s="134"/>
    </row>
    <row r="34" spans="1:15" ht="15">
      <c r="A34" s="1917"/>
      <c r="B34" s="1918" t="s">
        <v>1753</v>
      </c>
      <c r="C34" s="153">
        <f ca="1">IF(C33="自定义",F34,C32-C35)</f>
        <v>863</v>
      </c>
      <c r="D34" s="951">
        <f ca="1">IF(C33="自定义",ROUND(C34/C32,3),IF(C33="收益比率",SUMIF(INDIRECT("'"&amp;D33&amp;"'"&amp;"!b:b"),"土地收益比率",INDIRECT("'"&amp;D33&amp;"'"&amp;"!c:c")),SUMIF(INDIRECT("'"&amp;D33&amp;"'"&amp;"!b:b"),"土地成本比率",INDIRECT("'"&amp;D33&amp;"'"&amp;"!c:c"))))</f>
        <v>0.29800000000000004</v>
      </c>
      <c r="E34" s="1919" t="s">
        <v>1754</v>
      </c>
      <c r="F34" s="1451"/>
      <c r="G34" s="134"/>
      <c r="H34" s="134"/>
      <c r="I34" s="134"/>
    </row>
    <row r="35" spans="1:15" ht="15.75" thickBot="1">
      <c r="A35" s="1920"/>
      <c r="B35" s="1921" t="s">
        <v>1755</v>
      </c>
      <c r="C35" s="1285">
        <f ca="1">IF(C33="自定义",F35,ROUND(C32*D35,0))</f>
        <v>2032</v>
      </c>
      <c r="D35" s="1286">
        <f ca="1">IF(C33="自定义",ROUND(C35/C32,3),IF(C33="收益比率",SUMIF(INDIRECT("'"&amp;D33&amp;"'"&amp;"!b:b"),"建筑物收益比率",INDIRECT("'"&amp;D33&amp;"'"&amp;"!c:c")),SUMIF(INDIRECT("'"&amp;D33&amp;"'"&amp;"!b:b"),"建筑物成本比率",INDIRECT("'"&amp;D33&amp;"'"&amp;"!c:c"))))</f>
        <v>0.70199999999999996</v>
      </c>
      <c r="E35" s="1922" t="s">
        <v>1756</v>
      </c>
      <c r="F35" s="159"/>
      <c r="G35" s="134"/>
      <c r="H35" s="134"/>
      <c r="I35" s="134"/>
    </row>
    <row r="36" spans="1:15" ht="15.75" thickBot="1">
      <c r="A36" s="3405" t="s">
        <v>1757</v>
      </c>
      <c r="B36" s="1923" t="s">
        <v>1758</v>
      </c>
      <c r="C36" s="150"/>
      <c r="D36" s="1924"/>
      <c r="E36" s="1925"/>
      <c r="F36" s="1926"/>
      <c r="G36" s="134"/>
      <c r="H36" s="134"/>
      <c r="I36" s="134"/>
    </row>
    <row r="37" spans="1:15" ht="15.75" thickBot="1">
      <c r="A37" s="3406"/>
      <c r="B37" s="1811" t="s">
        <v>1759</v>
      </c>
      <c r="C37" s="152"/>
      <c r="D37" s="1254"/>
      <c r="E37" s="1254"/>
      <c r="F37" s="1926"/>
      <c r="G37" s="134"/>
      <c r="H37" s="134"/>
      <c r="I37" s="134"/>
    </row>
    <row r="38" spans="1:15" ht="15.75" thickBot="1">
      <c r="A38" s="3407"/>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82" t="s">
        <v>1771</v>
      </c>
      <c r="B45" s="3383"/>
      <c r="C45" s="3384"/>
      <c r="D45" s="160">
        <f ca="1">ROUND(H101*F45,0)</f>
        <v>2895</v>
      </c>
      <c r="E45" s="161" t="s">
        <v>1772</v>
      </c>
      <c r="F45" s="162">
        <v>1</v>
      </c>
      <c r="G45" s="163" t="s">
        <v>1773</v>
      </c>
      <c r="H45" s="134"/>
      <c r="I45" s="134"/>
      <c r="J45" s="3463" t="s">
        <v>1774</v>
      </c>
      <c r="K45" s="3463"/>
      <c r="L45" s="3463"/>
      <c r="M45" s="3463"/>
      <c r="N45" s="3463"/>
      <c r="O45" s="3463"/>
    </row>
    <row r="46" spans="1:15" ht="14.25" customHeight="1">
      <c r="A46" s="3379" t="s">
        <v>1775</v>
      </c>
      <c r="B46" s="3380"/>
      <c r="C46" s="3380"/>
      <c r="D46" s="3380"/>
      <c r="E46" s="3380"/>
      <c r="F46" s="3380"/>
      <c r="G46" s="3381"/>
      <c r="H46" s="1942"/>
      <c r="I46" s="164"/>
      <c r="J46" s="2695">
        <v>1</v>
      </c>
      <c r="K46" s="3444" t="s">
        <v>1776</v>
      </c>
      <c r="L46" s="3444"/>
      <c r="M46" s="3464"/>
      <c r="N46" s="3464"/>
      <c r="O46" s="3464"/>
    </row>
    <row r="47" spans="1:15" ht="12" customHeight="1">
      <c r="A47" s="165" t="s">
        <v>1777</v>
      </c>
      <c r="B47" s="166"/>
      <c r="C47" s="167"/>
      <c r="D47" s="1200" t="s">
        <v>1778</v>
      </c>
      <c r="E47" s="308" t="s">
        <v>1779</v>
      </c>
      <c r="F47" s="168" t="s">
        <v>1780</v>
      </c>
      <c r="G47" s="2718" t="s">
        <v>1781</v>
      </c>
      <c r="H47" s="2719"/>
      <c r="I47" s="164"/>
      <c r="J47" s="2695">
        <v>2</v>
      </c>
      <c r="K47" s="3444" t="s">
        <v>1782</v>
      </c>
      <c r="L47" s="3444"/>
      <c r="M47" s="3465">
        <f>'数据-取费表'!B2</f>
        <v>44876</v>
      </c>
      <c r="N47" s="3465"/>
      <c r="O47" s="3465"/>
    </row>
    <row r="48" spans="1:15" ht="25.5">
      <c r="A48" s="3410" t="s">
        <v>1783</v>
      </c>
      <c r="B48" s="3393"/>
      <c r="C48" s="3393"/>
      <c r="D48" s="2497" t="b">
        <f>IF(H48="情况1",0,IF(H48="情况2",D52,IF(H48="情况3",D53,IF(H48="情况4",D54))))</f>
        <v>0</v>
      </c>
      <c r="E48" s="2507" t="str">
        <f>IF(H48="情况4","(销售额-原购置价)×税（费）率","销售额×税（费）率")</f>
        <v>销售额×税（费）率</v>
      </c>
      <c r="F48" s="2720">
        <f>IF(H48="情况1","免征",'数据-取费表'!B41)</f>
        <v>5.5000000000000007E-2</v>
      </c>
      <c r="G48" s="2721" t="s">
        <v>1784</v>
      </c>
      <c r="H48" s="2722"/>
      <c r="I48" s="1942"/>
      <c r="J48" s="2695">
        <v>3</v>
      </c>
      <c r="K48" s="3444" t="s">
        <v>1785</v>
      </c>
      <c r="L48" s="3444"/>
      <c r="M48" s="3466">
        <f ca="1">H101</f>
        <v>2895</v>
      </c>
      <c r="N48" s="3466"/>
      <c r="O48" s="3466"/>
    </row>
    <row r="49" spans="1:35" ht="25.5" customHeight="1">
      <c r="A49" s="2506" t="s">
        <v>1786</v>
      </c>
      <c r="B49" s="3377" t="s">
        <v>1787</v>
      </c>
      <c r="C49" s="3377"/>
      <c r="D49" s="1726">
        <v>0</v>
      </c>
      <c r="E49" s="330" t="s">
        <v>1788</v>
      </c>
      <c r="F49" s="2599" t="s">
        <v>34</v>
      </c>
      <c r="G49" s="3450"/>
      <c r="H49" s="2478" t="s">
        <v>2635</v>
      </c>
      <c r="I49" s="2479"/>
      <c r="J49" s="2695">
        <v>4</v>
      </c>
      <c r="K49" s="3444" t="str">
        <f>IF(项目基本情况!E8="房地产抵押价值","房地产抵押价值","抵押担保权已注销时的房地产抵押价值")</f>
        <v>抵押担保权已注销时的房地产抵押价值</v>
      </c>
      <c r="L49" s="3444"/>
      <c r="M49" s="3466" t="str">
        <f>IF(项目基本情况!E8="房地产抵押价值",H107,H109)</f>
        <v>——</v>
      </c>
      <c r="N49" s="3466"/>
      <c r="O49" s="3466"/>
    </row>
    <row r="50" spans="1:35" ht="25.5" customHeight="1">
      <c r="A50" s="2723"/>
      <c r="B50" s="3377" t="s">
        <v>1789</v>
      </c>
      <c r="C50" s="3377"/>
      <c r="D50" s="2724"/>
      <c r="E50" s="338"/>
      <c r="F50" s="2599"/>
      <c r="G50" s="3451"/>
      <c r="H50" s="2480" t="s">
        <v>2636</v>
      </c>
      <c r="I50" s="2479"/>
      <c r="J50" s="3463" t="s">
        <v>1790</v>
      </c>
      <c r="K50" s="3463"/>
      <c r="L50" s="3463"/>
      <c r="M50" s="3463"/>
      <c r="N50" s="3463"/>
      <c r="O50" s="3463"/>
    </row>
    <row r="51" spans="1:35" ht="20.45" customHeight="1">
      <c r="A51" s="2725"/>
      <c r="B51" s="3377" t="s">
        <v>1791</v>
      </c>
      <c r="C51" s="3377"/>
      <c r="D51" s="1200"/>
      <c r="E51" s="333"/>
      <c r="F51" s="2599"/>
      <c r="G51" s="3452"/>
      <c r="H51" s="2480" t="s">
        <v>2637</v>
      </c>
      <c r="I51" s="2479"/>
      <c r="J51" s="2696" t="s">
        <v>1792</v>
      </c>
      <c r="K51" s="3444" t="s">
        <v>1793</v>
      </c>
      <c r="L51" s="3444"/>
      <c r="M51" s="2696" t="s">
        <v>1794</v>
      </c>
      <c r="N51" s="2696" t="s">
        <v>1795</v>
      </c>
      <c r="O51" s="2696" t="s">
        <v>1796</v>
      </c>
    </row>
    <row r="52" spans="1:35" ht="24" customHeight="1">
      <c r="A52" s="2508" t="s">
        <v>1797</v>
      </c>
      <c r="B52" s="3377" t="s">
        <v>1798</v>
      </c>
      <c r="C52" s="3377"/>
      <c r="D52" s="1200">
        <f ca="1">ROUND(D45*'数据-取费表'!B41/(1+'数据-取费表'!C42),0)</f>
        <v>152</v>
      </c>
      <c r="E52" s="2507" t="s">
        <v>1799</v>
      </c>
      <c r="F52" s="2726">
        <f>'数据-取费表'!B41</f>
        <v>5.5000000000000007E-2</v>
      </c>
      <c r="G52" s="2727"/>
      <c r="H52" s="2716"/>
      <c r="I52" s="1943"/>
      <c r="J52" s="2695">
        <v>1</v>
      </c>
      <c r="K52" s="3445" t="s">
        <v>1800</v>
      </c>
      <c r="L52" s="3445"/>
      <c r="M52" s="2697" t="b">
        <f>D48</f>
        <v>0</v>
      </c>
      <c r="N52" s="2695" t="str">
        <f>E48</f>
        <v>销售额×税（费）率</v>
      </c>
      <c r="O52" s="2698">
        <f>F48</f>
        <v>5.5000000000000007E-2</v>
      </c>
    </row>
    <row r="53" spans="1:35" ht="12" customHeight="1">
      <c r="A53" s="2508" t="s">
        <v>1801</v>
      </c>
      <c r="B53" s="3403" t="s">
        <v>2788</v>
      </c>
      <c r="C53" s="3404"/>
      <c r="D53" s="1200">
        <f ca="1">ROUND(D45*'数据-取费表'!B41/(1+'数据-取费表'!C42),0)</f>
        <v>152</v>
      </c>
      <c r="E53" s="2507" t="s">
        <v>1799</v>
      </c>
      <c r="F53" s="2726">
        <f>'数据-取费表'!B41</f>
        <v>5.5000000000000007E-2</v>
      </c>
      <c r="G53" s="2727"/>
      <c r="H53" s="2716"/>
      <c r="I53" s="1943"/>
      <c r="J53" s="2695">
        <v>2</v>
      </c>
      <c r="K53" s="3445" t="s">
        <v>1802</v>
      </c>
      <c r="L53" s="3445"/>
      <c r="M53" s="2697">
        <f t="shared" ref="M53:O54" ca="1" si="0">D55</f>
        <v>1</v>
      </c>
      <c r="N53" s="2695" t="str">
        <f t="shared" si="0"/>
        <v>销售额×税（费）率</v>
      </c>
      <c r="O53" s="2698" t="str">
        <f t="shared" si="0"/>
        <v>免征</v>
      </c>
    </row>
    <row r="54" spans="1:35" ht="12" customHeight="1">
      <c r="A54" s="2508" t="s">
        <v>1803</v>
      </c>
      <c r="B54" s="3403" t="s">
        <v>2789</v>
      </c>
      <c r="C54" s="3404"/>
      <c r="D54" s="1200">
        <f ca="1">C68</f>
        <v>152</v>
      </c>
      <c r="E54" s="333" t="s">
        <v>1804</v>
      </c>
      <c r="F54" s="2726">
        <f>'数据-取费表'!B41</f>
        <v>5.5000000000000007E-2</v>
      </c>
      <c r="G54" s="2727"/>
      <c r="H54" s="2728"/>
      <c r="I54" s="1943"/>
      <c r="J54" s="2695">
        <v>3</v>
      </c>
      <c r="K54" s="3445" t="s">
        <v>1805</v>
      </c>
      <c r="L54" s="3445"/>
      <c r="M54" s="2697">
        <f t="shared" ca="1" si="0"/>
        <v>1641</v>
      </c>
      <c r="N54" s="2695" t="str">
        <f t="shared" si="0"/>
        <v>增值额×税（费）率</v>
      </c>
      <c r="O54" s="2699" t="str">
        <f t="shared" si="0"/>
        <v>免征</v>
      </c>
    </row>
    <row r="55" spans="1:35" ht="24" customHeight="1">
      <c r="A55" s="3392" t="s">
        <v>1806</v>
      </c>
      <c r="B55" s="3393"/>
      <c r="C55" s="3393"/>
      <c r="D55" s="2497">
        <f ca="1">IF(H55="个人住宅",0,ROUND(D45*I55,0))</f>
        <v>1</v>
      </c>
      <c r="E55" s="2507" t="s">
        <v>1807</v>
      </c>
      <c r="F55" s="2726" t="str">
        <f>IF(H55="正常",I55,"免征")</f>
        <v>免征</v>
      </c>
      <c r="G55" s="2727"/>
      <c r="H55" s="2722"/>
      <c r="I55" s="170">
        <f>'数据-取费表'!B49</f>
        <v>5.0000000000000001E-4</v>
      </c>
      <c r="J55" s="2695">
        <f>IF(H59="非个人房产","",4)</f>
        <v>4</v>
      </c>
      <c r="K55" s="3445" t="str">
        <f>IF(H59="非个人房产","——","个人所得税")</f>
        <v>个人所得税</v>
      </c>
      <c r="L55" s="3445"/>
      <c r="M55" s="2700">
        <f ca="1">D59</f>
        <v>28</v>
      </c>
      <c r="N55" s="2178" t="str">
        <f>E59</f>
        <v>差额计税</v>
      </c>
      <c r="O55" s="2701">
        <f>F59</f>
        <v>0.01</v>
      </c>
    </row>
    <row r="56" spans="1:35" ht="24.75">
      <c r="A56" s="3392" t="s">
        <v>1808</v>
      </c>
      <c r="B56" s="3393"/>
      <c r="C56" s="3393"/>
      <c r="D56" s="2497">
        <f ca="1">IF(H56="个人住宅",D57,D58)</f>
        <v>1641</v>
      </c>
      <c r="E56" s="2507" t="s">
        <v>1809</v>
      </c>
      <c r="F56" s="2726" t="str">
        <f>IF(H56="正常",F58,"免征")</f>
        <v>免征</v>
      </c>
      <c r="G56" s="2729" t="s">
        <v>1810</v>
      </c>
      <c r="H56" s="2730"/>
      <c r="I56" s="1944"/>
      <c r="J56" s="2695" t="str">
        <f>IF(项目基本情况!K6="上海银行",IF(J55="",4,J55+1),"")</f>
        <v/>
      </c>
      <c r="K56" s="3468" t="str">
        <f>IF(项目基本情况!K6="上海银行","其他处置费用","")</f>
        <v/>
      </c>
      <c r="L56" s="3469"/>
      <c r="M56" s="2697" t="str">
        <f>IF(项目基本情况!K6="上海银行",M69,"")</f>
        <v/>
      </c>
      <c r="N56" s="3468" t="str">
        <f>IF(项目基本情况!K6="上海银行","包含处置中涉及的律师、诉讼、拍卖、评估等费用","")</f>
        <v/>
      </c>
      <c r="O56" s="3471"/>
    </row>
    <row r="57" spans="1:35" ht="12.75">
      <c r="A57" s="2508" t="s">
        <v>1786</v>
      </c>
      <c r="B57" s="3403" t="s">
        <v>1811</v>
      </c>
      <c r="C57" s="3404"/>
      <c r="D57" s="1726">
        <v>0</v>
      </c>
      <c r="E57" s="330" t="s">
        <v>1788</v>
      </c>
      <c r="F57" s="308"/>
      <c r="G57" s="2727"/>
      <c r="H57" s="2731"/>
      <c r="I57" s="1944"/>
      <c r="J57" s="3445">
        <f>IF(AND(J55="",J56=""),4,IF(项目基本情况!K6="上海银行",结果表!J56+1,结果表!J55+1))</f>
        <v>5</v>
      </c>
      <c r="K57" s="3445" t="s">
        <v>1812</v>
      </c>
      <c r="L57" s="2702" t="s">
        <v>1813</v>
      </c>
      <c r="M57" s="2703"/>
      <c r="N57" s="2704">
        <f ca="1">SUMIF(M52:M56,"&lt;9e307")</f>
        <v>1670</v>
      </c>
      <c r="O57" s="2705"/>
      <c r="P57" s="2864" t="e">
        <f ca="1">N57/M49</f>
        <v>#VALUE!</v>
      </c>
    </row>
    <row r="58" spans="1:35" ht="24.75">
      <c r="A58" s="2508" t="s">
        <v>1797</v>
      </c>
      <c r="B58" s="3403" t="s">
        <v>1814</v>
      </c>
      <c r="C58" s="3377"/>
      <c r="D58" s="2497">
        <f ca="1">IF(H58="转让取得",C81,C97)</f>
        <v>1641</v>
      </c>
      <c r="E58" s="2507" t="s">
        <v>1809</v>
      </c>
      <c r="F58" s="308" t="s">
        <v>34</v>
      </c>
      <c r="G58" s="2727"/>
      <c r="H58" s="2730"/>
      <c r="I58" s="1944"/>
      <c r="J58" s="3445"/>
      <c r="K58" s="3445"/>
      <c r="L58" s="2702" t="s">
        <v>1815</v>
      </c>
      <c r="M58" s="2706"/>
      <c r="N58" s="2707" t="str">
        <f ca="1">NUMBERSTRING(INT(N57*10000),2)&amp;"元整"</f>
        <v>壹仟陆佰柒拾万元整</v>
      </c>
      <c r="O58" s="2708"/>
    </row>
    <row r="59" spans="1:35" ht="24.75" thickBot="1">
      <c r="A59" s="3448" t="s">
        <v>1816</v>
      </c>
      <c r="B59" s="3449"/>
      <c r="C59" s="3449"/>
      <c r="D59" s="2732">
        <f ca="1">IF(H59="非个人房产","——",IF(H59="个人住宅（满五唯一有凭证）",0,IF(H59="个人其他（无凭证）",ROUND(D45*F59,0),ROUND(C67*F59,0))))</f>
        <v>28</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46">
        <f>J57+1</f>
        <v>6</v>
      </c>
      <c r="K59" s="3445" t="s">
        <v>1817</v>
      </c>
      <c r="L59" s="2695" t="s">
        <v>1813</v>
      </c>
      <c r="M59" s="2709"/>
      <c r="N59" s="2710" t="e">
        <f ca="1">M49-N57</f>
        <v>#VALUE!</v>
      </c>
      <c r="O59" s="2711"/>
    </row>
    <row r="60" spans="1:35" ht="12" customHeight="1">
      <c r="A60" s="1945"/>
      <c r="B60" s="1883"/>
      <c r="C60" s="1883"/>
      <c r="D60" s="1883"/>
      <c r="E60" s="1714"/>
      <c r="F60" s="1944"/>
      <c r="G60" s="1944"/>
      <c r="H60" s="1946"/>
      <c r="I60" s="134"/>
      <c r="J60" s="3447"/>
      <c r="K60" s="3445"/>
      <c r="L60" s="2702" t="s">
        <v>1815</v>
      </c>
      <c r="M60" s="2706"/>
      <c r="N60" s="2707" t="e">
        <f ca="1">NUMBERSTRING(INT(N59*10000),2)&amp;"元整"</f>
        <v>#VALUE!</v>
      </c>
      <c r="O60" s="2708"/>
    </row>
    <row r="61" spans="1:35" ht="13.5" thickBot="1">
      <c r="A61" s="3390" t="s">
        <v>1818</v>
      </c>
      <c r="B61" s="3390"/>
      <c r="C61" s="3390"/>
      <c r="D61" s="3390"/>
      <c r="E61" s="3390"/>
      <c r="F61" s="1944"/>
      <c r="G61" s="1944"/>
      <c r="H61" s="1946"/>
      <c r="I61" s="134"/>
      <c r="J61" s="2695">
        <f>J59+1</f>
        <v>7</v>
      </c>
      <c r="K61" s="3445" t="s">
        <v>1819</v>
      </c>
      <c r="L61" s="3445"/>
      <c r="M61" s="2712"/>
      <c r="N61" s="2713" t="e">
        <f ca="1">ROUND(N59*10000/'数据-汇总表'!E3,0)</f>
        <v>#VALUE!</v>
      </c>
      <c r="O61" s="2714"/>
    </row>
    <row r="62" spans="1:35" ht="12.75">
      <c r="A62" s="3408" t="s">
        <v>1820</v>
      </c>
      <c r="B62" s="3409"/>
      <c r="C62" s="2159"/>
      <c r="D62" s="2159" t="s">
        <v>1821</v>
      </c>
      <c r="E62" s="171" t="s">
        <v>1822</v>
      </c>
      <c r="F62" s="1944"/>
      <c r="G62" s="1944"/>
      <c r="H62" s="1946"/>
      <c r="I62" s="134"/>
    </row>
    <row r="63" spans="1:35" ht="12.75">
      <c r="A63" s="178" t="s">
        <v>594</v>
      </c>
      <c r="B63" s="172" t="s">
        <v>1823</v>
      </c>
      <c r="C63" s="2736">
        <f ca="1">ROUND((C64+C65)/(1+'数据-取费表'!C42),0)</f>
        <v>2757</v>
      </c>
      <c r="D63" s="172"/>
      <c r="E63" s="173"/>
      <c r="F63" s="1944"/>
      <c r="G63" s="1944"/>
      <c r="H63" s="1946"/>
      <c r="I63" s="134"/>
      <c r="J63" s="3470"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f ca="1">D45</f>
        <v>2895</v>
      </c>
      <c r="D64" s="175" t="s">
        <v>32</v>
      </c>
      <c r="E64" s="177"/>
      <c r="F64" s="1944"/>
      <c r="G64" s="1944"/>
      <c r="H64" s="1946"/>
      <c r="I64" s="134"/>
      <c r="J64" s="3470"/>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470"/>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470"/>
      <c r="K66" s="1453" t="s">
        <v>1832</v>
      </c>
      <c r="L66" s="1453" t="e">
        <f>M49*0.5%</f>
        <v>#VALUE!</v>
      </c>
      <c r="M66" s="308" t="e">
        <f>IF(L66&gt;0.5,0.5,ROUND(L66,0))</f>
        <v>#VALUE!</v>
      </c>
      <c r="N66" s="2716" t="s">
        <v>1833</v>
      </c>
      <c r="Z66" s="1888"/>
      <c r="AI66" s="1889"/>
    </row>
    <row r="67" spans="1:35" ht="14.25" customHeight="1">
      <c r="A67" s="178" t="s">
        <v>592</v>
      </c>
      <c r="B67" s="179" t="s">
        <v>1834</v>
      </c>
      <c r="C67" s="2740">
        <f ca="1">C63-C66</f>
        <v>2757</v>
      </c>
      <c r="D67" s="175" t="s">
        <v>32</v>
      </c>
      <c r="E67" s="177"/>
      <c r="F67" s="1944"/>
      <c r="G67" s="1944"/>
      <c r="H67" s="1946"/>
      <c r="I67" s="134"/>
      <c r="J67" s="3470"/>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f ca="1">IF(C67&lt;=0,0,ROUND(C67*D68,0))</f>
        <v>152</v>
      </c>
      <c r="D68" s="2742">
        <f>'数据-取费表'!B41</f>
        <v>5.5000000000000007E-2</v>
      </c>
      <c r="E68" s="184"/>
      <c r="F68" s="1944"/>
      <c r="G68" s="1944"/>
      <c r="H68" s="1946"/>
      <c r="I68" s="134"/>
      <c r="J68" s="3470"/>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470"/>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29" t="s">
        <v>1839</v>
      </c>
      <c r="B70" s="3430"/>
      <c r="C70" s="3430"/>
      <c r="D70" s="3430"/>
      <c r="E70" s="3430"/>
      <c r="F70" s="3430"/>
      <c r="G70" s="3430"/>
      <c r="H70" s="3430"/>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8" t="s">
        <v>1820</v>
      </c>
      <c r="B71" s="3409"/>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0">
        <f ca="1">ROUND(D45/(1+'数据-取费表'!C42),0)</f>
        <v>2757</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0">
        <f ca="1">C74+C78</f>
        <v>14</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403" t="s">
        <v>1847</v>
      </c>
      <c r="F76" s="3377"/>
      <c r="G76" s="3377"/>
      <c r="H76" s="3428"/>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f ca="1">ROUND(D45*D78/(1+'数据-取费表'!C42),0)</f>
        <v>14</v>
      </c>
      <c r="D78" s="2749">
        <f>'数据-取费表'!B43</f>
        <v>5.000000000000001E-3</v>
      </c>
      <c r="E78" s="3387" t="s">
        <v>1851</v>
      </c>
      <c r="F78" s="3388"/>
      <c r="G78" s="3388"/>
      <c r="H78" s="339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0">
        <f ca="1">C72-C73</f>
        <v>2743</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f ca="1">IF(C79&lt;=0,0,C79/C73)</f>
        <v>195.92857142857142</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1">
        <f ca="1">ROUND(IF(C79&lt;=0,0,IF(C80&gt;=200%,C79*60%-C73*35%,IF(C80&gt;=100%,C79*50%-C73*15%,IF(C80&gt;=50%,C79*40%-C73*5%,IF(C80&lt;50%,C79*30%,0))))),0)</f>
        <v>1641</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29" t="s">
        <v>1855</v>
      </c>
      <c r="B83" s="3430"/>
      <c r="C83" s="3430"/>
      <c r="D83" s="3430"/>
      <c r="E83" s="3430"/>
      <c r="F83" s="3430"/>
      <c r="G83" s="3430"/>
      <c r="H83" s="3430"/>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8" t="s">
        <v>1820</v>
      </c>
      <c r="B84" s="3409"/>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0">
        <f ca="1">ROUND(D45/(1+'数据-取费表'!C42),0)</f>
        <v>2757</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0">
        <f ca="1">IF(H88="仅含出让金",C87+C90+C91+C92+C93+C94,C87+C91+C92+C93+C94)</f>
        <v>14</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4"/>
      <c r="D90" s="2749"/>
      <c r="E90" s="199" t="str">
        <f>IF(H88="-","土地取得成本中已包含该笔费用"," ")</f>
        <v xml:space="preserve"> </v>
      </c>
      <c r="F90" s="2500"/>
      <c r="G90" s="3472" t="s">
        <v>2630</v>
      </c>
      <c r="H90" s="3473"/>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387" t="s">
        <v>1864</v>
      </c>
      <c r="F91" s="3388"/>
      <c r="G91" s="3388"/>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387" t="s">
        <v>1867</v>
      </c>
      <c r="F92" s="3388"/>
      <c r="G92" s="3388"/>
      <c r="H92" s="3397"/>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f ca="1">ROUND(D45*D93/(1+'数据-取费表'!C42),0)</f>
        <v>14</v>
      </c>
      <c r="D93" s="2749">
        <f>'数据-取费表'!B43</f>
        <v>5.000000000000001E-3</v>
      </c>
      <c r="E93" s="3387" t="s">
        <v>1851</v>
      </c>
      <c r="F93" s="3388"/>
      <c r="G93" s="3388"/>
      <c r="H93" s="339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398" t="s">
        <v>1871</v>
      </c>
      <c r="F94" s="3399"/>
      <c r="G94" s="3399"/>
      <c r="H94" s="340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0">
        <f ca="1">ROUND(C85-C86,0)</f>
        <v>2743</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f ca="1">IF(C95&lt;=0,0,C95/C86)</f>
        <v>195.92857142857142</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1">
        <f ca="1">ROUND(IF(C95&lt;=0,0,IF(C96&gt;=200%,C95*60%-C86*35%,IF(C96&gt;=100%,C95*50%-C86*15%,IF(C96&gt;=50%,C95*40%-C86*5%,IF(C96&lt;50%,C95*30%,0))))),0)</f>
        <v>1641</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71" t="s">
        <v>1873</v>
      </c>
      <c r="B100" s="3372"/>
      <c r="C100" s="3372"/>
      <c r="D100" s="3389"/>
      <c r="E100" s="3372" t="s">
        <v>1874</v>
      </c>
      <c r="F100" s="3372"/>
      <c r="G100" s="3372"/>
      <c r="H100" s="3389"/>
      <c r="I100" s="134"/>
    </row>
    <row r="101" spans="1:35" ht="18.75" customHeight="1">
      <c r="A101" s="3453" t="s">
        <v>1875</v>
      </c>
      <c r="B101" s="3454"/>
      <c r="C101" s="2757" t="str">
        <f>C4</f>
        <v>成本法</v>
      </c>
      <c r="D101" s="2758" t="str">
        <f>D4</f>
        <v>收益法</v>
      </c>
      <c r="E101" s="3467" t="s">
        <v>1876</v>
      </c>
      <c r="F101" s="3421"/>
      <c r="G101" s="1963" t="s">
        <v>1877</v>
      </c>
      <c r="H101" s="2767">
        <f ca="1">H118</f>
        <v>2895</v>
      </c>
      <c r="I101" s="134"/>
    </row>
    <row r="102" spans="1:35" ht="18.75" customHeight="1">
      <c r="A102" s="3423" t="s">
        <v>1878</v>
      </c>
      <c r="B102" s="2756" t="s">
        <v>1877</v>
      </c>
      <c r="C102" s="2757">
        <f ca="1">C19</f>
        <v>4755</v>
      </c>
      <c r="D102" s="2758">
        <f ca="1">D19</f>
        <v>1035</v>
      </c>
      <c r="E102" s="3467"/>
      <c r="F102" s="3421"/>
      <c r="G102" s="1963" t="s">
        <v>1879</v>
      </c>
      <c r="H102" s="2727">
        <f ca="1">I118</f>
        <v>3498</v>
      </c>
      <c r="I102" s="134"/>
    </row>
    <row r="103" spans="1:35" ht="42.75" customHeight="1">
      <c r="A103" s="3423"/>
      <c r="B103" s="2756" t="s">
        <v>1879</v>
      </c>
      <c r="C103" s="2759">
        <f ca="1">C20</f>
        <v>5746</v>
      </c>
      <c r="D103" s="2760">
        <f ca="1">D20</f>
        <v>1251</v>
      </c>
      <c r="E103" s="3461" t="s">
        <v>1880</v>
      </c>
      <c r="F103" s="3462"/>
      <c r="G103" s="1964" t="s">
        <v>1881</v>
      </c>
      <c r="H103" s="2767">
        <f>IF(D36="正常操作",H104+H105+H106,H105+H106)</f>
        <v>0</v>
      </c>
      <c r="I103" s="134"/>
    </row>
    <row r="104" spans="1:35" ht="18.75" customHeight="1">
      <c r="A104" s="3423" t="s">
        <v>1882</v>
      </c>
      <c r="B104" s="2761" t="s">
        <v>1877</v>
      </c>
      <c r="C104" s="2762">
        <f ca="1">H118</f>
        <v>2895</v>
      </c>
      <c r="D104" s="2763"/>
      <c r="E104" s="1811" t="s">
        <v>1883</v>
      </c>
      <c r="F104" s="1802"/>
      <c r="G104" s="1964" t="s">
        <v>1881</v>
      </c>
      <c r="H104" s="2768">
        <f>IF(D36="同一抵押权人同一抵押物续贷",C36&amp;"（续贷，未扣减，详见特别提示）",C36)</f>
        <v>0</v>
      </c>
      <c r="I104" s="134"/>
    </row>
    <row r="105" spans="1:35" ht="18.75" customHeight="1" thickBot="1">
      <c r="A105" s="3424"/>
      <c r="B105" s="2764" t="s">
        <v>1879</v>
      </c>
      <c r="C105" s="2765">
        <f ca="1">I118</f>
        <v>3498</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20" t="str">
        <f>IF(项目基本情况!E8="已注销","——","3.房地产抵押价值")</f>
        <v>3.房地产抵押价值</v>
      </c>
      <c r="F107" s="3421"/>
      <c r="G107" s="1963" t="s">
        <v>1877</v>
      </c>
      <c r="H107" s="2767">
        <f ca="1">IF(E107="——","——",H101-H103)</f>
        <v>2895</v>
      </c>
      <c r="I107" s="134"/>
    </row>
    <row r="108" spans="1:35" ht="18.75" customHeight="1">
      <c r="A108" s="134"/>
      <c r="B108" s="134"/>
      <c r="C108" s="134"/>
      <c r="D108" s="134"/>
      <c r="E108" s="3420"/>
      <c r="F108" s="3421"/>
      <c r="G108" s="1963" t="s">
        <v>1879</v>
      </c>
      <c r="H108" s="2727">
        <f ca="1">ROUND(H107*10000/'数据-汇总表'!E3,0)</f>
        <v>3498</v>
      </c>
      <c r="I108" s="134"/>
    </row>
    <row r="109" spans="1:35" ht="18.75" customHeight="1">
      <c r="A109" s="134"/>
      <c r="B109" s="134"/>
      <c r="C109" s="134"/>
      <c r="D109" s="134"/>
      <c r="E109" s="3420" t="str">
        <f>IF(项目基本情况!E8="已注销及未注销","4.抵押担保权已注销时的房地产抵押价值",IF(项目基本情况!E8="已注销","3.抵押担保权已注销时的房地产抵押价值","——"))</f>
        <v>——</v>
      </c>
      <c r="F109" s="3421"/>
      <c r="G109" s="1963" t="s">
        <v>1877</v>
      </c>
      <c r="H109" s="2770" t="str">
        <f>IF(E109="——","——",H101-H105-H106)</f>
        <v>——</v>
      </c>
      <c r="I109" s="134"/>
    </row>
    <row r="110" spans="1:35" ht="18.75" customHeight="1">
      <c r="A110" s="134"/>
      <c r="B110" s="134"/>
      <c r="C110" s="134"/>
      <c r="D110" s="134"/>
      <c r="E110" s="3420"/>
      <c r="F110" s="3421"/>
      <c r="G110" s="1963" t="s">
        <v>1879</v>
      </c>
      <c r="H110" s="2727" t="str">
        <f>IF(H109="——","——",ROUND(H109*10000/'数据-汇总表'!E3,0))</f>
        <v>——</v>
      </c>
      <c r="I110" s="134"/>
    </row>
    <row r="111" spans="1:35" ht="18.75" customHeight="1">
      <c r="A111" s="134"/>
      <c r="B111" s="134"/>
      <c r="C111" s="134"/>
      <c r="D111" s="134"/>
      <c r="E111" s="3455" t="str">
        <f>IF(项目基本情况!E9="抵押净值",IF(OR(项目基本情况!E8="已注销",项目基本情况!E8="房地产抵押价值"),"4.抵押净值","5.抵押净值"),"——")</f>
        <v>——</v>
      </c>
      <c r="F111" s="3422"/>
      <c r="G111" s="1963" t="s">
        <v>1877</v>
      </c>
      <c r="H111" s="2767" t="str">
        <f>IF(E111="——","——",N59)</f>
        <v>——</v>
      </c>
      <c r="I111" s="134"/>
    </row>
    <row r="112" spans="1:35" ht="18.75" customHeight="1" thickBot="1">
      <c r="A112" s="134"/>
      <c r="B112" s="134"/>
      <c r="C112" s="134"/>
      <c r="D112" s="134"/>
      <c r="E112" s="3456"/>
      <c r="F112" s="3457"/>
      <c r="G112" s="1966" t="s">
        <v>1879</v>
      </c>
      <c r="H112" s="2771" t="str">
        <f>IF(E111="——","——",N61)</f>
        <v>——</v>
      </c>
      <c r="I112" s="134"/>
    </row>
    <row r="113" spans="1:27" ht="18.75" customHeight="1">
      <c r="A113" s="134"/>
      <c r="B113" s="134"/>
      <c r="C113" s="134"/>
      <c r="D113" s="134"/>
      <c r="E113" s="3425" t="s">
        <v>1885</v>
      </c>
      <c r="F113" s="3425"/>
      <c r="G113" s="3425"/>
      <c r="H113" s="3425"/>
      <c r="I113" s="134"/>
    </row>
    <row r="114" spans="1:27" ht="3.75" customHeight="1">
      <c r="A114" s="1883"/>
      <c r="B114" s="1883"/>
      <c r="C114" s="1883"/>
      <c r="D114" s="1883"/>
      <c r="E114" s="1945"/>
      <c r="F114" s="1945"/>
      <c r="G114" s="1945"/>
      <c r="H114" s="1945"/>
      <c r="I114" s="1883"/>
    </row>
    <row r="115" spans="1:27" ht="18.75" customHeight="1">
      <c r="A115" s="3438" t="s">
        <v>1887</v>
      </c>
      <c r="B115" s="3439"/>
      <c r="C115" s="3439"/>
      <c r="D115" s="3439"/>
      <c r="E115" s="3439"/>
      <c r="F115" s="3439"/>
      <c r="G115" s="3439"/>
      <c r="H115" s="3439"/>
      <c r="I115" s="3440"/>
    </row>
    <row r="116" spans="1:27" ht="27" customHeight="1">
      <c r="A116" s="3391" t="s">
        <v>1888</v>
      </c>
      <c r="B116" s="3426" t="s">
        <v>1889</v>
      </c>
      <c r="C116" s="3426" t="s">
        <v>1890</v>
      </c>
      <c r="D116" s="3442" t="s">
        <v>1891</v>
      </c>
      <c r="E116" s="3443"/>
      <c r="F116" s="3434" t="s">
        <v>1892</v>
      </c>
      <c r="G116" s="3434"/>
      <c r="H116" s="3391" t="s">
        <v>1893</v>
      </c>
      <c r="I116" s="3391"/>
    </row>
    <row r="117" spans="1:27" ht="18.75" customHeight="1">
      <c r="A117" s="3391"/>
      <c r="B117" s="3427"/>
      <c r="C117" s="3427"/>
      <c r="D117" s="2502" t="s">
        <v>1894</v>
      </c>
      <c r="E117" s="2502" t="s">
        <v>1895</v>
      </c>
      <c r="F117" s="2502" t="s">
        <v>1894</v>
      </c>
      <c r="G117" s="2502" t="s">
        <v>1896</v>
      </c>
      <c r="H117" s="2502" t="s">
        <v>1894</v>
      </c>
      <c r="I117" s="2502" t="s">
        <v>1896</v>
      </c>
    </row>
    <row r="118" spans="1:27" ht="24.75" customHeight="1">
      <c r="A118" s="2772" t="str">
        <f>项目基本情况!S2</f>
        <v>北京市香河第一城德胜门高尔夫房地产</v>
      </c>
      <c r="B118" s="2502">
        <f>M18</f>
        <v>8275.91</v>
      </c>
      <c r="C118" s="2502">
        <f>M19</f>
        <v>47032</v>
      </c>
      <c r="D118" s="2502">
        <f ca="1">ROUND(IF(D32="总价",C34,E118*B118/10000),0)</f>
        <v>863</v>
      </c>
      <c r="E118" s="2502">
        <f ca="1">ROUND(IF(C33="自定义",IF(D32="楼面单价",C34,D118*10000/B118),I118-G118),0)</f>
        <v>1043</v>
      </c>
      <c r="F118" s="2502">
        <f ca="1">ROUND(IF(D32="总价",C35,G118*B118/10000),0)</f>
        <v>2032</v>
      </c>
      <c r="G118" s="2502">
        <f ca="1">ROUND(IF(D32="楼面单价",C35,F118*10000/B118),0)</f>
        <v>2455</v>
      </c>
      <c r="H118" s="2502">
        <f ca="1">ROUND(IF(D32="总价",C32,I118*B118/10000),0)</f>
        <v>2895</v>
      </c>
      <c r="I118" s="2502">
        <f ca="1">ROUND(IF(D32="楼面单价",C32,H118*10000/B118),0)</f>
        <v>3498</v>
      </c>
    </row>
    <row r="119" spans="1:27" ht="18.75" customHeight="1">
      <c r="A119" s="3391" t="s">
        <v>1897</v>
      </c>
      <c r="B119" s="3391"/>
      <c r="C119" s="3391"/>
      <c r="D119" s="3431" t="str">
        <f ca="1">NUMBERSTRING(INT(D118*10000),2)&amp;"元整"</f>
        <v>捌佰陆拾叁万元整</v>
      </c>
      <c r="E119" s="3433"/>
      <c r="F119" s="3431" t="str">
        <f ca="1">NUMBERSTRING(INT(F118*10000),2)&amp;"元整"</f>
        <v>贰仟零叁拾贰万元整</v>
      </c>
      <c r="G119" s="3433"/>
      <c r="H119" s="3431" t="str">
        <f ca="1">NUMBERSTRING(INT(H118*10000),2)&amp;"元整"</f>
        <v>贰仟捌佰玖拾伍万元整</v>
      </c>
      <c r="I119" s="3433"/>
    </row>
    <row r="120" spans="1:27" ht="18.75" customHeight="1">
      <c r="A120" s="3458" t="str">
        <f>IF(项目基本情况!B9="房地产市场价值","",MID(E103,3,LEN(E103)-2))</f>
        <v/>
      </c>
      <c r="B120" s="3459"/>
      <c r="C120" s="3460"/>
      <c r="D120" s="3458">
        <f>H103</f>
        <v>0</v>
      </c>
      <c r="E120" s="3459"/>
      <c r="F120" s="3459"/>
      <c r="G120" s="3459"/>
      <c r="H120" s="3459"/>
      <c r="I120" s="3460"/>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5" t="s">
        <v>1897</v>
      </c>
      <c r="B121" s="3436"/>
      <c r="C121" s="3437"/>
      <c r="D121" s="3431" t="str">
        <f>IF(D120=0,"零元整",NUMBERSTRING(INT(D120*10000),2)&amp;"元整")</f>
        <v>零元整</v>
      </c>
      <c r="E121" s="3432"/>
      <c r="F121" s="3432"/>
      <c r="G121" s="3432"/>
      <c r="H121" s="3432"/>
      <c r="I121" s="3433"/>
      <c r="AA121" s="734"/>
    </row>
    <row r="122" spans="1:27" ht="18.75" customHeight="1">
      <c r="A122" s="3422" t="str">
        <f>IF(项目基本情况!B9="房地产市场价值","",MID(E107,3,LEN(E107)-2))</f>
        <v/>
      </c>
      <c r="B122" s="3422"/>
      <c r="C122" s="3422"/>
      <c r="D122" s="3458">
        <f ca="1">H107</f>
        <v>2895</v>
      </c>
      <c r="E122" s="3459"/>
      <c r="F122" s="3459"/>
      <c r="G122" s="3459"/>
      <c r="H122" s="3459"/>
      <c r="I122" s="3460"/>
      <c r="AA122" s="734"/>
    </row>
    <row r="123" spans="1:27" ht="18.75" customHeight="1">
      <c r="A123" s="3391" t="s">
        <v>1897</v>
      </c>
      <c r="B123" s="3391"/>
      <c r="C123" s="3391"/>
      <c r="D123" s="3431" t="str">
        <f ca="1">NUMBERSTRING(INT(D122*10000),2)&amp;"元整"</f>
        <v>贰仟捌佰玖拾伍万元整</v>
      </c>
      <c r="E123" s="3432"/>
      <c r="F123" s="3432"/>
      <c r="G123" s="3432"/>
      <c r="H123" s="3432"/>
      <c r="I123" s="3433"/>
      <c r="AA123" s="734"/>
    </row>
    <row r="124" spans="1:27" ht="18.75" customHeight="1">
      <c r="A124" s="3422" t="str">
        <f>IF(项目基本情况!B9="房地产市场价值","",MID(E109,3,LEN(E109)-2))</f>
        <v/>
      </c>
      <c r="B124" s="3422"/>
      <c r="C124" s="3422"/>
      <c r="D124" s="3458" t="str">
        <f>H109</f>
        <v>——</v>
      </c>
      <c r="E124" s="3459"/>
      <c r="F124" s="3459"/>
      <c r="G124" s="3459"/>
      <c r="H124" s="3459"/>
      <c r="I124" s="3460"/>
      <c r="AA124" s="734"/>
    </row>
    <row r="125" spans="1:27" ht="18.75" customHeight="1">
      <c r="A125" s="3391" t="s">
        <v>1897</v>
      </c>
      <c r="B125" s="3391"/>
      <c r="C125" s="3391"/>
      <c r="D125" s="3431" t="e">
        <f>NUMBERSTRING(INT(D124*10000),2)&amp;"元整"</f>
        <v>#VALUE!</v>
      </c>
      <c r="E125" s="3432"/>
      <c r="F125" s="3432"/>
      <c r="G125" s="3432"/>
      <c r="H125" s="3432"/>
      <c r="I125" s="3433"/>
      <c r="AA125" s="734"/>
    </row>
    <row r="126" spans="1:27" ht="18.75" customHeight="1">
      <c r="A126" s="3422" t="str">
        <f>IF(项目基本情况!B9="房地产市场价值","",MID(E111,3,LEN(E111)-2))</f>
        <v/>
      </c>
      <c r="B126" s="3422"/>
      <c r="C126" s="3422"/>
      <c r="D126" s="3458" t="str">
        <f>H111</f>
        <v>——</v>
      </c>
      <c r="E126" s="3459"/>
      <c r="F126" s="3459"/>
      <c r="G126" s="3459"/>
      <c r="H126" s="3459"/>
      <c r="I126" s="3460"/>
      <c r="AA126" s="734"/>
    </row>
    <row r="127" spans="1:27" ht="18.75" customHeight="1">
      <c r="A127" s="3391" t="s">
        <v>1897</v>
      </c>
      <c r="B127" s="3391"/>
      <c r="C127" s="3391"/>
      <c r="D127" s="3431" t="e">
        <f>NUMBERSTRING(INT(D126*10000),2)&amp;"元整"</f>
        <v>#VALUE!</v>
      </c>
      <c r="E127" s="3432"/>
      <c r="F127" s="3432"/>
      <c r="G127" s="3432"/>
      <c r="H127" s="3432"/>
      <c r="I127" s="3433"/>
      <c r="AA127" s="734"/>
    </row>
    <row r="128" spans="1:27" ht="21.75" customHeight="1">
      <c r="A128" s="3441" t="s">
        <v>1898</v>
      </c>
      <c r="B128" s="3441"/>
      <c r="C128" s="3441"/>
      <c r="D128" s="3441"/>
      <c r="E128" s="3441"/>
      <c r="F128" s="3441"/>
      <c r="G128" s="3441"/>
      <c r="H128" s="3441"/>
      <c r="I128" s="3441"/>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3" t="str">
        <f>项目基本情况!B1</f>
        <v>北京市香河第一城德胜门高尔夫房地产市场价值预评估</v>
      </c>
      <c r="C37" s="3273"/>
      <c r="D37" s="3273"/>
      <c r="E37" s="3273"/>
      <c r="F37" s="3273"/>
      <c r="G37" s="3273"/>
      <c r="H37" s="3273"/>
      <c r="I37" s="327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Normal="60" zoomScaleSheetLayoutView="100" workbookViewId="0">
      <selection activeCell="K27" sqref="K27"/>
    </sheetView>
  </sheetViews>
  <sheetFormatPr defaultColWidth="9" defaultRowHeight="14.25"/>
  <cols>
    <col min="1" max="1" width="14.375" style="363" customWidth="1"/>
    <col min="2" max="2" width="15.75" style="363" customWidth="1"/>
    <col min="3" max="3" width="18.2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983</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1188</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5">
      <c r="A4" s="361" t="s">
        <v>2225</v>
      </c>
      <c r="B4" s="362"/>
      <c r="C4" s="3478" t="s">
        <v>2226</v>
      </c>
      <c r="D4" s="3490"/>
      <c r="E4" s="3491" t="s">
        <v>2227</v>
      </c>
      <c r="F4" s="3492"/>
      <c r="G4" s="3478" t="s">
        <v>2228</v>
      </c>
      <c r="H4" s="3490"/>
      <c r="I4" s="3478" t="s">
        <v>2229</v>
      </c>
      <c r="J4" s="3490"/>
      <c r="K4" s="567" t="s">
        <v>2230</v>
      </c>
      <c r="L4" s="2889"/>
      <c r="M4" s="2890"/>
      <c r="N4" s="2890"/>
      <c r="O4" s="2890"/>
      <c r="P4" s="3493" t="s">
        <v>2231</v>
      </c>
      <c r="Q4" s="3494"/>
      <c r="R4" s="3499" t="s">
        <v>2227</v>
      </c>
      <c r="S4" s="3500"/>
      <c r="T4" s="3499" t="s">
        <v>2228</v>
      </c>
      <c r="U4" s="3500"/>
      <c r="V4" s="3486" t="s">
        <v>2229</v>
      </c>
      <c r="W4" s="3486"/>
      <c r="X4" s="1490"/>
      <c r="Y4" s="3499" t="s">
        <v>2231</v>
      </c>
      <c r="Z4" s="3500"/>
      <c r="AA4" s="3487" t="s">
        <v>2227</v>
      </c>
      <c r="AB4" s="3488" t="s">
        <v>2228</v>
      </c>
      <c r="AC4" s="3487" t="s">
        <v>2229</v>
      </c>
    </row>
    <row r="5" spans="1:30" ht="15">
      <c r="A5" s="364"/>
      <c r="B5" s="365"/>
      <c r="C5" s="3507" t="s">
        <v>2122</v>
      </c>
      <c r="D5" s="3508"/>
      <c r="E5" s="3514" t="str">
        <f>土地案例!A4</f>
        <v>永盛路东侧,新华大街南侧</v>
      </c>
      <c r="F5" s="3515"/>
      <c r="G5" s="3507" t="str">
        <f>土地案例!A10</f>
        <v>平安大街北侧,北经三路东侧</v>
      </c>
      <c r="H5" s="3508"/>
      <c r="I5" s="3507" t="str">
        <f>土地案例!A11</f>
        <v>平安大街北侧,北经三路西侧</v>
      </c>
      <c r="J5" s="3508"/>
      <c r="K5" s="567"/>
      <c r="L5" s="2889"/>
      <c r="M5" s="2890"/>
      <c r="N5" s="2890"/>
      <c r="O5" s="2890"/>
      <c r="P5" s="3495"/>
      <c r="Q5" s="3496"/>
      <c r="R5" s="3501"/>
      <c r="S5" s="3502"/>
      <c r="T5" s="3501"/>
      <c r="U5" s="3502"/>
      <c r="V5" s="3486"/>
      <c r="W5" s="3486"/>
      <c r="X5" s="1490"/>
      <c r="Y5" s="3501"/>
      <c r="Z5" s="3502"/>
      <c r="AA5" s="3488"/>
      <c r="AB5" s="3488"/>
      <c r="AC5" s="3488"/>
    </row>
    <row r="6" spans="1:30" ht="15.75" thickBot="1">
      <c r="A6" s="366"/>
      <c r="B6" s="367"/>
      <c r="C6" s="3505" t="s">
        <v>2126</v>
      </c>
      <c r="D6" s="3506"/>
      <c r="E6" s="3512" t="s">
        <v>2126</v>
      </c>
      <c r="F6" s="3513"/>
      <c r="G6" s="3505" t="s">
        <v>2126</v>
      </c>
      <c r="H6" s="3506"/>
      <c r="I6" s="3505" t="s">
        <v>2126</v>
      </c>
      <c r="J6" s="3506"/>
      <c r="K6" s="567" t="s">
        <v>2127</v>
      </c>
      <c r="L6" s="2889"/>
      <c r="M6" s="2890"/>
      <c r="N6" s="2890"/>
      <c r="O6" s="2890"/>
      <c r="P6" s="3497"/>
      <c r="Q6" s="3498"/>
      <c r="R6" s="3501"/>
      <c r="S6" s="3502"/>
      <c r="T6" s="3503"/>
      <c r="U6" s="3504"/>
      <c r="V6" s="3486"/>
      <c r="W6" s="3486"/>
      <c r="X6" s="1490"/>
      <c r="Y6" s="3503"/>
      <c r="Z6" s="3504"/>
      <c r="AA6" s="3489"/>
      <c r="AB6" s="3489"/>
      <c r="AC6" s="3489"/>
    </row>
    <row r="7" spans="1:30" s="113" customFormat="1" ht="15.7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509" t="s">
        <v>2129</v>
      </c>
      <c r="Q7" s="3511"/>
      <c r="R7" s="710" t="s">
        <v>17</v>
      </c>
      <c r="S7" s="711">
        <f t="shared" ref="S7:S15" si="0">F7</f>
        <v>99.6</v>
      </c>
      <c r="T7" s="710" t="s">
        <v>17</v>
      </c>
      <c r="U7" s="711">
        <f t="shared" ref="U7:U15" si="1">H7</f>
        <v>99.199999999999989</v>
      </c>
      <c r="V7" s="710" t="s">
        <v>17</v>
      </c>
      <c r="W7" s="711">
        <f t="shared" ref="W7:W15" si="2">J7</f>
        <v>98.999999999999986</v>
      </c>
      <c r="X7" s="712"/>
      <c r="Y7" s="3509" t="s">
        <v>2129</v>
      </c>
      <c r="Z7" s="3510"/>
      <c r="AA7" s="713">
        <f>D7/F7</f>
        <v>1.0040160642570282</v>
      </c>
      <c r="AB7" s="713">
        <f>D7/H7</f>
        <v>1.0080645161290325</v>
      </c>
      <c r="AC7" s="713">
        <f>D7/J7</f>
        <v>1.0101010101010102</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509" t="s">
        <v>2132</v>
      </c>
      <c r="Q8" s="3510"/>
      <c r="R8" s="710" t="s">
        <v>17</v>
      </c>
      <c r="S8" s="711">
        <f t="shared" si="0"/>
        <v>100</v>
      </c>
      <c r="T8" s="710" t="s">
        <v>17</v>
      </c>
      <c r="U8" s="711">
        <f t="shared" si="1"/>
        <v>100</v>
      </c>
      <c r="V8" s="710" t="s">
        <v>17</v>
      </c>
      <c r="W8" s="711">
        <f t="shared" si="2"/>
        <v>100</v>
      </c>
      <c r="X8" s="712"/>
      <c r="Y8" s="3509" t="s">
        <v>2132</v>
      </c>
      <c r="Z8" s="3510"/>
      <c r="AA8" s="713">
        <f t="shared" ref="AA8:AA45" si="3">D8/F8</f>
        <v>1</v>
      </c>
      <c r="AB8" s="713">
        <f t="shared" ref="AB8:AB45" si="4">D8/H8</f>
        <v>1</v>
      </c>
      <c r="AC8" s="713">
        <f t="shared" ref="AC8:AC45" si="5">D8/J8</f>
        <v>1</v>
      </c>
    </row>
    <row r="9" spans="1:30" s="113" customFormat="1">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81" t="s">
        <v>2135</v>
      </c>
      <c r="Q9" s="1478" t="str">
        <f t="shared" ref="Q9:Q15" si="6">B9</f>
        <v>用途</v>
      </c>
      <c r="R9" s="710" t="s">
        <v>17</v>
      </c>
      <c r="S9" s="711">
        <f t="shared" si="0"/>
        <v>100</v>
      </c>
      <c r="T9" s="710" t="s">
        <v>17</v>
      </c>
      <c r="U9" s="711">
        <f t="shared" si="1"/>
        <v>100</v>
      </c>
      <c r="V9" s="710" t="s">
        <v>17</v>
      </c>
      <c r="W9" s="711">
        <f t="shared" si="2"/>
        <v>100</v>
      </c>
      <c r="X9" s="712"/>
      <c r="Y9" s="337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v>100</v>
      </c>
      <c r="G10" s="422"/>
      <c r="H10" s="132">
        <v>100</v>
      </c>
      <c r="I10" s="422"/>
      <c r="J10" s="132">
        <v>100</v>
      </c>
      <c r="K10" s="628"/>
      <c r="L10" s="2893"/>
      <c r="M10" s="2894"/>
      <c r="N10" s="2894"/>
      <c r="O10" s="2947"/>
      <c r="P10" s="3481"/>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30" ht="15">
      <c r="A11" s="387"/>
      <c r="B11" s="381" t="s">
        <v>2138</v>
      </c>
      <c r="C11" s="388">
        <f>'数据-汇总表'!I4</f>
        <v>0.18</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81"/>
      <c r="Q11" s="1478" t="str">
        <f t="shared" si="6"/>
        <v>容积率</v>
      </c>
      <c r="R11" s="710" t="s">
        <v>17</v>
      </c>
      <c r="S11" s="711">
        <f t="shared" si="0"/>
        <v>99</v>
      </c>
      <c r="T11" s="710" t="s">
        <v>17</v>
      </c>
      <c r="U11" s="711">
        <f t="shared" si="1"/>
        <v>98</v>
      </c>
      <c r="V11" s="710" t="s">
        <v>17</v>
      </c>
      <c r="W11" s="711">
        <f t="shared" si="2"/>
        <v>98</v>
      </c>
      <c r="X11" s="712"/>
      <c r="Y11" s="3378"/>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81"/>
      <c r="Q12" s="1478"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81"/>
      <c r="Q13" s="1478">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81"/>
      <c r="Q14" s="1478">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82" t="s">
        <v>2140</v>
      </c>
      <c r="Q15" s="1487" t="str">
        <f t="shared" si="6"/>
        <v>居住社区成熟度</v>
      </c>
      <c r="R15" s="714" t="s">
        <v>17</v>
      </c>
      <c r="S15" s="715">
        <f t="shared" si="0"/>
        <v>100</v>
      </c>
      <c r="T15" s="714" t="s">
        <v>17</v>
      </c>
      <c r="U15" s="715">
        <f t="shared" si="1"/>
        <v>100</v>
      </c>
      <c r="V15" s="714" t="s">
        <v>17</v>
      </c>
      <c r="W15" s="715">
        <f t="shared" si="2"/>
        <v>100</v>
      </c>
      <c r="X15" s="1490"/>
      <c r="Y15" s="3482"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483"/>
      <c r="Q16" s="1487"/>
      <c r="R16" s="714"/>
      <c r="S16" s="715"/>
      <c r="T16" s="714"/>
      <c r="U16" s="715"/>
      <c r="V16" s="714"/>
      <c r="W16" s="715"/>
      <c r="X16" s="1490"/>
      <c r="Y16" s="3483"/>
      <c r="Z16" s="1491"/>
      <c r="AA16" s="1488">
        <v>1</v>
      </c>
      <c r="AB16" s="1488">
        <v>1</v>
      </c>
      <c r="AC16" s="1488">
        <v>1</v>
      </c>
    </row>
    <row r="17" spans="1:29" ht="71.25">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483"/>
      <c r="Q17" s="1487" t="str">
        <f>B17</f>
        <v>商业繁华度</v>
      </c>
      <c r="R17" s="714" t="s">
        <v>17</v>
      </c>
      <c r="S17" s="715">
        <f>F17</f>
        <v>90</v>
      </c>
      <c r="T17" s="714" t="s">
        <v>17</v>
      </c>
      <c r="U17" s="715">
        <f>H17</f>
        <v>90</v>
      </c>
      <c r="V17" s="714" t="s">
        <v>17</v>
      </c>
      <c r="W17" s="715">
        <f>J17</f>
        <v>90</v>
      </c>
      <c r="X17" s="1490"/>
      <c r="Y17" s="3483"/>
      <c r="Z17" s="1491" t="str">
        <f>Q17</f>
        <v>商业繁华度</v>
      </c>
      <c r="AA17" s="1488">
        <f t="shared" si="3"/>
        <v>1.1111111111111112</v>
      </c>
      <c r="AB17" s="1488">
        <f t="shared" si="4"/>
        <v>1.1111111111111112</v>
      </c>
      <c r="AC17" s="1488">
        <f t="shared" si="5"/>
        <v>1.1111111111111112</v>
      </c>
    </row>
    <row r="18" spans="1:29" ht="15">
      <c r="A18" s="387"/>
      <c r="B18" s="415"/>
      <c r="C18" s="2037" t="s">
        <v>3534</v>
      </c>
      <c r="D18" s="409"/>
      <c r="E18" s="2039" t="s">
        <v>3533</v>
      </c>
      <c r="F18" s="409"/>
      <c r="G18" s="2039" t="s">
        <v>3533</v>
      </c>
      <c r="H18" s="407"/>
      <c r="I18" s="2039" t="s">
        <v>3533</v>
      </c>
      <c r="J18" s="407"/>
      <c r="K18" s="628"/>
      <c r="L18" s="2896"/>
      <c r="M18" s="2890"/>
      <c r="N18" s="2890"/>
      <c r="O18" s="2948"/>
      <c r="P18" s="3483"/>
      <c r="Q18" s="1487"/>
      <c r="R18" s="714"/>
      <c r="S18" s="715"/>
      <c r="T18" s="714"/>
      <c r="U18" s="715"/>
      <c r="V18" s="714"/>
      <c r="W18" s="715"/>
      <c r="X18" s="1490"/>
      <c r="Y18" s="3483"/>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83"/>
      <c r="Q19" s="1487" t="str">
        <f>B19</f>
        <v>办公集聚程度</v>
      </c>
      <c r="R19" s="714" t="s">
        <v>17</v>
      </c>
      <c r="S19" s="715">
        <f>F19</f>
        <v>100</v>
      </c>
      <c r="T19" s="714" t="s">
        <v>17</v>
      </c>
      <c r="U19" s="715">
        <f>H19</f>
        <v>100</v>
      </c>
      <c r="V19" s="714" t="s">
        <v>17</v>
      </c>
      <c r="W19" s="715">
        <f>J19</f>
        <v>100</v>
      </c>
      <c r="X19" s="1490"/>
      <c r="Y19" s="3483"/>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483"/>
      <c r="Q20" s="1487"/>
      <c r="R20" s="714"/>
      <c r="S20" s="715"/>
      <c r="T20" s="714"/>
      <c r="U20" s="715"/>
      <c r="V20" s="714"/>
      <c r="W20" s="715"/>
      <c r="X20" s="1490"/>
      <c r="Y20" s="3483"/>
      <c r="Z20" s="1491"/>
      <c r="AA20" s="1488">
        <v>1</v>
      </c>
      <c r="AB20" s="1488">
        <v>1</v>
      </c>
      <c r="AC20" s="1488">
        <v>1</v>
      </c>
    </row>
    <row r="21" spans="1:29" ht="114">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483"/>
      <c r="Q21" s="1487" t="str">
        <f>B21</f>
        <v>交通便捷度</v>
      </c>
      <c r="R21" s="714" t="s">
        <v>17</v>
      </c>
      <c r="S21" s="715">
        <f>F21</f>
        <v>100</v>
      </c>
      <c r="T21" s="714" t="s">
        <v>17</v>
      </c>
      <c r="U21" s="715">
        <f>H21</f>
        <v>100</v>
      </c>
      <c r="V21" s="714" t="s">
        <v>17</v>
      </c>
      <c r="W21" s="715">
        <f>J21</f>
        <v>100</v>
      </c>
      <c r="X21" s="1490"/>
      <c r="Y21" s="3483"/>
      <c r="Z21" s="1491" t="str">
        <f>Q21</f>
        <v>交通便捷度</v>
      </c>
      <c r="AA21" s="1488">
        <f t="shared" si="3"/>
        <v>1</v>
      </c>
      <c r="AB21" s="1488">
        <f t="shared" si="4"/>
        <v>1</v>
      </c>
      <c r="AC21" s="1488">
        <f t="shared" si="5"/>
        <v>1</v>
      </c>
    </row>
    <row r="22" spans="1:29" ht="15">
      <c r="A22" s="387"/>
      <c r="B22" s="1246"/>
      <c r="C22" s="406" t="s">
        <v>3533</v>
      </c>
      <c r="D22" s="409"/>
      <c r="E22" s="406" t="s">
        <v>3533</v>
      </c>
      <c r="F22" s="407"/>
      <c r="G22" s="406" t="s">
        <v>3533</v>
      </c>
      <c r="H22" s="407"/>
      <c r="I22" s="406" t="s">
        <v>3533</v>
      </c>
      <c r="J22" s="407"/>
      <c r="K22" s="628"/>
      <c r="L22" s="2896"/>
      <c r="M22" s="2890"/>
      <c r="N22" s="2890"/>
      <c r="O22" s="2948"/>
      <c r="P22" s="3483"/>
      <c r="Q22" s="1487"/>
      <c r="R22" s="714"/>
      <c r="S22" s="715"/>
      <c r="T22" s="714"/>
      <c r="U22" s="715"/>
      <c r="V22" s="714"/>
      <c r="W22" s="715"/>
      <c r="X22" s="1490"/>
      <c r="Y22" s="348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83"/>
      <c r="Q23" s="1487" t="str">
        <f t="shared" ref="Q23:Q37" si="8">B23</f>
        <v>区域土地利用方向</v>
      </c>
      <c r="R23" s="714" t="s">
        <v>17</v>
      </c>
      <c r="S23" s="715">
        <f>F23</f>
        <v>100</v>
      </c>
      <c r="T23" s="714" t="s">
        <v>17</v>
      </c>
      <c r="U23" s="715">
        <f>H23</f>
        <v>100</v>
      </c>
      <c r="V23" s="714" t="s">
        <v>17</v>
      </c>
      <c r="W23" s="715">
        <f>J23</f>
        <v>100</v>
      </c>
      <c r="X23" s="1490"/>
      <c r="Y23" s="3483"/>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483"/>
      <c r="Q24" s="1487"/>
      <c r="R24" s="714"/>
      <c r="S24" s="715"/>
      <c r="T24" s="714"/>
      <c r="U24" s="715"/>
      <c r="V24" s="714"/>
      <c r="W24" s="715"/>
      <c r="X24" s="1490"/>
      <c r="Y24" s="3483"/>
      <c r="Z24" s="1491"/>
      <c r="AA24" s="1488"/>
      <c r="AB24" s="1488"/>
      <c r="AC24" s="1488"/>
    </row>
    <row r="25" spans="1:29" ht="71.25">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92</v>
      </c>
      <c r="G25" s="411"/>
      <c r="H25" s="409">
        <f>SUMIF(97:97,G26,98:98)-SUMIF(97:97,C26,98:98)+100</f>
        <v>92</v>
      </c>
      <c r="I25" s="413"/>
      <c r="J25" s="409">
        <f>SUMIF(97:97,I26,98:98)-SUMIF(97:97,C26,98:98)+100</f>
        <v>92</v>
      </c>
      <c r="K25" s="629">
        <v>8</v>
      </c>
      <c r="L25" s="2896"/>
      <c r="M25" s="2890"/>
      <c r="N25" s="2890"/>
      <c r="O25" s="2948"/>
      <c r="P25" s="3483"/>
      <c r="Q25" s="1487" t="str">
        <f t="shared" si="8"/>
        <v>自然及人文环境状况</v>
      </c>
      <c r="R25" s="714" t="s">
        <v>17</v>
      </c>
      <c r="S25" s="715">
        <f>F25</f>
        <v>92</v>
      </c>
      <c r="T25" s="714" t="s">
        <v>17</v>
      </c>
      <c r="U25" s="715">
        <f>H25</f>
        <v>92</v>
      </c>
      <c r="V25" s="714" t="s">
        <v>17</v>
      </c>
      <c r="W25" s="715">
        <f>J25</f>
        <v>92</v>
      </c>
      <c r="X25" s="1490"/>
      <c r="Y25" s="3483"/>
      <c r="Z25" s="1491" t="str">
        <f>Q25</f>
        <v>自然及人文环境状况</v>
      </c>
      <c r="AA25" s="1488">
        <f t="shared" si="3"/>
        <v>1.0869565217391304</v>
      </c>
      <c r="AB25" s="1488">
        <f t="shared" si="4"/>
        <v>1.0869565217391304</v>
      </c>
      <c r="AC25" s="1488">
        <f t="shared" si="5"/>
        <v>1.0869565217391304</v>
      </c>
    </row>
    <row r="26" spans="1:29" ht="15">
      <c r="A26" s="364"/>
      <c r="B26" s="415"/>
      <c r="C26" s="406" t="s">
        <v>3534</v>
      </c>
      <c r="D26" s="407"/>
      <c r="E26" s="2040" t="s">
        <v>3533</v>
      </c>
      <c r="F26" s="407"/>
      <c r="G26" s="2040" t="s">
        <v>3533</v>
      </c>
      <c r="H26" s="407"/>
      <c r="I26" s="2040" t="s">
        <v>3533</v>
      </c>
      <c r="J26" s="407"/>
      <c r="K26" s="628"/>
      <c r="L26" s="2896"/>
      <c r="M26" s="2890"/>
      <c r="N26" s="2890"/>
      <c r="O26" s="2948"/>
      <c r="P26" s="3483"/>
      <c r="Q26" s="1487"/>
      <c r="R26" s="714"/>
      <c r="S26" s="715"/>
      <c r="T26" s="714"/>
      <c r="U26" s="715"/>
      <c r="V26" s="714"/>
      <c r="W26" s="715"/>
      <c r="X26" s="1490"/>
      <c r="Y26" s="3483"/>
      <c r="Z26" s="1491"/>
      <c r="AA26" s="1488">
        <v>1</v>
      </c>
      <c r="AB26" s="1488">
        <v>1</v>
      </c>
      <c r="AC26" s="1488">
        <v>1</v>
      </c>
    </row>
    <row r="27" spans="1:29" s="113" customFormat="1" ht="57">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483"/>
      <c r="Q27" s="1478" t="str">
        <f t="shared" si="8"/>
        <v>公共配套设施</v>
      </c>
      <c r="R27" s="710" t="s">
        <v>17</v>
      </c>
      <c r="S27" s="711">
        <f>F27</f>
        <v>100</v>
      </c>
      <c r="T27" s="710" t="s">
        <v>17</v>
      </c>
      <c r="U27" s="711">
        <f>H27</f>
        <v>100</v>
      </c>
      <c r="V27" s="710" t="s">
        <v>17</v>
      </c>
      <c r="W27" s="711">
        <f>J27</f>
        <v>100</v>
      </c>
      <c r="X27" s="712"/>
      <c r="Y27" s="3483"/>
      <c r="Z27" s="55" t="str">
        <f>Q27</f>
        <v>公共配套设施</v>
      </c>
      <c r="AA27" s="1488">
        <f>D27/F27</f>
        <v>1</v>
      </c>
      <c r="AB27" s="1488">
        <f>D27/H27</f>
        <v>1</v>
      </c>
      <c r="AC27" s="1488">
        <f>D27/J27</f>
        <v>1</v>
      </c>
    </row>
    <row r="28" spans="1:29" s="113" customFormat="1" ht="15">
      <c r="A28" s="605"/>
      <c r="B28" s="415"/>
      <c r="C28" s="406" t="s">
        <v>3533</v>
      </c>
      <c r="D28" s="407"/>
      <c r="E28" s="406" t="s">
        <v>3533</v>
      </c>
      <c r="F28" s="407"/>
      <c r="G28" s="406" t="s">
        <v>3533</v>
      </c>
      <c r="H28" s="407"/>
      <c r="I28" s="406" t="s">
        <v>3533</v>
      </c>
      <c r="J28" s="407"/>
      <c r="K28" s="628"/>
      <c r="L28" s="2891"/>
      <c r="M28" s="2892"/>
      <c r="N28" s="2892"/>
      <c r="O28" s="2946"/>
      <c r="P28" s="3483"/>
      <c r="Q28" s="1478"/>
      <c r="R28" s="710"/>
      <c r="S28" s="711"/>
      <c r="T28" s="710"/>
      <c r="U28" s="711"/>
      <c r="V28" s="710"/>
      <c r="W28" s="711"/>
      <c r="X28" s="712"/>
      <c r="Y28" s="3483"/>
      <c r="Z28" s="55"/>
      <c r="AA28" s="1488">
        <v>1</v>
      </c>
      <c r="AB28" s="1488">
        <v>1</v>
      </c>
      <c r="AC28" s="1488">
        <v>1</v>
      </c>
    </row>
    <row r="29" spans="1:29" s="113" customFormat="1" ht="28.5">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483"/>
      <c r="Q29" s="1478" t="str">
        <f t="shared" ref="Q29" si="9">B29</f>
        <v>基础设施水平</v>
      </c>
      <c r="R29" s="710" t="s">
        <v>17</v>
      </c>
      <c r="S29" s="711">
        <f>F29</f>
        <v>100</v>
      </c>
      <c r="T29" s="710" t="s">
        <v>17</v>
      </c>
      <c r="U29" s="711">
        <f>H29</f>
        <v>100</v>
      </c>
      <c r="V29" s="710" t="s">
        <v>17</v>
      </c>
      <c r="W29" s="711">
        <f>J29</f>
        <v>100</v>
      </c>
      <c r="X29" s="712"/>
      <c r="Y29" s="3483"/>
      <c r="Z29" s="55" t="str">
        <f>Q29</f>
        <v>基础设施水平</v>
      </c>
      <c r="AA29" s="1488">
        <f>D29/F29</f>
        <v>1</v>
      </c>
      <c r="AB29" s="1488">
        <f>D29/H29</f>
        <v>1</v>
      </c>
      <c r="AC29" s="1488">
        <f>D29/J29</f>
        <v>1</v>
      </c>
    </row>
    <row r="30" spans="1:29" s="113" customFormat="1" ht="15">
      <c r="A30" s="605"/>
      <c r="B30" s="415"/>
      <c r="C30" s="2114" t="s">
        <v>3535</v>
      </c>
      <c r="D30" s="407"/>
      <c r="E30" s="2114" t="s">
        <v>3535</v>
      </c>
      <c r="F30" s="407"/>
      <c r="G30" s="2114" t="s">
        <v>3535</v>
      </c>
      <c r="H30" s="407"/>
      <c r="I30" s="2114" t="s">
        <v>3535</v>
      </c>
      <c r="J30" s="407"/>
      <c r="K30" s="628"/>
      <c r="L30" s="2891"/>
      <c r="M30" s="2892"/>
      <c r="N30" s="2892"/>
      <c r="O30" s="2946"/>
      <c r="P30" s="3483"/>
      <c r="Q30" s="1478"/>
      <c r="R30" s="710"/>
      <c r="S30" s="711"/>
      <c r="T30" s="710"/>
      <c r="U30" s="711"/>
      <c r="V30" s="710"/>
      <c r="W30" s="711"/>
      <c r="X30" s="712"/>
      <c r="Y30" s="348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8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83"/>
      <c r="Q32" s="1487" t="str">
        <f t="shared" si="8"/>
        <v>毗邻道路的类型与等级</v>
      </c>
      <c r="R32" s="714" t="s">
        <v>17</v>
      </c>
      <c r="S32" s="715">
        <f t="shared" si="10"/>
        <v>100</v>
      </c>
      <c r="T32" s="714" t="s">
        <v>17</v>
      </c>
      <c r="U32" s="715">
        <f t="shared" si="11"/>
        <v>100</v>
      </c>
      <c r="V32" s="714" t="s">
        <v>17</v>
      </c>
      <c r="W32" s="715">
        <f t="shared" si="12"/>
        <v>100</v>
      </c>
      <c r="X32" s="1490"/>
      <c r="Y32" s="3483"/>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483"/>
      <c r="Q33" s="1487"/>
      <c r="R33" s="714"/>
      <c r="S33" s="715"/>
      <c r="T33" s="714"/>
      <c r="U33" s="715"/>
      <c r="V33" s="714"/>
      <c r="W33" s="715"/>
      <c r="X33" s="1490"/>
      <c r="Y33" s="348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83"/>
      <c r="Q34" s="1487" t="str">
        <f t="shared" si="8"/>
        <v>土地级别</v>
      </c>
      <c r="R34" s="714" t="s">
        <v>17</v>
      </c>
      <c r="S34" s="715">
        <f t="shared" si="10"/>
        <v>100</v>
      </c>
      <c r="T34" s="714" t="s">
        <v>17</v>
      </c>
      <c r="U34" s="715">
        <f t="shared" si="11"/>
        <v>100</v>
      </c>
      <c r="V34" s="714" t="s">
        <v>17</v>
      </c>
      <c r="W34" s="715">
        <f t="shared" si="12"/>
        <v>100</v>
      </c>
      <c r="X34" s="1490"/>
      <c r="Y34" s="348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83"/>
      <c r="Q35" s="1487">
        <f t="shared" si="8"/>
        <v>111</v>
      </c>
      <c r="R35" s="714" t="s">
        <v>17</v>
      </c>
      <c r="S35" s="715">
        <f t="shared" si="10"/>
        <v>100</v>
      </c>
      <c r="T35" s="714" t="s">
        <v>17</v>
      </c>
      <c r="U35" s="715">
        <f t="shared" si="11"/>
        <v>100</v>
      </c>
      <c r="V35" s="714" t="s">
        <v>17</v>
      </c>
      <c r="W35" s="715">
        <f t="shared" si="12"/>
        <v>100</v>
      </c>
      <c r="X35" s="1490"/>
      <c r="Y35" s="348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84" t="s">
        <v>2145</v>
      </c>
      <c r="Q36" s="1487">
        <f t="shared" si="8"/>
        <v>111</v>
      </c>
      <c r="R36" s="714" t="s">
        <v>17</v>
      </c>
      <c r="S36" s="715">
        <f t="shared" si="10"/>
        <v>100</v>
      </c>
      <c r="T36" s="714" t="s">
        <v>17</v>
      </c>
      <c r="U36" s="715">
        <f t="shared" si="11"/>
        <v>100</v>
      </c>
      <c r="V36" s="714" t="s">
        <v>17</v>
      </c>
      <c r="W36" s="715">
        <f t="shared" si="12"/>
        <v>100</v>
      </c>
      <c r="X36" s="1490"/>
      <c r="Y36" s="3485"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85"/>
      <c r="Q37" s="1487">
        <f t="shared" si="8"/>
        <v>111</v>
      </c>
      <c r="R37" s="717" t="s">
        <v>17</v>
      </c>
      <c r="S37" s="718">
        <f t="shared" si="10"/>
        <v>100</v>
      </c>
      <c r="T37" s="717" t="s">
        <v>17</v>
      </c>
      <c r="U37" s="718">
        <f t="shared" si="11"/>
        <v>100</v>
      </c>
      <c r="V37" s="717" t="s">
        <v>17</v>
      </c>
      <c r="W37" s="718">
        <f t="shared" si="12"/>
        <v>100</v>
      </c>
      <c r="X37" s="719"/>
      <c r="Y37" s="3485"/>
      <c r="Z37" s="720">
        <f t="shared" si="13"/>
        <v>111</v>
      </c>
      <c r="AA37" s="1488">
        <f t="shared" si="3"/>
        <v>1</v>
      </c>
      <c r="AB37" s="1488">
        <f t="shared" si="4"/>
        <v>1</v>
      </c>
      <c r="AC37" s="1488">
        <f t="shared" si="5"/>
        <v>1</v>
      </c>
    </row>
    <row r="38" spans="1:29" ht="15">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485"/>
      <c r="Q38" s="1487" t="str">
        <f>B38</f>
        <v>宗地面积</v>
      </c>
      <c r="R38" s="714" t="s">
        <v>17</v>
      </c>
      <c r="S38" s="715">
        <f t="shared" si="10"/>
        <v>100</v>
      </c>
      <c r="T38" s="714" t="s">
        <v>17</v>
      </c>
      <c r="U38" s="715">
        <f t="shared" si="11"/>
        <v>100</v>
      </c>
      <c r="V38" s="714" t="s">
        <v>17</v>
      </c>
      <c r="W38" s="715">
        <f t="shared" si="12"/>
        <v>100</v>
      </c>
      <c r="X38" s="1490"/>
      <c r="Y38" s="3485"/>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85"/>
      <c r="Q39" s="1487" t="str">
        <f t="shared" ref="Q39:Q45" si="14">B39</f>
        <v>宗地形状</v>
      </c>
      <c r="R39" s="714" t="s">
        <v>17</v>
      </c>
      <c r="S39" s="715">
        <f t="shared" si="10"/>
        <v>100</v>
      </c>
      <c r="T39" s="714" t="s">
        <v>17</v>
      </c>
      <c r="U39" s="715">
        <f t="shared" si="11"/>
        <v>100</v>
      </c>
      <c r="V39" s="714" t="s">
        <v>17</v>
      </c>
      <c r="W39" s="715">
        <f t="shared" si="12"/>
        <v>100</v>
      </c>
      <c r="X39" s="1490"/>
      <c r="Y39" s="3485"/>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85"/>
      <c r="Q40" s="1487" t="str">
        <f t="shared" si="14"/>
        <v>临街宽度及深度</v>
      </c>
      <c r="R40" s="714" t="s">
        <v>17</v>
      </c>
      <c r="S40" s="715">
        <f t="shared" si="10"/>
        <v>100</v>
      </c>
      <c r="T40" s="714" t="s">
        <v>17</v>
      </c>
      <c r="U40" s="715">
        <f t="shared" si="11"/>
        <v>100</v>
      </c>
      <c r="V40" s="714" t="s">
        <v>17</v>
      </c>
      <c r="W40" s="715">
        <f t="shared" si="12"/>
        <v>100</v>
      </c>
      <c r="X40" s="1490"/>
      <c r="Y40" s="3485"/>
      <c r="Z40" s="1491" t="str">
        <f t="shared" si="13"/>
        <v>临街宽度及深度</v>
      </c>
      <c r="AA40" s="1488">
        <f t="shared" si="3"/>
        <v>1</v>
      </c>
      <c r="AB40" s="1488">
        <f t="shared" si="4"/>
        <v>1</v>
      </c>
      <c r="AC40" s="1488">
        <f t="shared" si="5"/>
        <v>1</v>
      </c>
    </row>
    <row r="41" spans="1:29" s="113" customFormat="1" ht="15">
      <c r="A41" s="432"/>
      <c r="B41" s="381" t="s">
        <v>2334</v>
      </c>
      <c r="C41" s="2116" t="s">
        <v>3549</v>
      </c>
      <c r="D41" s="132">
        <v>100</v>
      </c>
      <c r="E41" s="2116" t="s">
        <v>3549</v>
      </c>
      <c r="F41" s="394">
        <f>SUMIF(122:122,E41,123:123)-SUMIF(122:122,C41,123:123)+100</f>
        <v>100</v>
      </c>
      <c r="G41" s="2116" t="s">
        <v>3549</v>
      </c>
      <c r="H41" s="394">
        <f>SUMIF(122:122,G41,123:123)-SUMIF(122:122,C41,123:123)+100</f>
        <v>100</v>
      </c>
      <c r="I41" s="2116" t="s">
        <v>3549</v>
      </c>
      <c r="J41" s="394">
        <f>SUMIF(122:122,I41,123:123)-SUMIF(122:122,C41,123:123)+100</f>
        <v>100</v>
      </c>
      <c r="K41" s="569">
        <v>1</v>
      </c>
      <c r="L41" s="2891"/>
      <c r="M41" s="2892"/>
      <c r="N41" s="2892"/>
      <c r="O41" s="2946"/>
      <c r="P41" s="3485"/>
      <c r="Q41" s="1487" t="str">
        <f t="shared" si="14"/>
        <v>宗地开发程度</v>
      </c>
      <c r="R41" s="710" t="s">
        <v>17</v>
      </c>
      <c r="S41" s="711">
        <f t="shared" si="10"/>
        <v>100</v>
      </c>
      <c r="T41" s="710" t="s">
        <v>17</v>
      </c>
      <c r="U41" s="711">
        <f t="shared" si="11"/>
        <v>100</v>
      </c>
      <c r="V41" s="710" t="s">
        <v>17</v>
      </c>
      <c r="W41" s="711">
        <f t="shared" si="12"/>
        <v>100</v>
      </c>
      <c r="X41" s="712"/>
      <c r="Y41" s="3485"/>
      <c r="Z41" s="55" t="str">
        <f t="shared" si="13"/>
        <v>宗地开发程度</v>
      </c>
      <c r="AA41" s="713">
        <f t="shared" si="3"/>
        <v>1</v>
      </c>
      <c r="AB41" s="713">
        <f t="shared" si="4"/>
        <v>1</v>
      </c>
      <c r="AC41" s="713">
        <f t="shared" si="5"/>
        <v>1</v>
      </c>
    </row>
    <row r="42" spans="1:29" ht="15">
      <c r="A42" s="431"/>
      <c r="B42" s="381" t="s">
        <v>2335</v>
      </c>
      <c r="C42" s="2042" t="s">
        <v>3534</v>
      </c>
      <c r="D42" s="394">
        <v>100</v>
      </c>
      <c r="E42" s="2042" t="s">
        <v>3534</v>
      </c>
      <c r="F42" s="394">
        <f>SUMIF(124:124,E42,125:125)-SUMIF(124:124,C42,125:125)+100</f>
        <v>100</v>
      </c>
      <c r="G42" s="2042" t="s">
        <v>3534</v>
      </c>
      <c r="H42" s="394">
        <f>SUMIF(124:124,G42,125:125)-SUMIF(124:124,C42,125:125)+100</f>
        <v>100</v>
      </c>
      <c r="I42" s="2042" t="s">
        <v>3534</v>
      </c>
      <c r="J42" s="394">
        <f>SUMIF(124:124,I42,125:125)-SUMIF(124:124,C42,125:125)+100</f>
        <v>100</v>
      </c>
      <c r="K42" s="569"/>
      <c r="L42" s="2896"/>
      <c r="M42" s="2890"/>
      <c r="N42" s="2890"/>
      <c r="O42" s="2948"/>
      <c r="P42" s="3485" t="s">
        <v>2145</v>
      </c>
      <c r="Q42" s="1487" t="str">
        <f t="shared" si="14"/>
        <v>工程地质条件</v>
      </c>
      <c r="R42" s="714" t="s">
        <v>17</v>
      </c>
      <c r="S42" s="715">
        <f t="shared" si="10"/>
        <v>100</v>
      </c>
      <c r="T42" s="714" t="s">
        <v>17</v>
      </c>
      <c r="U42" s="715">
        <f t="shared" si="11"/>
        <v>100</v>
      </c>
      <c r="V42" s="714" t="s">
        <v>17</v>
      </c>
      <c r="W42" s="715">
        <f t="shared" si="12"/>
        <v>100</v>
      </c>
      <c r="X42" s="1490"/>
      <c r="Y42" s="3485"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85"/>
      <c r="Q43" s="1487">
        <f t="shared" si="14"/>
        <v>111</v>
      </c>
      <c r="R43" s="714" t="s">
        <v>17</v>
      </c>
      <c r="S43" s="715">
        <f t="shared" si="10"/>
        <v>100</v>
      </c>
      <c r="T43" s="714" t="s">
        <v>17</v>
      </c>
      <c r="U43" s="715">
        <f t="shared" si="11"/>
        <v>100</v>
      </c>
      <c r="V43" s="714" t="s">
        <v>17</v>
      </c>
      <c r="W43" s="715">
        <f t="shared" si="12"/>
        <v>100</v>
      </c>
      <c r="X43" s="1490"/>
      <c r="Y43" s="348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85"/>
      <c r="Q44" s="1487">
        <f t="shared" si="14"/>
        <v>111</v>
      </c>
      <c r="R44" s="714" t="s">
        <v>17</v>
      </c>
      <c r="S44" s="715">
        <f t="shared" si="10"/>
        <v>100</v>
      </c>
      <c r="T44" s="714" t="s">
        <v>17</v>
      </c>
      <c r="U44" s="715">
        <f t="shared" si="11"/>
        <v>100</v>
      </c>
      <c r="V44" s="714" t="s">
        <v>17</v>
      </c>
      <c r="W44" s="715">
        <f t="shared" si="12"/>
        <v>100</v>
      </c>
      <c r="X44" s="1490"/>
      <c r="Y44" s="3485"/>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85"/>
      <c r="Q45" s="1487">
        <f t="shared" si="14"/>
        <v>111</v>
      </c>
      <c r="R45" s="717" t="s">
        <v>17</v>
      </c>
      <c r="S45" s="718">
        <f t="shared" si="10"/>
        <v>100</v>
      </c>
      <c r="T45" s="717" t="s">
        <v>17</v>
      </c>
      <c r="U45" s="718">
        <f t="shared" si="11"/>
        <v>100</v>
      </c>
      <c r="V45" s="717" t="s">
        <v>17</v>
      </c>
      <c r="W45" s="718">
        <f t="shared" si="12"/>
        <v>100</v>
      </c>
      <c r="X45" s="719"/>
      <c r="Y45" s="3485"/>
      <c r="Z45" s="720">
        <f t="shared" si="13"/>
        <v>111</v>
      </c>
      <c r="AA45" s="1488">
        <f t="shared" si="3"/>
        <v>1</v>
      </c>
      <c r="AB45" s="1488">
        <f t="shared" si="4"/>
        <v>1</v>
      </c>
      <c r="AC45" s="1488">
        <f t="shared" si="5"/>
        <v>1</v>
      </c>
    </row>
    <row r="46" spans="1:29" ht="15">
      <c r="A46" s="438" t="s">
        <v>2300</v>
      </c>
      <c r="B46" s="2118" t="s">
        <v>2336</v>
      </c>
      <c r="C46" s="638" t="s">
        <v>1</v>
      </c>
      <c r="D46" s="440"/>
      <c r="E46" s="441">
        <f>土地案例!AZ4</f>
        <v>1157</v>
      </c>
      <c r="F46" s="442"/>
      <c r="G46" s="443">
        <f>土地案例!AZ10</f>
        <v>863</v>
      </c>
      <c r="H46" s="444"/>
      <c r="I46" s="441">
        <f>土地案例!AZ11</f>
        <v>864</v>
      </c>
      <c r="J46" s="444"/>
      <c r="K46" s="723"/>
      <c r="L46" s="2898"/>
      <c r="M46" s="2899"/>
      <c r="N46" s="2890"/>
      <c r="O46" s="2899"/>
      <c r="P46" s="3481" t="str">
        <f>A46</f>
        <v>成交单价</v>
      </c>
      <c r="Q46" s="3481"/>
      <c r="R46" s="3486">
        <f>E46</f>
        <v>1157</v>
      </c>
      <c r="S46" s="3486"/>
      <c r="T46" s="3486">
        <f>G46</f>
        <v>863</v>
      </c>
      <c r="U46" s="3486"/>
      <c r="V46" s="3486">
        <f>I46</f>
        <v>864</v>
      </c>
      <c r="W46" s="3486"/>
      <c r="X46" s="699"/>
      <c r="Y46" s="721"/>
      <c r="Z46" s="699"/>
      <c r="AA46" s="699"/>
      <c r="AB46" s="699"/>
      <c r="AC46" s="699"/>
    </row>
    <row r="47" spans="1:29" ht="15.75" thickBot="1">
      <c r="A47" s="445" t="s">
        <v>2249</v>
      </c>
      <c r="B47" s="639"/>
      <c r="C47" s="448">
        <f>R48</f>
        <v>1188</v>
      </c>
      <c r="D47" s="2488" t="s">
        <v>2639</v>
      </c>
      <c r="E47" s="448">
        <f>R47</f>
        <v>1417</v>
      </c>
      <c r="F47" s="2489"/>
      <c r="G47" s="447">
        <f>T47</f>
        <v>1072</v>
      </c>
      <c r="H47" s="2489"/>
      <c r="I47" s="448">
        <f>V47</f>
        <v>1076</v>
      </c>
      <c r="J47" s="2489"/>
      <c r="K47" s="2491">
        <f>F47+H47+J47</f>
        <v>0</v>
      </c>
      <c r="L47" s="2898"/>
      <c r="M47" s="2899"/>
      <c r="N47" s="2899"/>
      <c r="O47" s="2899"/>
      <c r="P47" s="3481" t="str">
        <f>A47</f>
        <v>比较价值（元/平方米）</v>
      </c>
      <c r="Q47" s="3481"/>
      <c r="R47" s="3474">
        <f>ROUND(PRODUCT(R46,AA7:AA45),0)</f>
        <v>1417</v>
      </c>
      <c r="S47" s="3474"/>
      <c r="T47" s="3474">
        <f>ROUND(PRODUCT(T46,AB7:AB45),0)</f>
        <v>1072</v>
      </c>
      <c r="U47" s="3474"/>
      <c r="V47" s="3474">
        <f>ROUND(PRODUCT(V46,AC7:AC45),0)</f>
        <v>1076</v>
      </c>
      <c r="W47" s="3474"/>
      <c r="X47" s="699"/>
      <c r="Y47" s="699"/>
      <c r="Z47" s="699"/>
      <c r="AA47" s="699"/>
      <c r="AB47" s="699"/>
      <c r="AC47" s="699"/>
    </row>
    <row r="48" spans="1:29" ht="15.75" thickBot="1">
      <c r="A48" s="449" t="s">
        <v>2337</v>
      </c>
      <c r="B48" s="450"/>
      <c r="C48" s="451">
        <f>R48</f>
        <v>1188</v>
      </c>
      <c r="D48" s="451"/>
      <c r="E48" s="451"/>
      <c r="F48" s="451"/>
      <c r="G48" s="451"/>
      <c r="H48" s="451"/>
      <c r="I48" s="451"/>
      <c r="J48" s="451"/>
      <c r="K48" s="724"/>
      <c r="L48" s="2898"/>
      <c r="M48" s="2899"/>
      <c r="N48" s="2899"/>
      <c r="O48" s="2899"/>
      <c r="P48" s="3475" t="str">
        <f>A48</f>
        <v>估价对象XX用房的比较价值（楼面单价，元/平方米）</v>
      </c>
      <c r="Q48" s="3476"/>
      <c r="R48" s="3477">
        <f>ROUND(IF(D47="简单平均",AVERAGE(R47:W47),R47*F47+T47*H47+V47*J47),0)</f>
        <v>1188</v>
      </c>
      <c r="S48" s="3477"/>
      <c r="T48" s="3477"/>
      <c r="U48" s="3477"/>
      <c r="V48" s="3477"/>
      <c r="W48" s="3477"/>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0.22471910112359561</v>
      </c>
      <c r="F51" s="457" t="str">
        <f>IF(OR(E51&gt;=0.3,E51&lt;=-0.3),"超过30%","")</f>
        <v/>
      </c>
      <c r="G51" s="456">
        <f>IF(G46&lt;G47,G47/G46-1,G46/G47-1)</f>
        <v>0.24217844727694082</v>
      </c>
      <c r="H51" s="457" t="str">
        <f>IF(OR(G51&gt;=0.3,G51&lt;=-0.3),"超过30%","")</f>
        <v/>
      </c>
      <c r="I51" s="456">
        <f>IF(I46&lt;I47,I47/I46-1,I46/I47-1)</f>
        <v>0.24537037037037046</v>
      </c>
      <c r="J51" s="457" t="str">
        <f>IF(OR(I51&gt;=0.3,I51&lt;=-0.3),"超过30%","")</f>
        <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0.32182835820895517</v>
      </c>
      <c r="F52" s="457" t="str">
        <f>IF(OR(E52&gt;=0.2,E52&lt;=-0.2),"超过20%","")</f>
        <v>超过20%</v>
      </c>
      <c r="G52" s="456">
        <f>IF(G47&lt;I47,I47/G47-1,G47/I47-1)</f>
        <v>3.7313432835821558E-3</v>
      </c>
      <c r="H52" s="457" t="str">
        <f>IF(OR(G52&gt;=0.2,G52&lt;=-0.2),"超过20%","")</f>
        <v/>
      </c>
      <c r="I52" s="456">
        <f>IF(I47&lt;E47,E47/I47-1,I47/E47-1)</f>
        <v>0.31691449814126393</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0.34067207415990719</v>
      </c>
      <c r="F53" s="457" t="str">
        <f>IF(OR(E53&gt;=0.3,E53&lt;=-0.3),"超过30%","")</f>
        <v>超过30%</v>
      </c>
      <c r="G53" s="456">
        <f>IF(G46&lt;I46,I46/G46-1,G46/I46-1)</f>
        <v>1.1587485515642815E-3</v>
      </c>
      <c r="H53" s="457" t="str">
        <f>IF(OR(G53&gt;=0.3,G53&lt;=-0.3),"超过30%","")</f>
        <v/>
      </c>
      <c r="I53" s="456">
        <f>IF(I46&lt;E46,E46/I46-1,I46/E46-1)</f>
        <v>0.33912037037037046</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78" t="s">
        <v>2344</v>
      </c>
      <c r="H55" s="3479"/>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1188</v>
      </c>
      <c r="C56" s="646">
        <v>1</v>
      </c>
      <c r="D56" s="1056">
        <v>1</v>
      </c>
      <c r="E56" s="646">
        <f>'数据-汇总表'!E8+'数据-汇总表'!E9</f>
        <v>8275.91</v>
      </c>
      <c r="F56" s="998">
        <f t="shared" ref="F56:F64" si="15">ROUND(B56*E56/10000,0)</f>
        <v>983</v>
      </c>
      <c r="G56" s="3480"/>
      <c r="H56" s="3481"/>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5"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ht="13.5" thickBot="1">
      <c r="A65" s="651" t="s">
        <v>2360</v>
      </c>
      <c r="B65" s="652" t="s">
        <v>28</v>
      </c>
      <c r="C65" s="652" t="s">
        <v>29</v>
      </c>
      <c r="D65" s="652" t="s">
        <v>816</v>
      </c>
      <c r="E65" s="652">
        <f>IF(B46="楼面地价",SUM(E56:E64),'数据-汇总表'!D3)</f>
        <v>8275.91</v>
      </c>
      <c r="F65" s="653">
        <f>IF(B46="楼面地价",SUM(F56:F64),ROUND(C48*E65/10000,0))</f>
        <v>983</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1.75"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5">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7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c r="A74" s="484" t="s">
        <v>2168</v>
      </c>
      <c r="B74" s="485" t="s">
        <v>2134</v>
      </c>
      <c r="C74" s="3246" t="s">
        <v>3527</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92</v>
      </c>
      <c r="E98" s="501">
        <f>D98-$K25</f>
        <v>84</v>
      </c>
      <c r="F98" s="501">
        <f>E98-$K25</f>
        <v>76</v>
      </c>
      <c r="G98" s="501">
        <f>F98-$K25</f>
        <v>68</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8.5">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v>100</v>
      </c>
      <c r="D117" s="548">
        <f>C117+3</f>
        <v>103</v>
      </c>
      <c r="E117" s="548">
        <f t="shared" ref="E117:F117" si="27">D117+3</f>
        <v>106</v>
      </c>
      <c r="F117" s="548">
        <f t="shared" si="27"/>
        <v>109</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3539</v>
      </c>
      <c r="D118" s="3257" t="s">
        <v>3540</v>
      </c>
      <c r="E118" s="3257" t="s">
        <v>3541</v>
      </c>
      <c r="F118" s="3257" t="s">
        <v>3542</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3536</v>
      </c>
      <c r="D120" s="3256" t="s">
        <v>3537</v>
      </c>
      <c r="E120" s="3256" t="s">
        <v>3538</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3535</v>
      </c>
      <c r="D122" s="511" t="s">
        <v>3548</v>
      </c>
      <c r="E122" s="511" t="s">
        <v>3549</v>
      </c>
      <c r="F122" s="511" t="s">
        <v>3550</v>
      </c>
      <c r="G122" s="511" t="s">
        <v>3551</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3543</v>
      </c>
      <c r="D124" s="3256" t="s">
        <v>3544</v>
      </c>
      <c r="E124" s="3257" t="s">
        <v>3545</v>
      </c>
      <c r="F124" s="3257" t="s">
        <v>3546</v>
      </c>
      <c r="G124" s="3257" t="s">
        <v>3547</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pane xSplit="1" ySplit="1" topLeftCell="AK2" activePane="bottomRight" state="frozen"/>
      <selection pane="topRight" activeCell="B1" sqref="B1"/>
      <selection pane="bottomLeft" activeCell="A2" sqref="A2"/>
      <selection pane="bottomRight" activeCell="AZ3" sqref="AZ3:AZ11"/>
    </sheetView>
  </sheetViews>
  <sheetFormatPr defaultColWidth="9" defaultRowHeight="14.25"/>
  <cols>
    <col min="1" max="1" width="20" style="3241" customWidth="1"/>
    <col min="2" max="2" width="11.75" style="3241" customWidth="1"/>
    <col min="3" max="3" width="12.5" style="3241" customWidth="1"/>
    <col min="4" max="4" width="11.25" style="3241" customWidth="1"/>
    <col min="5" max="5" width="12.25" style="3241" customWidth="1"/>
    <col min="6" max="6" width="14.625" style="3241" customWidth="1"/>
    <col min="7" max="13" width="20" style="3241" customWidth="1"/>
    <col min="14" max="24" width="8.875" style="3241" customWidth="1"/>
    <col min="25" max="26" width="20" style="3241" customWidth="1"/>
    <col min="27" max="27" width="13.75" style="3241" customWidth="1"/>
    <col min="28" max="28" width="16.625" style="3241" customWidth="1"/>
    <col min="29" max="29" width="20" style="3241" customWidth="1"/>
    <col min="30" max="30" width="12.875" style="3241" customWidth="1"/>
    <col min="31" max="41" width="20" style="3241" customWidth="1"/>
    <col min="42" max="44" width="20" style="3241" hidden="1" customWidth="1"/>
    <col min="45" max="45" width="20" style="3241" customWidth="1"/>
    <col min="46" max="51" width="20" style="3241" hidden="1" customWidth="1"/>
    <col min="52" max="52" width="20" style="3241" customWidth="1"/>
    <col min="53" max="16384" width="9" style="3241"/>
  </cols>
  <sheetData>
    <row r="1" spans="1:52">
      <c r="A1" s="3241" t="s">
        <v>3279</v>
      </c>
      <c r="B1" s="3241" t="s">
        <v>3280</v>
      </c>
      <c r="C1" s="3241" t="s">
        <v>3281</v>
      </c>
      <c r="D1" s="3241" t="s">
        <v>3282</v>
      </c>
      <c r="E1" s="3241" t="s">
        <v>3283</v>
      </c>
      <c r="F1" s="3241" t="s">
        <v>3284</v>
      </c>
      <c r="G1" s="3241" t="s">
        <v>3285</v>
      </c>
      <c r="H1" s="3241" t="s">
        <v>3286</v>
      </c>
      <c r="I1" s="3241" t="s">
        <v>3287</v>
      </c>
      <c r="J1" s="3241" t="s">
        <v>3288</v>
      </c>
      <c r="K1" s="3241" t="s">
        <v>3289</v>
      </c>
      <c r="L1" s="3241" t="s">
        <v>3290</v>
      </c>
      <c r="M1" s="3241" t="s">
        <v>3291</v>
      </c>
      <c r="N1" s="3241" t="s">
        <v>3292</v>
      </c>
      <c r="O1" s="3241" t="s">
        <v>3293</v>
      </c>
      <c r="P1" s="3241" t="s">
        <v>3294</v>
      </c>
      <c r="Q1" s="3241" t="s">
        <v>3295</v>
      </c>
      <c r="R1" s="3241" t="s">
        <v>3296</v>
      </c>
      <c r="S1" s="3241" t="s">
        <v>3297</v>
      </c>
      <c r="T1" s="3241" t="s">
        <v>3298</v>
      </c>
      <c r="U1" s="3241" t="s">
        <v>3299</v>
      </c>
      <c r="V1" s="3241" t="s">
        <v>3300</v>
      </c>
      <c r="W1" s="3241" t="s">
        <v>3301</v>
      </c>
      <c r="X1" s="3241" t="s">
        <v>3302</v>
      </c>
      <c r="Y1" s="3241" t="s">
        <v>3303</v>
      </c>
      <c r="Z1" s="3241" t="s">
        <v>3304</v>
      </c>
      <c r="AA1" s="3241" t="s">
        <v>3305</v>
      </c>
      <c r="AB1" s="3241" t="s">
        <v>3306</v>
      </c>
      <c r="AC1" s="3241" t="s">
        <v>3307</v>
      </c>
      <c r="AD1" s="3241" t="s">
        <v>3308</v>
      </c>
      <c r="AE1" s="3241" t="s">
        <v>3309</v>
      </c>
      <c r="AF1" s="3241" t="s">
        <v>3310</v>
      </c>
      <c r="AG1" s="3241" t="s">
        <v>3311</v>
      </c>
      <c r="AH1" s="3241" t="s">
        <v>3312</v>
      </c>
      <c r="AI1" s="3241" t="s">
        <v>3313</v>
      </c>
      <c r="AJ1" s="3241" t="s">
        <v>3314</v>
      </c>
      <c r="AK1" s="3241" t="s">
        <v>3315</v>
      </c>
      <c r="AL1" s="3241" t="s">
        <v>3316</v>
      </c>
      <c r="AM1" s="3241" t="s">
        <v>3317</v>
      </c>
      <c r="AN1" s="3241" t="s">
        <v>3318</v>
      </c>
      <c r="AO1" s="3241" t="s">
        <v>3319</v>
      </c>
      <c r="AP1" s="3241" t="s">
        <v>3320</v>
      </c>
      <c r="AQ1" s="3241" t="s">
        <v>3321</v>
      </c>
      <c r="AR1" s="3241" t="s">
        <v>3322</v>
      </c>
      <c r="AS1" s="3241" t="s">
        <v>3323</v>
      </c>
      <c r="AT1" s="3241" t="s">
        <v>3324</v>
      </c>
      <c r="AU1" s="3241" t="s">
        <v>3325</v>
      </c>
      <c r="AV1" s="3241" t="s">
        <v>3326</v>
      </c>
      <c r="AW1" s="3241" t="s">
        <v>3327</v>
      </c>
      <c r="AX1" s="3241" t="s">
        <v>3328</v>
      </c>
      <c r="AY1" s="3241" t="s">
        <v>3329</v>
      </c>
    </row>
    <row r="2" spans="1:52" s="3249" customFormat="1">
      <c r="A2" s="3249" t="s">
        <v>3330</v>
      </c>
      <c r="B2" s="3249" t="s">
        <v>3331</v>
      </c>
      <c r="C2" s="3249" t="s">
        <v>3332</v>
      </c>
      <c r="D2" s="3249" t="s">
        <v>3333</v>
      </c>
      <c r="E2" s="3249" t="s">
        <v>3334</v>
      </c>
      <c r="F2" s="3249" t="s">
        <v>3335</v>
      </c>
      <c r="G2" s="3249" t="s">
        <v>3336</v>
      </c>
      <c r="H2" s="3249" t="s">
        <v>3337</v>
      </c>
      <c r="I2" s="3249">
        <v>19983</v>
      </c>
      <c r="J2" s="3249">
        <v>21981.3</v>
      </c>
      <c r="K2" s="3249" t="s">
        <v>3338</v>
      </c>
      <c r="L2" s="3249" t="s">
        <v>3339</v>
      </c>
      <c r="M2" s="3249" t="s">
        <v>3340</v>
      </c>
      <c r="N2" s="3249" t="s">
        <v>3341</v>
      </c>
      <c r="O2" s="3249" t="s">
        <v>3342</v>
      </c>
      <c r="P2" s="3249" t="s">
        <v>3343</v>
      </c>
      <c r="Q2" s="3249" t="s">
        <v>3343</v>
      </c>
      <c r="R2" s="3249" t="s">
        <v>3343</v>
      </c>
      <c r="S2" s="3249" t="s">
        <v>3343</v>
      </c>
      <c r="T2" s="3249" t="s">
        <v>3343</v>
      </c>
      <c r="U2" s="3249" t="s">
        <v>3343</v>
      </c>
      <c r="V2" s="3249" t="s">
        <v>3343</v>
      </c>
      <c r="W2" s="3249">
        <v>0</v>
      </c>
      <c r="X2" s="3249">
        <v>0</v>
      </c>
      <c r="Y2" s="3250">
        <v>44713.000497685185</v>
      </c>
      <c r="Z2" s="3250">
        <v>44736.000497685185</v>
      </c>
      <c r="AA2" s="3250">
        <v>44736.000497685185</v>
      </c>
      <c r="AB2" s="3250">
        <v>44736.000497685185</v>
      </c>
      <c r="AC2" s="3249" t="s">
        <v>3344</v>
      </c>
      <c r="AD2" s="3249" t="s">
        <v>3345</v>
      </c>
      <c r="AE2" s="3249" t="s">
        <v>3346</v>
      </c>
      <c r="AF2" s="3249" t="s">
        <v>3343</v>
      </c>
      <c r="AG2" s="3249" t="s">
        <v>3343</v>
      </c>
      <c r="AH2" s="3249">
        <v>3778</v>
      </c>
      <c r="AI2" s="3249">
        <v>2078</v>
      </c>
      <c r="AJ2" s="3249" t="s">
        <v>3347</v>
      </c>
      <c r="AK2" s="3249">
        <v>3798</v>
      </c>
      <c r="AL2" s="3249">
        <v>126.04</v>
      </c>
      <c r="AM2" s="3249">
        <v>126.71</v>
      </c>
      <c r="AN2" s="3249">
        <v>1719</v>
      </c>
      <c r="AO2" s="3249">
        <v>1728</v>
      </c>
      <c r="AP2" s="3249" t="s">
        <v>3343</v>
      </c>
      <c r="AQ2" s="3249" t="s">
        <v>3343</v>
      </c>
      <c r="AR2" s="3249">
        <v>0.53</v>
      </c>
      <c r="AS2" s="3249" t="s">
        <v>3348</v>
      </c>
      <c r="AT2" s="3249" t="s">
        <v>3342</v>
      </c>
      <c r="AU2" s="3249" t="s">
        <v>3343</v>
      </c>
      <c r="AV2" s="3249" t="s">
        <v>3342</v>
      </c>
      <c r="AW2" s="3249" t="s">
        <v>3343</v>
      </c>
      <c r="AX2" s="3249" t="s">
        <v>3343</v>
      </c>
      <c r="AY2" s="3249" t="s">
        <v>3343</v>
      </c>
    </row>
    <row r="3" spans="1:52" s="3249" customFormat="1">
      <c r="A3" s="3249" t="s">
        <v>3531</v>
      </c>
      <c r="B3" s="3249" t="s">
        <v>3331</v>
      </c>
      <c r="C3" s="3249" t="s">
        <v>3349</v>
      </c>
      <c r="D3" s="3249" t="s">
        <v>3333</v>
      </c>
      <c r="E3" s="3249" t="s">
        <v>3334</v>
      </c>
      <c r="F3" s="3249" t="s">
        <v>3350</v>
      </c>
      <c r="G3" s="3249" t="s">
        <v>3351</v>
      </c>
      <c r="H3" s="3249" t="s">
        <v>3337</v>
      </c>
      <c r="I3" s="3249">
        <v>17950.11</v>
      </c>
      <c r="J3" s="3249">
        <v>19745.12</v>
      </c>
      <c r="K3" s="3249" t="s">
        <v>3338</v>
      </c>
      <c r="L3" s="3249" t="s">
        <v>3339</v>
      </c>
      <c r="M3" s="3249" t="s">
        <v>3340</v>
      </c>
      <c r="N3" s="3249" t="s">
        <v>3341</v>
      </c>
      <c r="O3" s="3249" t="s">
        <v>3342</v>
      </c>
      <c r="P3" s="3249" t="s">
        <v>3343</v>
      </c>
      <c r="Q3" s="3249" t="s">
        <v>3343</v>
      </c>
      <c r="R3" s="3249" t="s">
        <v>3343</v>
      </c>
      <c r="S3" s="3249" t="s">
        <v>3343</v>
      </c>
      <c r="T3" s="3249" t="s">
        <v>3343</v>
      </c>
      <c r="U3" s="3249" t="s">
        <v>3343</v>
      </c>
      <c r="V3" s="3249" t="s">
        <v>3343</v>
      </c>
      <c r="W3" s="3249">
        <v>0</v>
      </c>
      <c r="X3" s="3249">
        <v>0</v>
      </c>
      <c r="Y3" s="3250">
        <v>44713.000497685185</v>
      </c>
      <c r="Z3" s="3250">
        <v>44736.000497685185</v>
      </c>
      <c r="AA3" s="3250">
        <v>44736.000497685185</v>
      </c>
      <c r="AB3" s="3250">
        <v>44736.000497685185</v>
      </c>
      <c r="AC3" s="3249" t="s">
        <v>3344</v>
      </c>
      <c r="AD3" s="3249" t="s">
        <v>3345</v>
      </c>
      <c r="AE3" s="3249" t="s">
        <v>3346</v>
      </c>
      <c r="AF3" s="3249" t="s">
        <v>3343</v>
      </c>
      <c r="AG3" s="3249" t="s">
        <v>3343</v>
      </c>
      <c r="AH3" s="3249">
        <v>3395</v>
      </c>
      <c r="AI3" s="3249">
        <v>1867</v>
      </c>
      <c r="AJ3" s="3249" t="s">
        <v>3347</v>
      </c>
      <c r="AK3" s="3249">
        <v>3415</v>
      </c>
      <c r="AL3" s="3249">
        <v>126.09</v>
      </c>
      <c r="AM3" s="3249">
        <v>126.83</v>
      </c>
      <c r="AN3" s="3249">
        <v>1719</v>
      </c>
      <c r="AO3" s="3249">
        <v>1730</v>
      </c>
      <c r="AP3" s="3249" t="s">
        <v>3343</v>
      </c>
      <c r="AQ3" s="3249" t="s">
        <v>3343</v>
      </c>
      <c r="AR3" s="3249">
        <v>0.59</v>
      </c>
      <c r="AS3" s="3249" t="s">
        <v>3348</v>
      </c>
      <c r="AT3" s="3249" t="s">
        <v>3342</v>
      </c>
      <c r="AU3" s="3249" t="s">
        <v>3343</v>
      </c>
      <c r="AV3" s="3249" t="s">
        <v>3342</v>
      </c>
      <c r="AW3" s="3249" t="s">
        <v>3343</v>
      </c>
      <c r="AX3" s="3249" t="s">
        <v>3343</v>
      </c>
      <c r="AY3" s="3249" t="s">
        <v>3343</v>
      </c>
      <c r="AZ3" s="3249">
        <f>'数据-取费表'!G16</f>
        <v>0.76</v>
      </c>
    </row>
    <row r="4" spans="1:52" s="3247" customFormat="1">
      <c r="A4" s="3247" t="s">
        <v>3530</v>
      </c>
      <c r="B4" s="3247" t="s">
        <v>3331</v>
      </c>
      <c r="C4" s="3247" t="s">
        <v>3352</v>
      </c>
      <c r="D4" s="3247" t="s">
        <v>3333</v>
      </c>
      <c r="E4" s="3247" t="s">
        <v>3334</v>
      </c>
      <c r="F4" s="3247" t="s">
        <v>3350</v>
      </c>
      <c r="G4" s="3247" t="s">
        <v>3532</v>
      </c>
      <c r="H4" s="3247" t="s">
        <v>3337</v>
      </c>
      <c r="I4" s="3247">
        <v>2146.31</v>
      </c>
      <c r="J4" s="3247">
        <v>3219.47</v>
      </c>
      <c r="K4" s="3247" t="s">
        <v>3353</v>
      </c>
      <c r="L4" s="3247" t="s">
        <v>3339</v>
      </c>
      <c r="M4" s="3247" t="s">
        <v>3340</v>
      </c>
      <c r="N4" s="3247" t="s">
        <v>3341</v>
      </c>
      <c r="O4" s="3247" t="s">
        <v>3342</v>
      </c>
      <c r="P4" s="3247" t="s">
        <v>3343</v>
      </c>
      <c r="Q4" s="3247" t="s">
        <v>3343</v>
      </c>
      <c r="R4" s="3247" t="s">
        <v>3343</v>
      </c>
      <c r="S4" s="3247" t="s">
        <v>3343</v>
      </c>
      <c r="T4" s="3247" t="s">
        <v>3343</v>
      </c>
      <c r="U4" s="3247" t="s">
        <v>3343</v>
      </c>
      <c r="V4" s="3247" t="s">
        <v>3343</v>
      </c>
      <c r="W4" s="3247">
        <v>0</v>
      </c>
      <c r="X4" s="3247">
        <v>0</v>
      </c>
      <c r="Y4" s="3248">
        <v>44699.000497685185</v>
      </c>
      <c r="Z4" s="3248">
        <v>44722.000497685185</v>
      </c>
      <c r="AA4" s="3248">
        <v>44722.000497685185</v>
      </c>
      <c r="AB4" s="3248">
        <v>44722.000497685185</v>
      </c>
      <c r="AC4" s="3247" t="s">
        <v>3354</v>
      </c>
      <c r="AD4" s="3247" t="s">
        <v>3345</v>
      </c>
      <c r="AE4" s="3247" t="s">
        <v>3355</v>
      </c>
      <c r="AF4" s="3247" t="s">
        <v>3343</v>
      </c>
      <c r="AG4" s="3247" t="s">
        <v>3343</v>
      </c>
      <c r="AH4" s="3247">
        <v>488.4</v>
      </c>
      <c r="AI4" s="3247">
        <v>269</v>
      </c>
      <c r="AJ4" s="3247" t="s">
        <v>3356</v>
      </c>
      <c r="AK4" s="3247">
        <v>490</v>
      </c>
      <c r="AL4" s="3247">
        <v>151.69999999999999</v>
      </c>
      <c r="AM4" s="3247">
        <v>152.19999999999999</v>
      </c>
      <c r="AN4" s="3247">
        <v>1517</v>
      </c>
      <c r="AO4" s="3247">
        <v>1522</v>
      </c>
      <c r="AP4" s="3247" t="s">
        <v>3343</v>
      </c>
      <c r="AQ4" s="3247" t="s">
        <v>3343</v>
      </c>
      <c r="AR4" s="3247">
        <v>0.33</v>
      </c>
      <c r="AS4" s="3247" t="s">
        <v>3348</v>
      </c>
      <c r="AT4" s="3247" t="s">
        <v>3342</v>
      </c>
      <c r="AU4" s="3247" t="s">
        <v>3343</v>
      </c>
      <c r="AV4" s="3247" t="s">
        <v>3342</v>
      </c>
      <c r="AW4" s="3247" t="s">
        <v>3343</v>
      </c>
      <c r="AX4" s="3247" t="s">
        <v>3343</v>
      </c>
      <c r="AY4" s="3247" t="s">
        <v>3343</v>
      </c>
      <c r="AZ4" s="3247">
        <f>ROUND(AO4*$AZ$3,0)</f>
        <v>1157</v>
      </c>
    </row>
    <row r="5" spans="1:52" hidden="1">
      <c r="A5" s="3241" t="s">
        <v>3357</v>
      </c>
      <c r="B5" s="3241" t="s">
        <v>3331</v>
      </c>
      <c r="C5" s="3241" t="s">
        <v>3358</v>
      </c>
      <c r="D5" s="3241" t="s">
        <v>3333</v>
      </c>
      <c r="E5" s="3241" t="s">
        <v>3334</v>
      </c>
      <c r="F5" s="3241" t="s">
        <v>3350</v>
      </c>
      <c r="G5" s="3241" t="s">
        <v>3359</v>
      </c>
      <c r="H5" s="3241" t="s">
        <v>3337</v>
      </c>
      <c r="I5" s="3241">
        <v>32073</v>
      </c>
      <c r="J5" s="3241">
        <v>96219</v>
      </c>
      <c r="K5" s="3241" t="s">
        <v>3360</v>
      </c>
      <c r="L5" s="3241" t="s">
        <v>3339</v>
      </c>
      <c r="M5" s="3241" t="s">
        <v>3340</v>
      </c>
      <c r="N5" s="3241" t="s">
        <v>3341</v>
      </c>
      <c r="O5" s="3241" t="s">
        <v>3342</v>
      </c>
      <c r="P5" s="3241" t="s">
        <v>3343</v>
      </c>
      <c r="Q5" s="3241" t="s">
        <v>3343</v>
      </c>
      <c r="R5" s="3241" t="s">
        <v>3343</v>
      </c>
      <c r="S5" s="3241" t="s">
        <v>3343</v>
      </c>
      <c r="T5" s="3241" t="s">
        <v>3343</v>
      </c>
      <c r="U5" s="3241" t="s">
        <v>3343</v>
      </c>
      <c r="V5" s="3241" t="s">
        <v>3343</v>
      </c>
      <c r="W5" s="3241">
        <v>0</v>
      </c>
      <c r="X5" s="3241">
        <v>0</v>
      </c>
      <c r="Y5" s="3242">
        <v>44545.000497685185</v>
      </c>
      <c r="Z5" s="3242">
        <v>44566.000497685185</v>
      </c>
      <c r="AA5" s="3242">
        <v>44566.000497685185</v>
      </c>
      <c r="AB5" s="3242">
        <v>44566.000497685185</v>
      </c>
      <c r="AC5" s="3241" t="s">
        <v>3361</v>
      </c>
      <c r="AD5" s="3241" t="s">
        <v>3345</v>
      </c>
      <c r="AE5" s="3241" t="s">
        <v>3362</v>
      </c>
      <c r="AF5" s="3241" t="s">
        <v>3343</v>
      </c>
      <c r="AG5" s="3241" t="s">
        <v>3343</v>
      </c>
      <c r="AH5" s="3241">
        <v>8734</v>
      </c>
      <c r="AI5" s="3241">
        <v>4804</v>
      </c>
      <c r="AJ5" s="3241" t="s">
        <v>3363</v>
      </c>
      <c r="AK5" s="3241">
        <v>8740</v>
      </c>
      <c r="AL5" s="3241">
        <v>181.54</v>
      </c>
      <c r="AM5" s="3241">
        <v>181.67</v>
      </c>
      <c r="AN5" s="3241">
        <v>908</v>
      </c>
      <c r="AO5" s="3241">
        <v>908</v>
      </c>
      <c r="AP5" s="3241" t="s">
        <v>3343</v>
      </c>
      <c r="AQ5" s="3241" t="s">
        <v>3343</v>
      </c>
      <c r="AR5" s="3241">
        <v>7.0000000000000007E-2</v>
      </c>
      <c r="AS5" s="3241" t="s">
        <v>3348</v>
      </c>
      <c r="AT5" s="3241" t="s">
        <v>3342</v>
      </c>
      <c r="AU5" s="3241" t="s">
        <v>3343</v>
      </c>
      <c r="AV5" s="3241" t="s">
        <v>3342</v>
      </c>
      <c r="AW5" s="3241" t="s">
        <v>3343</v>
      </c>
      <c r="AX5" s="3241" t="s">
        <v>3343</v>
      </c>
      <c r="AY5" s="3241" t="s">
        <v>3343</v>
      </c>
      <c r="AZ5" s="3247">
        <f t="shared" ref="AZ5:AZ11" si="0">ROUND(AO5*$AZ$3,0)</f>
        <v>690</v>
      </c>
    </row>
    <row r="6" spans="1:52" hidden="1">
      <c r="A6" s="3241" t="s">
        <v>3364</v>
      </c>
      <c r="B6" s="3241" t="s">
        <v>3331</v>
      </c>
      <c r="C6" s="3241" t="s">
        <v>3365</v>
      </c>
      <c r="D6" s="3241" t="s">
        <v>3333</v>
      </c>
      <c r="E6" s="3241" t="s">
        <v>3334</v>
      </c>
      <c r="F6" s="3241" t="s">
        <v>3335</v>
      </c>
      <c r="G6" s="3241" t="s">
        <v>3366</v>
      </c>
      <c r="H6" s="3241" t="s">
        <v>3337</v>
      </c>
      <c r="I6" s="3241">
        <v>2253</v>
      </c>
      <c r="J6" s="3241">
        <v>6759</v>
      </c>
      <c r="K6" s="3241" t="s">
        <v>3360</v>
      </c>
      <c r="L6" s="3241" t="s">
        <v>3339</v>
      </c>
      <c r="M6" s="3241" t="s">
        <v>3340</v>
      </c>
      <c r="N6" s="3241" t="s">
        <v>3341</v>
      </c>
      <c r="O6" s="3241" t="s">
        <v>3342</v>
      </c>
      <c r="P6" s="3241" t="s">
        <v>3343</v>
      </c>
      <c r="Q6" s="3241" t="s">
        <v>3343</v>
      </c>
      <c r="R6" s="3241" t="s">
        <v>3343</v>
      </c>
      <c r="S6" s="3241" t="s">
        <v>3343</v>
      </c>
      <c r="T6" s="3241" t="s">
        <v>3343</v>
      </c>
      <c r="U6" s="3241" t="s">
        <v>3343</v>
      </c>
      <c r="V6" s="3241" t="s">
        <v>3343</v>
      </c>
      <c r="W6" s="3241">
        <v>0</v>
      </c>
      <c r="X6" s="3241">
        <v>0</v>
      </c>
      <c r="Y6" s="3242">
        <v>44545.000497685185</v>
      </c>
      <c r="Z6" s="3242">
        <v>44566.000497685185</v>
      </c>
      <c r="AA6" s="3242">
        <v>44566.000497685185</v>
      </c>
      <c r="AB6" s="3242">
        <v>44566.000497685185</v>
      </c>
      <c r="AC6" s="3241" t="s">
        <v>3361</v>
      </c>
      <c r="AD6" s="3241" t="s">
        <v>3345</v>
      </c>
      <c r="AE6" s="3241" t="s">
        <v>3362</v>
      </c>
      <c r="AF6" s="3241" t="s">
        <v>3343</v>
      </c>
      <c r="AG6" s="3241" t="s">
        <v>3343</v>
      </c>
      <c r="AH6" s="3241">
        <v>614</v>
      </c>
      <c r="AI6" s="3241">
        <v>338</v>
      </c>
      <c r="AJ6" s="3241" t="s">
        <v>3363</v>
      </c>
      <c r="AK6" s="3241">
        <v>615</v>
      </c>
      <c r="AL6" s="3241">
        <v>181.68</v>
      </c>
      <c r="AM6" s="3241">
        <v>181.98</v>
      </c>
      <c r="AN6" s="3241">
        <v>908</v>
      </c>
      <c r="AO6" s="3241">
        <v>910</v>
      </c>
      <c r="AP6" s="3241" t="s">
        <v>3343</v>
      </c>
      <c r="AQ6" s="3241" t="s">
        <v>3343</v>
      </c>
      <c r="AR6" s="3241">
        <v>0.16</v>
      </c>
      <c r="AS6" s="3241" t="s">
        <v>3348</v>
      </c>
      <c r="AT6" s="3241" t="s">
        <v>3342</v>
      </c>
      <c r="AU6" s="3241" t="s">
        <v>3343</v>
      </c>
      <c r="AV6" s="3241" t="s">
        <v>3342</v>
      </c>
      <c r="AW6" s="3241" t="s">
        <v>3343</v>
      </c>
      <c r="AX6" s="3241" t="s">
        <v>3343</v>
      </c>
      <c r="AY6" s="3241" t="s">
        <v>3343</v>
      </c>
      <c r="AZ6" s="3247">
        <f t="shared" si="0"/>
        <v>692</v>
      </c>
    </row>
    <row r="7" spans="1:52" hidden="1">
      <c r="A7" s="3241" t="s">
        <v>3357</v>
      </c>
      <c r="B7" s="3241" t="s">
        <v>3331</v>
      </c>
      <c r="C7" s="3241" t="s">
        <v>3367</v>
      </c>
      <c r="D7" s="3241" t="s">
        <v>3333</v>
      </c>
      <c r="E7" s="3241" t="s">
        <v>3334</v>
      </c>
      <c r="F7" s="3241" t="s">
        <v>3350</v>
      </c>
      <c r="G7" s="3241" t="s">
        <v>3359</v>
      </c>
      <c r="H7" s="3241" t="s">
        <v>3337</v>
      </c>
      <c r="I7" s="3241">
        <v>20260.310000000001</v>
      </c>
      <c r="J7" s="3241">
        <v>60780.93</v>
      </c>
      <c r="K7" s="3241" t="s">
        <v>3360</v>
      </c>
      <c r="L7" s="3241" t="s">
        <v>3339</v>
      </c>
      <c r="M7" s="3241" t="s">
        <v>3340</v>
      </c>
      <c r="N7" s="3241" t="s">
        <v>3341</v>
      </c>
      <c r="O7" s="3241" t="s">
        <v>3342</v>
      </c>
      <c r="P7" s="3241" t="s">
        <v>3343</v>
      </c>
      <c r="Q7" s="3241" t="s">
        <v>3343</v>
      </c>
      <c r="R7" s="3241" t="s">
        <v>3343</v>
      </c>
      <c r="S7" s="3241" t="s">
        <v>3343</v>
      </c>
      <c r="T7" s="3241" t="s">
        <v>3343</v>
      </c>
      <c r="U7" s="3241" t="s">
        <v>3343</v>
      </c>
      <c r="V7" s="3241" t="s">
        <v>3343</v>
      </c>
      <c r="W7" s="3241">
        <v>0</v>
      </c>
      <c r="X7" s="3241">
        <v>0</v>
      </c>
      <c r="Y7" s="3242">
        <v>44545.000497685185</v>
      </c>
      <c r="Z7" s="3242">
        <v>44566.000497685185</v>
      </c>
      <c r="AA7" s="3242">
        <v>44566.000497685185</v>
      </c>
      <c r="AB7" s="3242">
        <v>44566.000497685185</v>
      </c>
      <c r="AC7" s="3241" t="s">
        <v>3361</v>
      </c>
      <c r="AD7" s="3241" t="s">
        <v>3345</v>
      </c>
      <c r="AE7" s="3241" t="s">
        <v>3362</v>
      </c>
      <c r="AF7" s="3241" t="s">
        <v>3343</v>
      </c>
      <c r="AG7" s="3241" t="s">
        <v>3343</v>
      </c>
      <c r="AH7" s="3241">
        <v>5511</v>
      </c>
      <c r="AI7" s="3241">
        <v>3031</v>
      </c>
      <c r="AJ7" s="3241" t="s">
        <v>3363</v>
      </c>
      <c r="AK7" s="3241">
        <v>5516</v>
      </c>
      <c r="AL7" s="3241">
        <v>181.34</v>
      </c>
      <c r="AM7" s="3241">
        <v>181.5</v>
      </c>
      <c r="AN7" s="3241">
        <v>907</v>
      </c>
      <c r="AO7" s="3241">
        <v>908</v>
      </c>
      <c r="AP7" s="3241" t="s">
        <v>3343</v>
      </c>
      <c r="AQ7" s="3241" t="s">
        <v>3343</v>
      </c>
      <c r="AR7" s="3241">
        <v>0.09</v>
      </c>
      <c r="AS7" s="3241" t="s">
        <v>3348</v>
      </c>
      <c r="AT7" s="3241" t="s">
        <v>3342</v>
      </c>
      <c r="AU7" s="3241" t="s">
        <v>3343</v>
      </c>
      <c r="AV7" s="3241" t="s">
        <v>3342</v>
      </c>
      <c r="AW7" s="3241" t="s">
        <v>3343</v>
      </c>
      <c r="AX7" s="3241" t="s">
        <v>3343</v>
      </c>
      <c r="AY7" s="3241" t="s">
        <v>3343</v>
      </c>
      <c r="AZ7" s="3247">
        <f t="shared" si="0"/>
        <v>690</v>
      </c>
    </row>
    <row r="8" spans="1:52" hidden="1">
      <c r="A8" s="3241" t="s">
        <v>3364</v>
      </c>
      <c r="B8" s="3241" t="s">
        <v>3331</v>
      </c>
      <c r="C8" s="3241" t="s">
        <v>3368</v>
      </c>
      <c r="D8" s="3241" t="s">
        <v>3333</v>
      </c>
      <c r="E8" s="3241" t="s">
        <v>3334</v>
      </c>
      <c r="F8" s="3241" t="s">
        <v>3350</v>
      </c>
      <c r="G8" s="3241" t="s">
        <v>3366</v>
      </c>
      <c r="H8" s="3241" t="s">
        <v>3337</v>
      </c>
      <c r="I8" s="3241">
        <v>1251.78</v>
      </c>
      <c r="J8" s="3241">
        <v>3755.34</v>
      </c>
      <c r="K8" s="3241" t="s">
        <v>3360</v>
      </c>
      <c r="L8" s="3241" t="s">
        <v>3339</v>
      </c>
      <c r="M8" s="3241" t="s">
        <v>3340</v>
      </c>
      <c r="N8" s="3241" t="s">
        <v>3341</v>
      </c>
      <c r="O8" s="3241" t="s">
        <v>3342</v>
      </c>
      <c r="P8" s="3241" t="s">
        <v>3343</v>
      </c>
      <c r="Q8" s="3241" t="s">
        <v>3343</v>
      </c>
      <c r="R8" s="3241" t="s">
        <v>3343</v>
      </c>
      <c r="S8" s="3241" t="s">
        <v>3343</v>
      </c>
      <c r="T8" s="3241" t="s">
        <v>3343</v>
      </c>
      <c r="U8" s="3241" t="s">
        <v>3343</v>
      </c>
      <c r="V8" s="3241" t="s">
        <v>3343</v>
      </c>
      <c r="W8" s="3241">
        <v>0</v>
      </c>
      <c r="X8" s="3241">
        <v>0</v>
      </c>
      <c r="Y8" s="3242">
        <v>44545.000497685185</v>
      </c>
      <c r="Z8" s="3242">
        <v>44566.000497685185</v>
      </c>
      <c r="AA8" s="3242">
        <v>44566.000497685185</v>
      </c>
      <c r="AB8" s="3242">
        <v>44566.000497685185</v>
      </c>
      <c r="AC8" s="3241" t="s">
        <v>3361</v>
      </c>
      <c r="AD8" s="3241" t="s">
        <v>3345</v>
      </c>
      <c r="AE8" s="3241" t="s">
        <v>3362</v>
      </c>
      <c r="AF8" s="3241" t="s">
        <v>3343</v>
      </c>
      <c r="AG8" s="3241" t="s">
        <v>3343</v>
      </c>
      <c r="AH8" s="3241">
        <v>342</v>
      </c>
      <c r="AI8" s="3241">
        <v>188</v>
      </c>
      <c r="AJ8" s="3241" t="s">
        <v>3363</v>
      </c>
      <c r="AK8" s="3241">
        <v>343</v>
      </c>
      <c r="AL8" s="3241">
        <v>182.14</v>
      </c>
      <c r="AM8" s="3241">
        <v>182.67</v>
      </c>
      <c r="AN8" s="3241">
        <v>911</v>
      </c>
      <c r="AO8" s="3241">
        <v>913</v>
      </c>
      <c r="AP8" s="3241" t="s">
        <v>3343</v>
      </c>
      <c r="AQ8" s="3241" t="s">
        <v>3343</v>
      </c>
      <c r="AR8" s="3241">
        <v>0.28999999999999998</v>
      </c>
      <c r="AS8" s="3241" t="s">
        <v>3348</v>
      </c>
      <c r="AT8" s="3241" t="s">
        <v>3342</v>
      </c>
      <c r="AU8" s="3241" t="s">
        <v>3343</v>
      </c>
      <c r="AV8" s="3241" t="s">
        <v>3342</v>
      </c>
      <c r="AW8" s="3241" t="s">
        <v>3343</v>
      </c>
      <c r="AX8" s="3241" t="s">
        <v>3343</v>
      </c>
      <c r="AY8" s="3241" t="s">
        <v>3343</v>
      </c>
      <c r="AZ8" s="3247">
        <f t="shared" si="0"/>
        <v>694</v>
      </c>
    </row>
    <row r="9" spans="1:52" hidden="1">
      <c r="A9" s="3241" t="s">
        <v>3529</v>
      </c>
      <c r="B9" s="3241" t="s">
        <v>3331</v>
      </c>
      <c r="C9" s="3241" t="s">
        <v>3369</v>
      </c>
      <c r="D9" s="3241" t="s">
        <v>3333</v>
      </c>
      <c r="E9" s="3241" t="s">
        <v>3334</v>
      </c>
      <c r="F9" s="3241" t="s">
        <v>3528</v>
      </c>
      <c r="G9" s="3241" t="s">
        <v>3370</v>
      </c>
      <c r="H9" s="3241" t="s">
        <v>3337</v>
      </c>
      <c r="I9" s="3241">
        <v>390</v>
      </c>
      <c r="J9" s="3241">
        <v>1170</v>
      </c>
      <c r="K9" s="3241" t="s">
        <v>3360</v>
      </c>
      <c r="L9" s="3241" t="s">
        <v>3339</v>
      </c>
      <c r="M9" s="3241" t="s">
        <v>3340</v>
      </c>
      <c r="N9" s="3241" t="s">
        <v>3341</v>
      </c>
      <c r="O9" s="3241" t="s">
        <v>3342</v>
      </c>
      <c r="P9" s="3241" t="s">
        <v>3343</v>
      </c>
      <c r="Q9" s="3241" t="s">
        <v>3343</v>
      </c>
      <c r="R9" s="3241" t="s">
        <v>3343</v>
      </c>
      <c r="S9" s="3241" t="s">
        <v>3343</v>
      </c>
      <c r="T9" s="3241" t="s">
        <v>3343</v>
      </c>
      <c r="U9" s="3241" t="s">
        <v>3343</v>
      </c>
      <c r="V9" s="3241" t="s">
        <v>3343</v>
      </c>
      <c r="W9" s="3241">
        <v>0</v>
      </c>
      <c r="X9" s="3241">
        <v>0</v>
      </c>
      <c r="Y9" s="3242">
        <v>44545.000497685185</v>
      </c>
      <c r="Z9" s="3242">
        <v>44566.000497685185</v>
      </c>
      <c r="AA9" s="3242">
        <v>44566.000497685185</v>
      </c>
      <c r="AB9" s="3242">
        <v>44566.000497685185</v>
      </c>
      <c r="AC9" s="3241" t="s">
        <v>3361</v>
      </c>
      <c r="AD9" s="3241" t="s">
        <v>3345</v>
      </c>
      <c r="AE9" s="3241" t="s">
        <v>3362</v>
      </c>
      <c r="AF9" s="3241" t="s">
        <v>3343</v>
      </c>
      <c r="AG9" s="3241" t="s">
        <v>3343</v>
      </c>
      <c r="AH9" s="3241">
        <v>107</v>
      </c>
      <c r="AI9" s="3241">
        <v>59</v>
      </c>
      <c r="AJ9" s="3241" t="s">
        <v>3363</v>
      </c>
      <c r="AK9" s="3241">
        <v>108</v>
      </c>
      <c r="AL9" s="3241">
        <v>182.91</v>
      </c>
      <c r="AM9" s="3241">
        <v>184.62</v>
      </c>
      <c r="AN9" s="3241">
        <v>915</v>
      </c>
      <c r="AO9" s="3241">
        <v>923</v>
      </c>
      <c r="AP9" s="3241" t="s">
        <v>3343</v>
      </c>
      <c r="AQ9" s="3241" t="s">
        <v>3343</v>
      </c>
      <c r="AR9" s="3241">
        <v>0.93</v>
      </c>
      <c r="AS9" s="3241" t="s">
        <v>3348</v>
      </c>
      <c r="AT9" s="3241" t="s">
        <v>3342</v>
      </c>
      <c r="AU9" s="3241" t="s">
        <v>3343</v>
      </c>
      <c r="AV9" s="3241" t="s">
        <v>3342</v>
      </c>
      <c r="AW9" s="3241" t="s">
        <v>3343</v>
      </c>
      <c r="AX9" s="3241" t="s">
        <v>3343</v>
      </c>
      <c r="AY9" s="3241" t="s">
        <v>3343</v>
      </c>
      <c r="AZ9" s="3247">
        <f t="shared" si="0"/>
        <v>701</v>
      </c>
    </row>
    <row r="10" spans="1:52" s="3247" customFormat="1">
      <c r="A10" s="3247" t="s">
        <v>3371</v>
      </c>
      <c r="B10" s="3247" t="s">
        <v>3331</v>
      </c>
      <c r="C10" s="3247" t="s">
        <v>3372</v>
      </c>
      <c r="D10" s="3247" t="s">
        <v>3333</v>
      </c>
      <c r="E10" s="3247" t="s">
        <v>3334</v>
      </c>
      <c r="F10" s="3247" t="s">
        <v>3373</v>
      </c>
      <c r="G10" s="3247" t="s">
        <v>3374</v>
      </c>
      <c r="H10" s="3247" t="s">
        <v>3337</v>
      </c>
      <c r="I10" s="3247">
        <v>35838.239999999998</v>
      </c>
      <c r="J10" s="3247">
        <v>89595.6</v>
      </c>
      <c r="K10" s="3247" t="s">
        <v>3375</v>
      </c>
      <c r="L10" s="3247" t="s">
        <v>3339</v>
      </c>
      <c r="M10" s="3247" t="s">
        <v>3340</v>
      </c>
      <c r="N10" s="3247" t="s">
        <v>3341</v>
      </c>
      <c r="O10" s="3247" t="s">
        <v>3342</v>
      </c>
      <c r="P10" s="3247" t="s">
        <v>3343</v>
      </c>
      <c r="Q10" s="3247" t="s">
        <v>3343</v>
      </c>
      <c r="R10" s="3247" t="s">
        <v>3343</v>
      </c>
      <c r="S10" s="3247" t="s">
        <v>3343</v>
      </c>
      <c r="T10" s="3247" t="s">
        <v>3343</v>
      </c>
      <c r="U10" s="3247" t="s">
        <v>3343</v>
      </c>
      <c r="V10" s="3247" t="s">
        <v>3343</v>
      </c>
      <c r="W10" s="3247">
        <v>0</v>
      </c>
      <c r="X10" s="3247">
        <v>0</v>
      </c>
      <c r="Y10" s="3248">
        <v>44505.000497685185</v>
      </c>
      <c r="Z10" s="3248">
        <v>44526.000497685185</v>
      </c>
      <c r="AA10" s="3248">
        <v>44526.000497685185</v>
      </c>
      <c r="AB10" s="3248">
        <v>44526.000497685185</v>
      </c>
      <c r="AC10" s="3247" t="s">
        <v>3376</v>
      </c>
      <c r="AD10" s="3247" t="s">
        <v>3345</v>
      </c>
      <c r="AE10" s="3247" t="s">
        <v>3377</v>
      </c>
      <c r="AF10" s="3247" t="s">
        <v>3378</v>
      </c>
      <c r="AG10" s="3247" t="s">
        <v>3379</v>
      </c>
      <c r="AH10" s="3247">
        <v>10136.14</v>
      </c>
      <c r="AI10" s="3247">
        <v>5575</v>
      </c>
      <c r="AJ10" s="3247" t="s">
        <v>3380</v>
      </c>
      <c r="AK10" s="3247">
        <v>10169</v>
      </c>
      <c r="AL10" s="3247">
        <v>188.55</v>
      </c>
      <c r="AM10" s="3247">
        <v>189.16</v>
      </c>
      <c r="AN10" s="3247">
        <v>1131</v>
      </c>
      <c r="AO10" s="3247">
        <v>1135</v>
      </c>
      <c r="AP10" s="3247" t="s">
        <v>3343</v>
      </c>
      <c r="AQ10" s="3247" t="s">
        <v>3343</v>
      </c>
      <c r="AR10" s="3247">
        <v>0.32</v>
      </c>
      <c r="AS10" s="3247" t="s">
        <v>3348</v>
      </c>
      <c r="AT10" s="3247" t="s">
        <v>3342</v>
      </c>
      <c r="AU10" s="3247" t="s">
        <v>3343</v>
      </c>
      <c r="AV10" s="3247" t="s">
        <v>3342</v>
      </c>
      <c r="AW10" s="3247" t="s">
        <v>3343</v>
      </c>
      <c r="AX10" s="3247" t="s">
        <v>3343</v>
      </c>
      <c r="AY10" s="3247" t="s">
        <v>3343</v>
      </c>
      <c r="AZ10" s="3247">
        <f t="shared" si="0"/>
        <v>863</v>
      </c>
    </row>
    <row r="11" spans="1:52" s="3247" customFormat="1">
      <c r="A11" s="3247" t="s">
        <v>3381</v>
      </c>
      <c r="B11" s="3247" t="s">
        <v>3331</v>
      </c>
      <c r="C11" s="3247" t="s">
        <v>3382</v>
      </c>
      <c r="D11" s="3247" t="s">
        <v>3333</v>
      </c>
      <c r="E11" s="3247" t="s">
        <v>3334</v>
      </c>
      <c r="F11" s="3247" t="s">
        <v>3373</v>
      </c>
      <c r="G11" s="3247" t="s">
        <v>3383</v>
      </c>
      <c r="H11" s="3247" t="s">
        <v>3337</v>
      </c>
      <c r="I11" s="3247">
        <v>13145.02</v>
      </c>
      <c r="J11" s="3247">
        <v>32862.550000000003</v>
      </c>
      <c r="K11" s="3247" t="s">
        <v>3375</v>
      </c>
      <c r="L11" s="3247" t="s">
        <v>3339</v>
      </c>
      <c r="M11" s="3247" t="s">
        <v>3340</v>
      </c>
      <c r="N11" s="3247" t="s">
        <v>3341</v>
      </c>
      <c r="O11" s="3247" t="s">
        <v>3342</v>
      </c>
      <c r="P11" s="3247" t="s">
        <v>3343</v>
      </c>
      <c r="Q11" s="3247" t="s">
        <v>3343</v>
      </c>
      <c r="R11" s="3247" t="s">
        <v>3343</v>
      </c>
      <c r="S11" s="3247" t="s">
        <v>3343</v>
      </c>
      <c r="T11" s="3247" t="s">
        <v>3343</v>
      </c>
      <c r="U11" s="3247" t="s">
        <v>3343</v>
      </c>
      <c r="V11" s="3247" t="s">
        <v>3343</v>
      </c>
      <c r="W11" s="3247">
        <v>0</v>
      </c>
      <c r="X11" s="3247">
        <v>0</v>
      </c>
      <c r="Y11" s="3248">
        <v>44412.000497685185</v>
      </c>
      <c r="Z11" s="3248">
        <v>44432.000497685185</v>
      </c>
      <c r="AA11" s="3248">
        <v>44432.000497685185</v>
      </c>
      <c r="AB11" s="3248">
        <v>44432.000497685185</v>
      </c>
      <c r="AC11" s="3247" t="s">
        <v>3384</v>
      </c>
      <c r="AD11" s="3247" t="s">
        <v>3345</v>
      </c>
      <c r="AE11" s="3247" t="s">
        <v>3377</v>
      </c>
      <c r="AF11" s="3247" t="s">
        <v>3343</v>
      </c>
      <c r="AG11" s="3247" t="s">
        <v>3343</v>
      </c>
      <c r="AH11" s="3247">
        <v>3725.86</v>
      </c>
      <c r="AI11" s="3247">
        <v>2049</v>
      </c>
      <c r="AJ11" s="3247" t="s">
        <v>3385</v>
      </c>
      <c r="AK11" s="3247">
        <v>3735</v>
      </c>
      <c r="AL11" s="3247">
        <v>188.96</v>
      </c>
      <c r="AM11" s="3247">
        <v>189.43</v>
      </c>
      <c r="AN11" s="3247">
        <v>1134</v>
      </c>
      <c r="AO11" s="3247">
        <v>1137</v>
      </c>
      <c r="AP11" s="3247" t="s">
        <v>3343</v>
      </c>
      <c r="AQ11" s="3247" t="s">
        <v>3343</v>
      </c>
      <c r="AR11" s="3247">
        <v>0.25</v>
      </c>
      <c r="AS11" s="3247" t="s">
        <v>3348</v>
      </c>
      <c r="AT11" s="3247" t="s">
        <v>3342</v>
      </c>
      <c r="AU11" s="3247" t="s">
        <v>3343</v>
      </c>
      <c r="AV11" s="3247" t="s">
        <v>3342</v>
      </c>
      <c r="AW11" s="3247" t="s">
        <v>3343</v>
      </c>
      <c r="AX11" s="3247" t="s">
        <v>3343</v>
      </c>
      <c r="AY11" s="3247" t="s">
        <v>3343</v>
      </c>
      <c r="AZ11" s="3247">
        <f t="shared" si="0"/>
        <v>864</v>
      </c>
    </row>
    <row r="12" spans="1:52">
      <c r="A12" s="3241" t="s">
        <v>3386</v>
      </c>
      <c r="B12" s="3241" t="s">
        <v>3331</v>
      </c>
      <c r="C12" s="3241" t="s">
        <v>3387</v>
      </c>
      <c r="D12" s="3241" t="s">
        <v>3333</v>
      </c>
      <c r="E12" s="3241" t="s">
        <v>3334</v>
      </c>
      <c r="F12" s="3241" t="s">
        <v>3350</v>
      </c>
      <c r="G12" s="3241" t="s">
        <v>3388</v>
      </c>
      <c r="H12" s="3241" t="s">
        <v>3337</v>
      </c>
      <c r="I12" s="3241">
        <v>17214.2</v>
      </c>
      <c r="J12" s="3241">
        <v>43035.5</v>
      </c>
      <c r="K12" s="3241" t="s">
        <v>3375</v>
      </c>
      <c r="L12" s="3241" t="s">
        <v>3339</v>
      </c>
      <c r="M12" s="3241" t="s">
        <v>3389</v>
      </c>
      <c r="N12" s="3241" t="s">
        <v>3341</v>
      </c>
      <c r="O12" s="3241" t="s">
        <v>3342</v>
      </c>
      <c r="P12" s="3241" t="s">
        <v>3343</v>
      </c>
      <c r="Q12" s="3241" t="s">
        <v>3343</v>
      </c>
      <c r="R12" s="3241" t="s">
        <v>3343</v>
      </c>
      <c r="S12" s="3241" t="s">
        <v>3343</v>
      </c>
      <c r="T12" s="3241" t="s">
        <v>3343</v>
      </c>
      <c r="U12" s="3241" t="s">
        <v>3343</v>
      </c>
      <c r="V12" s="3241" t="s">
        <v>3343</v>
      </c>
      <c r="W12" s="3241">
        <v>0</v>
      </c>
      <c r="X12" s="3241">
        <v>0</v>
      </c>
      <c r="Y12" s="3242">
        <v>44412.000497685185</v>
      </c>
      <c r="Z12" s="3242">
        <v>44432.000497685185</v>
      </c>
      <c r="AA12" s="3242">
        <v>44432.000497685185</v>
      </c>
      <c r="AB12" s="3242">
        <v>44432.000497685185</v>
      </c>
      <c r="AC12" s="3241" t="s">
        <v>3384</v>
      </c>
      <c r="AD12" s="3241" t="s">
        <v>3345</v>
      </c>
      <c r="AE12" s="3241" t="s">
        <v>3390</v>
      </c>
      <c r="AF12" s="3241" t="s">
        <v>3343</v>
      </c>
      <c r="AG12" s="3241" t="s">
        <v>3343</v>
      </c>
      <c r="AH12" s="3241">
        <v>3371</v>
      </c>
      <c r="AI12" s="3241">
        <v>1854</v>
      </c>
      <c r="AJ12" s="3241" t="s">
        <v>3385</v>
      </c>
      <c r="AK12" s="3241">
        <v>3379.8</v>
      </c>
      <c r="AL12" s="3241">
        <v>130.55000000000001</v>
      </c>
      <c r="AM12" s="3241">
        <v>130.88999999999999</v>
      </c>
      <c r="AN12" s="3241">
        <v>783</v>
      </c>
      <c r="AO12" s="3241">
        <v>785</v>
      </c>
      <c r="AP12" s="3241" t="s">
        <v>3343</v>
      </c>
      <c r="AQ12" s="3241" t="s">
        <v>3343</v>
      </c>
      <c r="AR12" s="3241">
        <v>0.26</v>
      </c>
      <c r="AS12" s="3241" t="s">
        <v>3348</v>
      </c>
      <c r="AT12" s="3241" t="s">
        <v>3342</v>
      </c>
      <c r="AU12" s="3241" t="s">
        <v>3343</v>
      </c>
      <c r="AV12" s="3241" t="s">
        <v>3342</v>
      </c>
      <c r="AW12" s="3241" t="s">
        <v>3343</v>
      </c>
      <c r="AX12" s="3241" t="s">
        <v>3343</v>
      </c>
      <c r="AY12" s="3241" t="s">
        <v>3343</v>
      </c>
    </row>
    <row r="13" spans="1:52">
      <c r="A13" s="3241" t="s">
        <v>3386</v>
      </c>
      <c r="B13" s="3241" t="s">
        <v>3331</v>
      </c>
      <c r="C13" s="3241" t="s">
        <v>3391</v>
      </c>
      <c r="D13" s="3241" t="s">
        <v>3333</v>
      </c>
      <c r="E13" s="3241" t="s">
        <v>3334</v>
      </c>
      <c r="F13" s="3241" t="s">
        <v>3350</v>
      </c>
      <c r="G13" s="3241" t="s">
        <v>3388</v>
      </c>
      <c r="H13" s="3241" t="s">
        <v>3337</v>
      </c>
      <c r="I13" s="3241">
        <v>13314.59</v>
      </c>
      <c r="J13" s="3241">
        <v>33286.480000000003</v>
      </c>
      <c r="K13" s="3241" t="s">
        <v>3375</v>
      </c>
      <c r="L13" s="3241" t="s">
        <v>3339</v>
      </c>
      <c r="M13" s="3241" t="s">
        <v>3389</v>
      </c>
      <c r="N13" s="3241" t="s">
        <v>3341</v>
      </c>
      <c r="O13" s="3241" t="s">
        <v>3342</v>
      </c>
      <c r="P13" s="3241" t="s">
        <v>3343</v>
      </c>
      <c r="Q13" s="3241" t="s">
        <v>3343</v>
      </c>
      <c r="R13" s="3241" t="s">
        <v>3343</v>
      </c>
      <c r="S13" s="3241" t="s">
        <v>3343</v>
      </c>
      <c r="T13" s="3241" t="s">
        <v>3343</v>
      </c>
      <c r="U13" s="3241">
        <v>0</v>
      </c>
      <c r="V13" s="3241">
        <v>0</v>
      </c>
      <c r="W13" s="3241">
        <v>0</v>
      </c>
      <c r="X13" s="3241">
        <v>0</v>
      </c>
      <c r="Y13" s="3242">
        <v>44228.000497685185</v>
      </c>
      <c r="Z13" s="3242">
        <v>44251.000497685185</v>
      </c>
      <c r="AA13" s="3242">
        <v>44251.000497685185</v>
      </c>
      <c r="AB13" s="3242">
        <v>44251.000497685185</v>
      </c>
      <c r="AC13" s="3241" t="s">
        <v>3392</v>
      </c>
      <c r="AD13" s="3241" t="s">
        <v>3345</v>
      </c>
      <c r="AE13" s="3241" t="s">
        <v>3393</v>
      </c>
      <c r="AF13" s="3241" t="s">
        <v>3343</v>
      </c>
      <c r="AG13" s="3241" t="s">
        <v>3343</v>
      </c>
      <c r="AH13" s="3241">
        <v>2606</v>
      </c>
      <c r="AI13" s="3241">
        <v>1433</v>
      </c>
      <c r="AJ13" s="3241" t="s">
        <v>3394</v>
      </c>
      <c r="AK13" s="3241">
        <v>2620</v>
      </c>
      <c r="AL13" s="3241">
        <v>130.47999999999999</v>
      </c>
      <c r="AM13" s="3241">
        <v>131.18</v>
      </c>
      <c r="AN13" s="3241">
        <v>783</v>
      </c>
      <c r="AO13" s="3241">
        <v>787</v>
      </c>
      <c r="AP13" s="3241" t="s">
        <v>3343</v>
      </c>
      <c r="AQ13" s="3241" t="s">
        <v>3343</v>
      </c>
      <c r="AR13" s="3241">
        <v>0.54</v>
      </c>
      <c r="AS13" s="3241" t="s">
        <v>3348</v>
      </c>
      <c r="AT13" s="3241" t="s">
        <v>3342</v>
      </c>
      <c r="AU13" s="3241" t="s">
        <v>3343</v>
      </c>
      <c r="AV13" s="3241" t="s">
        <v>3342</v>
      </c>
      <c r="AW13" s="3241" t="s">
        <v>3343</v>
      </c>
      <c r="AX13" s="3241" t="s">
        <v>3343</v>
      </c>
      <c r="AY13" s="3241" t="s">
        <v>3343</v>
      </c>
    </row>
    <row r="14" spans="1:52">
      <c r="A14" s="3241" t="s">
        <v>3395</v>
      </c>
      <c r="B14" s="3241" t="s">
        <v>3331</v>
      </c>
      <c r="C14" s="3241" t="s">
        <v>3396</v>
      </c>
      <c r="D14" s="3241" t="s">
        <v>3333</v>
      </c>
      <c r="E14" s="3241" t="s">
        <v>3334</v>
      </c>
      <c r="F14" s="3241" t="s">
        <v>3350</v>
      </c>
      <c r="G14" s="3241" t="s">
        <v>3397</v>
      </c>
      <c r="H14" s="3241" t="s">
        <v>3337</v>
      </c>
      <c r="I14" s="3241">
        <v>256.12</v>
      </c>
      <c r="J14" s="3241">
        <v>768.36</v>
      </c>
      <c r="K14" s="3241" t="s">
        <v>3360</v>
      </c>
      <c r="L14" s="3241" t="s">
        <v>3339</v>
      </c>
      <c r="M14" s="3241" t="s">
        <v>3340</v>
      </c>
      <c r="N14" s="3241" t="s">
        <v>3341</v>
      </c>
      <c r="O14" s="3241" t="s">
        <v>3342</v>
      </c>
      <c r="P14" s="3241" t="s">
        <v>3343</v>
      </c>
      <c r="Q14" s="3241" t="s">
        <v>3343</v>
      </c>
      <c r="R14" s="3241" t="s">
        <v>3343</v>
      </c>
      <c r="S14" s="3241" t="s">
        <v>3343</v>
      </c>
      <c r="T14" s="3241" t="s">
        <v>3343</v>
      </c>
      <c r="U14" s="3241" t="s">
        <v>3343</v>
      </c>
      <c r="V14" s="3241" t="s">
        <v>3343</v>
      </c>
      <c r="W14" s="3241">
        <v>0</v>
      </c>
      <c r="X14" s="3241">
        <v>0</v>
      </c>
      <c r="Y14" s="3242">
        <v>44139.000497685185</v>
      </c>
      <c r="Z14" s="3242">
        <v>44161.000497685185</v>
      </c>
      <c r="AA14" s="3242">
        <v>44161.000497685185</v>
      </c>
      <c r="AB14" s="3242">
        <v>44161.000497685185</v>
      </c>
      <c r="AC14" s="3241" t="s">
        <v>3398</v>
      </c>
      <c r="AD14" s="3241" t="s">
        <v>3345</v>
      </c>
      <c r="AE14" s="3241" t="s">
        <v>3399</v>
      </c>
      <c r="AF14" s="3241" t="s">
        <v>3343</v>
      </c>
      <c r="AG14" s="3241" t="s">
        <v>3343</v>
      </c>
      <c r="AH14" s="3241">
        <v>78.13</v>
      </c>
      <c r="AI14" s="3241">
        <v>43</v>
      </c>
      <c r="AJ14" s="3241" t="s">
        <v>3400</v>
      </c>
      <c r="AK14" s="3241">
        <v>80</v>
      </c>
      <c r="AL14" s="3241">
        <v>203.37</v>
      </c>
      <c r="AM14" s="3241">
        <v>208.24</v>
      </c>
      <c r="AN14" s="3241">
        <v>1017</v>
      </c>
      <c r="AO14" s="3241">
        <v>1041</v>
      </c>
      <c r="AP14" s="3241" t="s">
        <v>3343</v>
      </c>
      <c r="AQ14" s="3241" t="s">
        <v>3343</v>
      </c>
      <c r="AR14" s="3241">
        <v>2.39</v>
      </c>
      <c r="AS14" s="3241" t="s">
        <v>3348</v>
      </c>
      <c r="AT14" s="3241" t="s">
        <v>3342</v>
      </c>
      <c r="AU14" s="3241" t="s">
        <v>3343</v>
      </c>
      <c r="AV14" s="3241" t="s">
        <v>3342</v>
      </c>
      <c r="AW14" s="3241" t="s">
        <v>3343</v>
      </c>
      <c r="AX14" s="3241" t="s">
        <v>3343</v>
      </c>
      <c r="AY14" s="3241" t="s">
        <v>3343</v>
      </c>
    </row>
    <row r="15" spans="1:52">
      <c r="A15" s="3241" t="s">
        <v>3401</v>
      </c>
      <c r="B15" s="3241" t="s">
        <v>3331</v>
      </c>
      <c r="C15" s="3241" t="s">
        <v>3402</v>
      </c>
      <c r="D15" s="3241" t="s">
        <v>3333</v>
      </c>
      <c r="E15" s="3241" t="s">
        <v>3334</v>
      </c>
      <c r="F15" s="3241" t="s">
        <v>3403</v>
      </c>
      <c r="G15" s="3241" t="s">
        <v>3404</v>
      </c>
      <c r="H15" s="3241" t="s">
        <v>3337</v>
      </c>
      <c r="I15" s="3241">
        <v>16491.599999999999</v>
      </c>
      <c r="J15" s="3241">
        <v>32983.199999999997</v>
      </c>
      <c r="K15" s="3241" t="s">
        <v>3405</v>
      </c>
      <c r="L15" s="3241" t="s">
        <v>3339</v>
      </c>
      <c r="M15" s="3241" t="s">
        <v>3340</v>
      </c>
      <c r="N15" s="3241" t="s">
        <v>3341</v>
      </c>
      <c r="O15" s="3241" t="s">
        <v>3342</v>
      </c>
      <c r="P15" s="3241" t="s">
        <v>3343</v>
      </c>
      <c r="Q15" s="3241" t="s">
        <v>3343</v>
      </c>
      <c r="R15" s="3241" t="s">
        <v>3343</v>
      </c>
      <c r="S15" s="3241" t="s">
        <v>3343</v>
      </c>
      <c r="T15" s="3241" t="s">
        <v>3343</v>
      </c>
      <c r="U15" s="3241">
        <v>0</v>
      </c>
      <c r="V15" s="3241">
        <v>0</v>
      </c>
      <c r="W15" s="3241">
        <v>0</v>
      </c>
      <c r="X15" s="3241">
        <v>0</v>
      </c>
      <c r="Y15" s="3242">
        <v>43979.000497685185</v>
      </c>
      <c r="Z15" s="3242">
        <v>44000.000497685185</v>
      </c>
      <c r="AA15" s="3242">
        <v>44000.000497685185</v>
      </c>
      <c r="AB15" s="3242">
        <v>44000.000497685185</v>
      </c>
      <c r="AC15" s="3241" t="s">
        <v>3406</v>
      </c>
      <c r="AD15" s="3241" t="s">
        <v>3345</v>
      </c>
      <c r="AE15" s="3241" t="s">
        <v>3407</v>
      </c>
      <c r="AF15" s="3241" t="s">
        <v>3343</v>
      </c>
      <c r="AG15" s="3241" t="s">
        <v>3343</v>
      </c>
      <c r="AH15" s="3241">
        <v>3882</v>
      </c>
      <c r="AI15" s="3241">
        <v>2329</v>
      </c>
      <c r="AJ15" s="3241" t="s">
        <v>3408</v>
      </c>
      <c r="AK15" s="3241">
        <v>3945</v>
      </c>
      <c r="AL15" s="3241">
        <v>156.93</v>
      </c>
      <c r="AM15" s="3241">
        <v>159.47999999999999</v>
      </c>
      <c r="AN15" s="3241">
        <v>1177</v>
      </c>
      <c r="AO15" s="3241">
        <v>1196</v>
      </c>
      <c r="AP15" s="3241" t="s">
        <v>3343</v>
      </c>
      <c r="AQ15" s="3241" t="s">
        <v>3343</v>
      </c>
      <c r="AR15" s="3241">
        <v>1.62</v>
      </c>
      <c r="AS15" s="3241" t="s">
        <v>3348</v>
      </c>
      <c r="AT15" s="3241" t="s">
        <v>3342</v>
      </c>
      <c r="AU15" s="3241" t="s">
        <v>3343</v>
      </c>
      <c r="AV15" s="3241" t="s">
        <v>3342</v>
      </c>
      <c r="AW15" s="3241" t="s">
        <v>3343</v>
      </c>
      <c r="AX15" s="3241" t="s">
        <v>3343</v>
      </c>
      <c r="AY15" s="3241" t="s">
        <v>3343</v>
      </c>
    </row>
    <row r="16" spans="1:52">
      <c r="A16" s="3241" t="s">
        <v>3401</v>
      </c>
      <c r="B16" s="3241" t="s">
        <v>3331</v>
      </c>
      <c r="C16" s="3241" t="s">
        <v>3409</v>
      </c>
      <c r="D16" s="3241" t="s">
        <v>3333</v>
      </c>
      <c r="E16" s="3241" t="s">
        <v>3334</v>
      </c>
      <c r="F16" s="3241" t="s">
        <v>3410</v>
      </c>
      <c r="G16" s="3241" t="s">
        <v>3404</v>
      </c>
      <c r="H16" s="3241" t="s">
        <v>3337</v>
      </c>
      <c r="I16" s="3241">
        <v>2104.63</v>
      </c>
      <c r="J16" s="3241">
        <v>4209.26</v>
      </c>
      <c r="K16" s="3241" t="s">
        <v>3405</v>
      </c>
      <c r="L16" s="3241" t="s">
        <v>3339</v>
      </c>
      <c r="M16" s="3241" t="s">
        <v>3340</v>
      </c>
      <c r="N16" s="3241" t="s">
        <v>3341</v>
      </c>
      <c r="O16" s="3241" t="s">
        <v>3342</v>
      </c>
      <c r="P16" s="3241" t="s">
        <v>3343</v>
      </c>
      <c r="Q16" s="3241" t="s">
        <v>3343</v>
      </c>
      <c r="R16" s="3241" t="s">
        <v>3343</v>
      </c>
      <c r="S16" s="3241" t="s">
        <v>3343</v>
      </c>
      <c r="T16" s="3241" t="s">
        <v>3343</v>
      </c>
      <c r="U16" s="3241">
        <v>0</v>
      </c>
      <c r="V16" s="3241">
        <v>0</v>
      </c>
      <c r="W16" s="3241">
        <v>0</v>
      </c>
      <c r="X16" s="3241">
        <v>0</v>
      </c>
      <c r="Y16" s="3242">
        <v>43979.000497685185</v>
      </c>
      <c r="Z16" s="3242">
        <v>44000.000497685185</v>
      </c>
      <c r="AA16" s="3242">
        <v>44000.000497685185</v>
      </c>
      <c r="AB16" s="3242">
        <v>44000.000497685185</v>
      </c>
      <c r="AC16" s="3241" t="s">
        <v>3406</v>
      </c>
      <c r="AD16" s="3241" t="s">
        <v>3345</v>
      </c>
      <c r="AE16" s="3241" t="s">
        <v>3407</v>
      </c>
      <c r="AF16" s="3241" t="s">
        <v>3343</v>
      </c>
      <c r="AG16" s="3241" t="s">
        <v>3343</v>
      </c>
      <c r="AH16" s="3241">
        <v>496</v>
      </c>
      <c r="AI16" s="3241">
        <v>298</v>
      </c>
      <c r="AJ16" s="3241" t="s">
        <v>3408</v>
      </c>
      <c r="AK16" s="3241">
        <v>505</v>
      </c>
      <c r="AL16" s="3241">
        <v>157.11000000000001</v>
      </c>
      <c r="AM16" s="3241">
        <v>159.96</v>
      </c>
      <c r="AN16" s="3241">
        <v>1178</v>
      </c>
      <c r="AO16" s="3241">
        <v>1200</v>
      </c>
      <c r="AP16" s="3241" t="s">
        <v>3343</v>
      </c>
      <c r="AQ16" s="3241" t="s">
        <v>3343</v>
      </c>
      <c r="AR16" s="3241">
        <v>1.81</v>
      </c>
      <c r="AS16" s="3241" t="s">
        <v>3348</v>
      </c>
      <c r="AT16" s="3241" t="s">
        <v>3342</v>
      </c>
      <c r="AU16" s="3241" t="s">
        <v>3343</v>
      </c>
      <c r="AV16" s="3241" t="s">
        <v>3342</v>
      </c>
      <c r="AW16" s="3241" t="s">
        <v>3343</v>
      </c>
      <c r="AX16" s="3241" t="s">
        <v>3343</v>
      </c>
      <c r="AY16" s="3241" t="s">
        <v>3343</v>
      </c>
    </row>
    <row r="17" spans="1:51">
      <c r="A17" s="3241" t="s">
        <v>3411</v>
      </c>
      <c r="B17" s="3241" t="s">
        <v>3331</v>
      </c>
      <c r="C17" s="3241" t="s">
        <v>3412</v>
      </c>
      <c r="D17" s="3241" t="s">
        <v>3333</v>
      </c>
      <c r="E17" s="3241" t="s">
        <v>3334</v>
      </c>
      <c r="F17" s="3241" t="s">
        <v>3350</v>
      </c>
      <c r="G17" s="3241" t="s">
        <v>3413</v>
      </c>
      <c r="H17" s="3241" t="s">
        <v>3337</v>
      </c>
      <c r="I17" s="3241">
        <v>2312.2399999999998</v>
      </c>
      <c r="J17" s="3241">
        <v>14844.58</v>
      </c>
      <c r="K17" s="3241" t="s">
        <v>3414</v>
      </c>
      <c r="L17" s="3241" t="s">
        <v>3339</v>
      </c>
      <c r="M17" s="3241" t="s">
        <v>3340</v>
      </c>
      <c r="N17" s="3241" t="s">
        <v>3341</v>
      </c>
      <c r="O17" s="3241" t="s">
        <v>3342</v>
      </c>
      <c r="P17" s="3241" t="s">
        <v>3343</v>
      </c>
      <c r="Q17" s="3241" t="s">
        <v>3343</v>
      </c>
      <c r="R17" s="3241" t="s">
        <v>3343</v>
      </c>
      <c r="S17" s="3241" t="s">
        <v>3343</v>
      </c>
      <c r="T17" s="3241" t="s">
        <v>3343</v>
      </c>
      <c r="U17" s="3241">
        <v>0</v>
      </c>
      <c r="V17" s="3241">
        <v>0</v>
      </c>
      <c r="W17" s="3241">
        <v>0</v>
      </c>
      <c r="X17" s="3241">
        <v>0</v>
      </c>
      <c r="Y17" s="3242">
        <v>43899.000497685185</v>
      </c>
      <c r="Z17" s="3242">
        <v>43920.000497685185</v>
      </c>
      <c r="AA17" s="3242">
        <v>43920.000497685185</v>
      </c>
      <c r="AB17" s="3242">
        <v>43920.000497685185</v>
      </c>
      <c r="AC17" s="3241" t="s">
        <v>3415</v>
      </c>
      <c r="AD17" s="3241" t="s">
        <v>3345</v>
      </c>
      <c r="AE17" s="3241" t="s">
        <v>3362</v>
      </c>
      <c r="AF17" s="3241" t="s">
        <v>3343</v>
      </c>
      <c r="AG17" s="3241" t="s">
        <v>3343</v>
      </c>
      <c r="AH17" s="3241">
        <v>899.8</v>
      </c>
      <c r="AI17" s="3241">
        <v>899.8</v>
      </c>
      <c r="AJ17" s="3241" t="s">
        <v>3416</v>
      </c>
      <c r="AK17" s="3241">
        <v>908</v>
      </c>
      <c r="AL17" s="3241">
        <v>259.43</v>
      </c>
      <c r="AM17" s="3241">
        <v>261.8</v>
      </c>
      <c r="AN17" s="3241">
        <v>606</v>
      </c>
      <c r="AO17" s="3241">
        <v>612</v>
      </c>
      <c r="AP17" s="3241" t="s">
        <v>3343</v>
      </c>
      <c r="AQ17" s="3241" t="s">
        <v>3343</v>
      </c>
      <c r="AR17" s="3241">
        <v>0.91</v>
      </c>
      <c r="AS17" s="3241" t="s">
        <v>3348</v>
      </c>
      <c r="AT17" s="3241" t="s">
        <v>3342</v>
      </c>
      <c r="AU17" s="3241" t="s">
        <v>3343</v>
      </c>
      <c r="AV17" s="3241" t="s">
        <v>3342</v>
      </c>
      <c r="AW17" s="3241" t="s">
        <v>3343</v>
      </c>
      <c r="AX17" s="3241" t="s">
        <v>3343</v>
      </c>
      <c r="AY17" s="3241" t="s">
        <v>3343</v>
      </c>
    </row>
    <row r="18" spans="1:51">
      <c r="A18" s="3241" t="s">
        <v>3417</v>
      </c>
      <c r="B18" s="3241" t="s">
        <v>3331</v>
      </c>
      <c r="C18" s="3241" t="s">
        <v>3418</v>
      </c>
      <c r="D18" s="3241" t="s">
        <v>3333</v>
      </c>
      <c r="E18" s="3241" t="s">
        <v>3334</v>
      </c>
      <c r="F18" s="3241" t="s">
        <v>3350</v>
      </c>
      <c r="G18" s="3241" t="s">
        <v>3419</v>
      </c>
      <c r="H18" s="3241" t="s">
        <v>3337</v>
      </c>
      <c r="I18" s="3241">
        <v>1418.63</v>
      </c>
      <c r="J18" s="3241">
        <v>4255.8900000000003</v>
      </c>
      <c r="K18" s="3241" t="s">
        <v>3360</v>
      </c>
      <c r="L18" s="3241" t="s">
        <v>3339</v>
      </c>
      <c r="M18" s="3241" t="s">
        <v>3340</v>
      </c>
      <c r="N18" s="3241" t="s">
        <v>3341</v>
      </c>
      <c r="O18" s="3241" t="s">
        <v>3342</v>
      </c>
      <c r="P18" s="3241" t="s">
        <v>3343</v>
      </c>
      <c r="Q18" s="3241" t="s">
        <v>3343</v>
      </c>
      <c r="R18" s="3241" t="s">
        <v>3343</v>
      </c>
      <c r="S18" s="3241" t="s">
        <v>3343</v>
      </c>
      <c r="T18" s="3241" t="s">
        <v>3343</v>
      </c>
      <c r="U18" s="3241">
        <v>0</v>
      </c>
      <c r="V18" s="3241">
        <v>0</v>
      </c>
      <c r="W18" s="3241">
        <v>0</v>
      </c>
      <c r="X18" s="3241">
        <v>0</v>
      </c>
      <c r="Y18" s="3242">
        <v>43899.000497685185</v>
      </c>
      <c r="Z18" s="3242">
        <v>43920.000497685185</v>
      </c>
      <c r="AA18" s="3242">
        <v>43920.000497685185</v>
      </c>
      <c r="AB18" s="3242">
        <v>43920.000497685185</v>
      </c>
      <c r="AC18" s="3241" t="s">
        <v>3415</v>
      </c>
      <c r="AD18" s="3241" t="s">
        <v>3345</v>
      </c>
      <c r="AE18" s="3241" t="s">
        <v>3420</v>
      </c>
      <c r="AF18" s="3241" t="s">
        <v>3343</v>
      </c>
      <c r="AG18" s="3241" t="s">
        <v>3343</v>
      </c>
      <c r="AH18" s="3241">
        <v>547.6</v>
      </c>
      <c r="AI18" s="3241">
        <v>547.6</v>
      </c>
      <c r="AJ18" s="3241" t="s">
        <v>3416</v>
      </c>
      <c r="AK18" s="3241">
        <v>553</v>
      </c>
      <c r="AL18" s="3241">
        <v>257.33999999999997</v>
      </c>
      <c r="AM18" s="3241">
        <v>259.88</v>
      </c>
      <c r="AN18" s="3241">
        <v>1287</v>
      </c>
      <c r="AO18" s="3241">
        <v>1299</v>
      </c>
      <c r="AP18" s="3241" t="s">
        <v>3343</v>
      </c>
      <c r="AQ18" s="3241" t="s">
        <v>3343</v>
      </c>
      <c r="AR18" s="3241">
        <v>0.99</v>
      </c>
      <c r="AS18" s="3241" t="s">
        <v>3348</v>
      </c>
      <c r="AT18" s="3241" t="s">
        <v>3342</v>
      </c>
      <c r="AU18" s="3241" t="s">
        <v>3343</v>
      </c>
      <c r="AV18" s="3241" t="s">
        <v>3342</v>
      </c>
      <c r="AW18" s="3241" t="s">
        <v>3343</v>
      </c>
      <c r="AX18" s="3241" t="s">
        <v>3343</v>
      </c>
      <c r="AY18" s="3241" t="s">
        <v>3343</v>
      </c>
    </row>
    <row r="19" spans="1:51">
      <c r="A19" s="3241" t="s">
        <v>3421</v>
      </c>
      <c r="B19" s="3241" t="s">
        <v>3331</v>
      </c>
      <c r="C19" s="3241" t="s">
        <v>3422</v>
      </c>
      <c r="D19" s="3241" t="s">
        <v>3333</v>
      </c>
      <c r="E19" s="3241" t="s">
        <v>3334</v>
      </c>
      <c r="F19" s="3241" t="s">
        <v>3403</v>
      </c>
      <c r="G19" s="3241" t="s">
        <v>3423</v>
      </c>
      <c r="H19" s="3241" t="s">
        <v>3337</v>
      </c>
      <c r="I19" s="3241">
        <v>1972.78</v>
      </c>
      <c r="J19" s="3241">
        <v>3945.56</v>
      </c>
      <c r="K19" s="3241" t="s">
        <v>3405</v>
      </c>
      <c r="L19" s="3241" t="s">
        <v>3339</v>
      </c>
      <c r="M19" s="3241" t="s">
        <v>3340</v>
      </c>
      <c r="N19" s="3241" t="s">
        <v>3341</v>
      </c>
      <c r="O19" s="3241" t="s">
        <v>3342</v>
      </c>
      <c r="P19" s="3241" t="s">
        <v>3343</v>
      </c>
      <c r="Q19" s="3241" t="s">
        <v>3343</v>
      </c>
      <c r="R19" s="3241" t="s">
        <v>3343</v>
      </c>
      <c r="S19" s="3241" t="s">
        <v>3343</v>
      </c>
      <c r="T19" s="3241" t="s">
        <v>3343</v>
      </c>
      <c r="U19" s="3241">
        <v>0</v>
      </c>
      <c r="V19" s="3241">
        <v>0</v>
      </c>
      <c r="W19" s="3241">
        <v>0</v>
      </c>
      <c r="X19" s="3241">
        <v>0</v>
      </c>
      <c r="Y19" s="3242">
        <v>43899.000497685185</v>
      </c>
      <c r="Z19" s="3242">
        <v>43920.000497685185</v>
      </c>
      <c r="AA19" s="3242">
        <v>43920.000497685185</v>
      </c>
      <c r="AB19" s="3242">
        <v>43920.000497685185</v>
      </c>
      <c r="AC19" s="3241" t="s">
        <v>3415</v>
      </c>
      <c r="AD19" s="3241" t="s">
        <v>3345</v>
      </c>
      <c r="AE19" s="3241" t="s">
        <v>3407</v>
      </c>
      <c r="AF19" s="3241" t="s">
        <v>3343</v>
      </c>
      <c r="AG19" s="3241" t="s">
        <v>3343</v>
      </c>
      <c r="AH19" s="3241">
        <v>461.2</v>
      </c>
      <c r="AI19" s="3241">
        <v>461.2</v>
      </c>
      <c r="AJ19" s="3241" t="s">
        <v>3416</v>
      </c>
      <c r="AK19" s="3241">
        <v>469</v>
      </c>
      <c r="AL19" s="3241">
        <v>155.85</v>
      </c>
      <c r="AM19" s="3241">
        <v>158.49</v>
      </c>
      <c r="AN19" s="3241">
        <v>1169</v>
      </c>
      <c r="AO19" s="3241">
        <v>1189</v>
      </c>
      <c r="AP19" s="3241" t="s">
        <v>3343</v>
      </c>
      <c r="AQ19" s="3241" t="s">
        <v>3343</v>
      </c>
      <c r="AR19" s="3241">
        <v>1.69</v>
      </c>
      <c r="AS19" s="3241" t="s">
        <v>3348</v>
      </c>
      <c r="AT19" s="3241" t="s">
        <v>3342</v>
      </c>
      <c r="AU19" s="3241" t="s">
        <v>3343</v>
      </c>
      <c r="AV19" s="3241" t="s">
        <v>3342</v>
      </c>
      <c r="AW19" s="3241" t="s">
        <v>3343</v>
      </c>
      <c r="AX19" s="3241" t="s">
        <v>3343</v>
      </c>
      <c r="AY19" s="3241" t="s">
        <v>3343</v>
      </c>
    </row>
    <row r="20" spans="1:51">
      <c r="A20" s="3241" t="s">
        <v>3424</v>
      </c>
      <c r="B20" s="3241" t="s">
        <v>3331</v>
      </c>
      <c r="C20" s="3241" t="s">
        <v>3425</v>
      </c>
      <c r="D20" s="3241" t="s">
        <v>3333</v>
      </c>
      <c r="E20" s="3241" t="s">
        <v>3334</v>
      </c>
      <c r="F20" s="3241" t="s">
        <v>3350</v>
      </c>
      <c r="G20" s="3241" t="s">
        <v>3426</v>
      </c>
      <c r="H20" s="3241" t="s">
        <v>3337</v>
      </c>
      <c r="I20" s="3241">
        <v>7493.23</v>
      </c>
      <c r="J20" s="3241">
        <v>22479.69</v>
      </c>
      <c r="K20" s="3241" t="s">
        <v>3360</v>
      </c>
      <c r="L20" s="3241" t="s">
        <v>3427</v>
      </c>
      <c r="M20" s="3241" t="s">
        <v>3340</v>
      </c>
      <c r="N20" s="3241" t="s">
        <v>3341</v>
      </c>
      <c r="O20" s="3241" t="s">
        <v>3342</v>
      </c>
      <c r="P20" s="3241" t="s">
        <v>3343</v>
      </c>
      <c r="Q20" s="3241" t="s">
        <v>3343</v>
      </c>
      <c r="R20" s="3241" t="s">
        <v>3343</v>
      </c>
      <c r="S20" s="3241" t="s">
        <v>3343</v>
      </c>
      <c r="T20" s="3241" t="s">
        <v>3343</v>
      </c>
      <c r="U20" s="3241">
        <v>0</v>
      </c>
      <c r="V20" s="3241">
        <v>0</v>
      </c>
      <c r="W20" s="3241">
        <v>0</v>
      </c>
      <c r="X20" s="3241">
        <v>0</v>
      </c>
      <c r="Y20" s="3242">
        <v>43732.000497685185</v>
      </c>
      <c r="Z20" s="3242">
        <v>43754.000497685185</v>
      </c>
      <c r="AA20" s="3242">
        <v>43754.000497685185</v>
      </c>
      <c r="AB20" s="3242">
        <v>43754.000497685185</v>
      </c>
      <c r="AC20" s="3241" t="s">
        <v>3428</v>
      </c>
      <c r="AD20" s="3241" t="s">
        <v>3345</v>
      </c>
      <c r="AE20" s="3241" t="s">
        <v>3429</v>
      </c>
      <c r="AF20" s="3241" t="s">
        <v>3343</v>
      </c>
      <c r="AG20" s="3241" t="s">
        <v>3343</v>
      </c>
      <c r="AH20" s="3241">
        <v>2037.8</v>
      </c>
      <c r="AI20" s="3241">
        <v>1018.9</v>
      </c>
      <c r="AJ20" s="3241" t="s">
        <v>3430</v>
      </c>
      <c r="AK20" s="3241">
        <v>2061</v>
      </c>
      <c r="AL20" s="3241">
        <v>181.3</v>
      </c>
      <c r="AM20" s="3241">
        <v>183.37</v>
      </c>
      <c r="AN20" s="3241">
        <v>907</v>
      </c>
      <c r="AO20" s="3241">
        <v>917</v>
      </c>
      <c r="AP20" s="3241" t="s">
        <v>3343</v>
      </c>
      <c r="AQ20" s="3241" t="s">
        <v>3343</v>
      </c>
      <c r="AR20" s="3241">
        <v>1.1399999999999999</v>
      </c>
      <c r="AS20" s="3241" t="s">
        <v>3348</v>
      </c>
      <c r="AT20" s="3241" t="s">
        <v>3342</v>
      </c>
      <c r="AU20" s="3241" t="s">
        <v>3343</v>
      </c>
      <c r="AV20" s="3241" t="s">
        <v>3342</v>
      </c>
      <c r="AW20" s="3241" t="s">
        <v>3343</v>
      </c>
      <c r="AX20" s="3241" t="s">
        <v>3343</v>
      </c>
      <c r="AY20" s="3241" t="s">
        <v>3343</v>
      </c>
    </row>
    <row r="21" spans="1:51">
      <c r="A21" s="3241" t="s">
        <v>3431</v>
      </c>
      <c r="B21" s="3241" t="s">
        <v>3331</v>
      </c>
      <c r="C21" s="3241" t="s">
        <v>3432</v>
      </c>
      <c r="D21" s="3241" t="s">
        <v>3333</v>
      </c>
      <c r="E21" s="3241" t="s">
        <v>3334</v>
      </c>
      <c r="F21" s="3241" t="s">
        <v>3373</v>
      </c>
      <c r="G21" s="3241" t="s">
        <v>3433</v>
      </c>
      <c r="H21" s="3241" t="s">
        <v>3337</v>
      </c>
      <c r="I21" s="3241">
        <v>1364.95</v>
      </c>
      <c r="J21" s="3241">
        <v>2047.43</v>
      </c>
      <c r="K21" s="3241" t="s">
        <v>3434</v>
      </c>
      <c r="L21" s="3241" t="s">
        <v>3427</v>
      </c>
      <c r="M21" s="3241" t="s">
        <v>3340</v>
      </c>
      <c r="N21" s="3241" t="s">
        <v>3341</v>
      </c>
      <c r="O21" s="3241" t="s">
        <v>3342</v>
      </c>
      <c r="P21" s="3241" t="s">
        <v>3343</v>
      </c>
      <c r="Q21" s="3241" t="s">
        <v>3343</v>
      </c>
      <c r="R21" s="3241" t="s">
        <v>3343</v>
      </c>
      <c r="S21" s="3241" t="s">
        <v>3343</v>
      </c>
      <c r="T21" s="3241" t="s">
        <v>3343</v>
      </c>
      <c r="U21" s="3241">
        <v>0</v>
      </c>
      <c r="V21" s="3241">
        <v>0</v>
      </c>
      <c r="W21" s="3241">
        <v>0</v>
      </c>
      <c r="X21" s="3241">
        <v>0</v>
      </c>
      <c r="Y21" s="3242">
        <v>43732.000497685185</v>
      </c>
      <c r="Z21" s="3242">
        <v>43754.000497685185</v>
      </c>
      <c r="AA21" s="3242">
        <v>43754.000497685185</v>
      </c>
      <c r="AB21" s="3242">
        <v>43754.000497685185</v>
      </c>
      <c r="AC21" s="3241" t="s">
        <v>3428</v>
      </c>
      <c r="AD21" s="3241" t="s">
        <v>3345</v>
      </c>
      <c r="AE21" s="3241" t="s">
        <v>3362</v>
      </c>
      <c r="AF21" s="3241" t="s">
        <v>3343</v>
      </c>
      <c r="AG21" s="3241" t="s">
        <v>3343</v>
      </c>
      <c r="AH21" s="3241">
        <v>296.8</v>
      </c>
      <c r="AI21" s="3241">
        <v>148.4</v>
      </c>
      <c r="AJ21" s="3241" t="s">
        <v>3430</v>
      </c>
      <c r="AK21" s="3241">
        <v>302</v>
      </c>
      <c r="AL21" s="3241">
        <v>144.96</v>
      </c>
      <c r="AM21" s="3241">
        <v>147.5</v>
      </c>
      <c r="AN21" s="3241">
        <v>1450</v>
      </c>
      <c r="AO21" s="3241">
        <v>1475</v>
      </c>
      <c r="AP21" s="3241" t="s">
        <v>3343</v>
      </c>
      <c r="AQ21" s="3241" t="s">
        <v>3343</v>
      </c>
      <c r="AR21" s="3241">
        <v>1.75</v>
      </c>
      <c r="AS21" s="3241" t="s">
        <v>3348</v>
      </c>
      <c r="AT21" s="3241" t="s">
        <v>3342</v>
      </c>
      <c r="AU21" s="3241" t="s">
        <v>3343</v>
      </c>
      <c r="AV21" s="3241" t="s">
        <v>3342</v>
      </c>
      <c r="AW21" s="3241" t="s">
        <v>3343</v>
      </c>
      <c r="AX21" s="3241" t="s">
        <v>3343</v>
      </c>
      <c r="AY21" s="3241" t="s">
        <v>3343</v>
      </c>
    </row>
    <row r="22" spans="1:51">
      <c r="A22" s="3241" t="s">
        <v>3431</v>
      </c>
      <c r="B22" s="3241" t="s">
        <v>3331</v>
      </c>
      <c r="C22" s="3241" t="s">
        <v>3435</v>
      </c>
      <c r="D22" s="3241" t="s">
        <v>3333</v>
      </c>
      <c r="E22" s="3241" t="s">
        <v>3334</v>
      </c>
      <c r="F22" s="3241" t="s">
        <v>3373</v>
      </c>
      <c r="G22" s="3241" t="s">
        <v>3433</v>
      </c>
      <c r="H22" s="3241" t="s">
        <v>3337</v>
      </c>
      <c r="I22" s="3241">
        <v>777.98</v>
      </c>
      <c r="J22" s="3241">
        <v>1166.97</v>
      </c>
      <c r="K22" s="3241" t="s">
        <v>3434</v>
      </c>
      <c r="L22" s="3241" t="s">
        <v>3427</v>
      </c>
      <c r="M22" s="3241" t="s">
        <v>3340</v>
      </c>
      <c r="N22" s="3241" t="s">
        <v>3341</v>
      </c>
      <c r="O22" s="3241" t="s">
        <v>3342</v>
      </c>
      <c r="P22" s="3241" t="s">
        <v>3343</v>
      </c>
      <c r="Q22" s="3241" t="s">
        <v>3343</v>
      </c>
      <c r="R22" s="3241" t="s">
        <v>3343</v>
      </c>
      <c r="S22" s="3241" t="s">
        <v>3343</v>
      </c>
      <c r="T22" s="3241" t="s">
        <v>3343</v>
      </c>
      <c r="U22" s="3241">
        <v>0</v>
      </c>
      <c r="V22" s="3241">
        <v>0</v>
      </c>
      <c r="W22" s="3241">
        <v>0</v>
      </c>
      <c r="X22" s="3241">
        <v>0</v>
      </c>
      <c r="Y22" s="3242">
        <v>43732.000497685185</v>
      </c>
      <c r="Z22" s="3242">
        <v>43754.000497685185</v>
      </c>
      <c r="AA22" s="3242">
        <v>43754.000497685185</v>
      </c>
      <c r="AB22" s="3242">
        <v>43754.000497685185</v>
      </c>
      <c r="AC22" s="3241" t="s">
        <v>3428</v>
      </c>
      <c r="AD22" s="3241" t="s">
        <v>3345</v>
      </c>
      <c r="AE22" s="3241" t="s">
        <v>3362</v>
      </c>
      <c r="AF22" s="3241" t="s">
        <v>3343</v>
      </c>
      <c r="AG22" s="3241" t="s">
        <v>3343</v>
      </c>
      <c r="AH22" s="3241">
        <v>169.3</v>
      </c>
      <c r="AI22" s="3241">
        <v>84.7</v>
      </c>
      <c r="AJ22" s="3241" t="s">
        <v>3430</v>
      </c>
      <c r="AK22" s="3241">
        <v>173</v>
      </c>
      <c r="AL22" s="3241">
        <v>145.08000000000001</v>
      </c>
      <c r="AM22" s="3241">
        <v>148.25</v>
      </c>
      <c r="AN22" s="3241">
        <v>1451</v>
      </c>
      <c r="AO22" s="3241">
        <v>1482</v>
      </c>
      <c r="AP22" s="3241" t="s">
        <v>3343</v>
      </c>
      <c r="AQ22" s="3241" t="s">
        <v>3343</v>
      </c>
      <c r="AR22" s="3241">
        <v>2.19</v>
      </c>
      <c r="AS22" s="3241" t="s">
        <v>3348</v>
      </c>
      <c r="AT22" s="3241" t="s">
        <v>3342</v>
      </c>
      <c r="AU22" s="3241" t="s">
        <v>3343</v>
      </c>
      <c r="AV22" s="3241" t="s">
        <v>3342</v>
      </c>
      <c r="AW22" s="3241" t="s">
        <v>3343</v>
      </c>
      <c r="AX22" s="3241" t="s">
        <v>3343</v>
      </c>
      <c r="AY22" s="3241" t="s">
        <v>3343</v>
      </c>
    </row>
    <row r="23" spans="1:51">
      <c r="A23" s="3241" t="s">
        <v>3436</v>
      </c>
      <c r="B23" s="3241" t="s">
        <v>3331</v>
      </c>
      <c r="C23" s="3241" t="s">
        <v>3437</v>
      </c>
      <c r="D23" s="3241" t="s">
        <v>3333</v>
      </c>
      <c r="E23" s="3241" t="s">
        <v>3334</v>
      </c>
      <c r="F23" s="3241" t="s">
        <v>3373</v>
      </c>
      <c r="G23" s="3241" t="s">
        <v>3438</v>
      </c>
      <c r="H23" s="3241" t="s">
        <v>3337</v>
      </c>
      <c r="I23" s="3241">
        <v>3551.77</v>
      </c>
      <c r="J23" s="3241">
        <v>5327.66</v>
      </c>
      <c r="K23" s="3241" t="s">
        <v>3353</v>
      </c>
      <c r="L23" s="3241" t="s">
        <v>3427</v>
      </c>
      <c r="M23" s="3241" t="s">
        <v>3340</v>
      </c>
      <c r="N23" s="3241" t="s">
        <v>3341</v>
      </c>
      <c r="O23" s="3241" t="s">
        <v>3342</v>
      </c>
      <c r="P23" s="3241" t="s">
        <v>3343</v>
      </c>
      <c r="Q23" s="3241" t="s">
        <v>3343</v>
      </c>
      <c r="R23" s="3241" t="s">
        <v>3343</v>
      </c>
      <c r="S23" s="3241" t="s">
        <v>3343</v>
      </c>
      <c r="T23" s="3241" t="s">
        <v>3343</v>
      </c>
      <c r="U23" s="3241">
        <v>0</v>
      </c>
      <c r="V23" s="3241">
        <v>0</v>
      </c>
      <c r="W23" s="3241">
        <v>0</v>
      </c>
      <c r="X23" s="3241">
        <v>0</v>
      </c>
      <c r="Y23" s="3242">
        <v>43732.000497685185</v>
      </c>
      <c r="Z23" s="3242">
        <v>43754.000497685185</v>
      </c>
      <c r="AA23" s="3242">
        <v>43754.000497685185</v>
      </c>
      <c r="AB23" s="3242">
        <v>43754.000497685185</v>
      </c>
      <c r="AC23" s="3241" t="s">
        <v>3428</v>
      </c>
      <c r="AD23" s="3241" t="s">
        <v>3345</v>
      </c>
      <c r="AE23" s="3241" t="s">
        <v>3439</v>
      </c>
      <c r="AF23" s="3241" t="s">
        <v>3343</v>
      </c>
      <c r="AG23" s="3241" t="s">
        <v>3343</v>
      </c>
      <c r="AH23" s="3241">
        <v>771.8</v>
      </c>
      <c r="AI23" s="3241">
        <v>385.9</v>
      </c>
      <c r="AJ23" s="3241" t="s">
        <v>3430</v>
      </c>
      <c r="AK23" s="3241">
        <v>784</v>
      </c>
      <c r="AL23" s="3241">
        <v>144.87</v>
      </c>
      <c r="AM23" s="3241">
        <v>147.16</v>
      </c>
      <c r="AN23" s="3241">
        <v>1449</v>
      </c>
      <c r="AO23" s="3241">
        <v>1472</v>
      </c>
      <c r="AP23" s="3241" t="s">
        <v>3343</v>
      </c>
      <c r="AQ23" s="3241" t="s">
        <v>3343</v>
      </c>
      <c r="AR23" s="3241">
        <v>1.58</v>
      </c>
      <c r="AS23" s="3241" t="s">
        <v>3348</v>
      </c>
      <c r="AT23" s="3241" t="s">
        <v>3342</v>
      </c>
      <c r="AU23" s="3241" t="s">
        <v>3343</v>
      </c>
      <c r="AV23" s="3241" t="s">
        <v>3342</v>
      </c>
      <c r="AW23" s="3241" t="s">
        <v>3343</v>
      </c>
      <c r="AX23" s="3241" t="s">
        <v>3343</v>
      </c>
      <c r="AY23" s="3241" t="s">
        <v>3343</v>
      </c>
    </row>
    <row r="24" spans="1:51">
      <c r="A24" s="3241" t="s">
        <v>3431</v>
      </c>
      <c r="B24" s="3241" t="s">
        <v>3331</v>
      </c>
      <c r="C24" s="3241" t="s">
        <v>3440</v>
      </c>
      <c r="D24" s="3241" t="s">
        <v>3333</v>
      </c>
      <c r="E24" s="3241" t="s">
        <v>3334</v>
      </c>
      <c r="F24" s="3241" t="s">
        <v>3373</v>
      </c>
      <c r="G24" s="3241" t="s">
        <v>3433</v>
      </c>
      <c r="H24" s="3241" t="s">
        <v>3337</v>
      </c>
      <c r="I24" s="3241">
        <v>647.48</v>
      </c>
      <c r="J24" s="3241">
        <v>971.22</v>
      </c>
      <c r="K24" s="3241" t="s">
        <v>3434</v>
      </c>
      <c r="L24" s="3241" t="s">
        <v>3427</v>
      </c>
      <c r="M24" s="3241" t="s">
        <v>3340</v>
      </c>
      <c r="N24" s="3241" t="s">
        <v>3341</v>
      </c>
      <c r="O24" s="3241" t="s">
        <v>3342</v>
      </c>
      <c r="P24" s="3241" t="s">
        <v>3343</v>
      </c>
      <c r="Q24" s="3241" t="s">
        <v>3343</v>
      </c>
      <c r="R24" s="3241" t="s">
        <v>3343</v>
      </c>
      <c r="S24" s="3241" t="s">
        <v>3343</v>
      </c>
      <c r="T24" s="3241" t="s">
        <v>3343</v>
      </c>
      <c r="U24" s="3241">
        <v>0</v>
      </c>
      <c r="V24" s="3241">
        <v>0</v>
      </c>
      <c r="W24" s="3241">
        <v>0</v>
      </c>
      <c r="X24" s="3241">
        <v>0</v>
      </c>
      <c r="Y24" s="3242">
        <v>43732.000497685185</v>
      </c>
      <c r="Z24" s="3242">
        <v>43754.000497685185</v>
      </c>
      <c r="AA24" s="3242">
        <v>43754.000497685185</v>
      </c>
      <c r="AB24" s="3242">
        <v>43754.000497685185</v>
      </c>
      <c r="AC24" s="3241" t="s">
        <v>3428</v>
      </c>
      <c r="AD24" s="3241" t="s">
        <v>3345</v>
      </c>
      <c r="AE24" s="3241" t="s">
        <v>3362</v>
      </c>
      <c r="AF24" s="3241" t="s">
        <v>3343</v>
      </c>
      <c r="AG24" s="3241" t="s">
        <v>3343</v>
      </c>
      <c r="AH24" s="3241">
        <v>140.4</v>
      </c>
      <c r="AI24" s="3241">
        <v>70.2</v>
      </c>
      <c r="AJ24" s="3241" t="s">
        <v>3430</v>
      </c>
      <c r="AK24" s="3241">
        <v>143</v>
      </c>
      <c r="AL24" s="3241">
        <v>144.56</v>
      </c>
      <c r="AM24" s="3241">
        <v>147.24</v>
      </c>
      <c r="AN24" s="3241">
        <v>1446</v>
      </c>
      <c r="AO24" s="3241">
        <v>1472</v>
      </c>
      <c r="AP24" s="3241" t="s">
        <v>3343</v>
      </c>
      <c r="AQ24" s="3241" t="s">
        <v>3343</v>
      </c>
      <c r="AR24" s="3241">
        <v>1.85</v>
      </c>
      <c r="AS24" s="3241" t="s">
        <v>3348</v>
      </c>
      <c r="AT24" s="3241" t="s">
        <v>3342</v>
      </c>
      <c r="AU24" s="3241" t="s">
        <v>3343</v>
      </c>
      <c r="AV24" s="3241" t="s">
        <v>3342</v>
      </c>
      <c r="AW24" s="3241" t="s">
        <v>3343</v>
      </c>
      <c r="AX24" s="3241" t="s">
        <v>3343</v>
      </c>
      <c r="AY24" s="3241" t="s">
        <v>3343</v>
      </c>
    </row>
    <row r="25" spans="1:51">
      <c r="A25" s="3241" t="s">
        <v>3441</v>
      </c>
      <c r="B25" s="3241" t="s">
        <v>3331</v>
      </c>
      <c r="C25" s="3241" t="s">
        <v>3442</v>
      </c>
      <c r="D25" s="3241" t="s">
        <v>3333</v>
      </c>
      <c r="E25" s="3241" t="s">
        <v>3334</v>
      </c>
      <c r="F25" s="3241" t="s">
        <v>3373</v>
      </c>
      <c r="G25" s="3241" t="s">
        <v>3443</v>
      </c>
      <c r="H25" s="3241" t="s">
        <v>3337</v>
      </c>
      <c r="I25" s="3241">
        <v>17250.04</v>
      </c>
      <c r="J25" s="3241">
        <v>25875.06</v>
      </c>
      <c r="K25" s="3241" t="s">
        <v>3434</v>
      </c>
      <c r="L25" s="3241" t="s">
        <v>3427</v>
      </c>
      <c r="M25" s="3241" t="s">
        <v>3340</v>
      </c>
      <c r="N25" s="3241" t="s">
        <v>3341</v>
      </c>
      <c r="O25" s="3241" t="s">
        <v>3342</v>
      </c>
      <c r="P25" s="3241" t="s">
        <v>3343</v>
      </c>
      <c r="Q25" s="3241" t="s">
        <v>3343</v>
      </c>
      <c r="R25" s="3241" t="s">
        <v>3343</v>
      </c>
      <c r="S25" s="3241" t="s">
        <v>3343</v>
      </c>
      <c r="T25" s="3241" t="s">
        <v>3343</v>
      </c>
      <c r="U25" s="3241">
        <v>0</v>
      </c>
      <c r="V25" s="3241">
        <v>0</v>
      </c>
      <c r="W25" s="3241">
        <v>0</v>
      </c>
      <c r="X25" s="3241">
        <v>0</v>
      </c>
      <c r="Y25" s="3242">
        <v>43732.000497685185</v>
      </c>
      <c r="Z25" s="3242">
        <v>43754.000497685185</v>
      </c>
      <c r="AA25" s="3242">
        <v>43754.000497685185</v>
      </c>
      <c r="AB25" s="3242">
        <v>43754.000497685185</v>
      </c>
      <c r="AC25" s="3241" t="s">
        <v>3428</v>
      </c>
      <c r="AD25" s="3241" t="s">
        <v>3345</v>
      </c>
      <c r="AE25" s="3241" t="s">
        <v>3362</v>
      </c>
      <c r="AF25" s="3241" t="s">
        <v>3343</v>
      </c>
      <c r="AG25" s="3241" t="s">
        <v>3343</v>
      </c>
      <c r="AH25" s="3241">
        <v>3747.4</v>
      </c>
      <c r="AI25" s="3241">
        <v>1873.8</v>
      </c>
      <c r="AJ25" s="3241" t="s">
        <v>3430</v>
      </c>
      <c r="AK25" s="3241">
        <v>3806</v>
      </c>
      <c r="AL25" s="3241">
        <v>144.83000000000001</v>
      </c>
      <c r="AM25" s="3241">
        <v>147.09</v>
      </c>
      <c r="AN25" s="3241">
        <v>1448</v>
      </c>
      <c r="AO25" s="3241">
        <v>1471</v>
      </c>
      <c r="AP25" s="3241" t="s">
        <v>3343</v>
      </c>
      <c r="AQ25" s="3241" t="s">
        <v>3343</v>
      </c>
      <c r="AR25" s="3241">
        <v>1.56</v>
      </c>
      <c r="AS25" s="3241" t="s">
        <v>3348</v>
      </c>
      <c r="AT25" s="3241" t="s">
        <v>3342</v>
      </c>
      <c r="AU25" s="3241" t="s">
        <v>3343</v>
      </c>
      <c r="AV25" s="3241" t="s">
        <v>3342</v>
      </c>
      <c r="AW25" s="3241" t="s">
        <v>3343</v>
      </c>
      <c r="AX25" s="3241" t="s">
        <v>3343</v>
      </c>
      <c r="AY25" s="3241" t="s">
        <v>3343</v>
      </c>
    </row>
    <row r="26" spans="1:51">
      <c r="A26" s="3241" t="s">
        <v>3436</v>
      </c>
      <c r="B26" s="3241" t="s">
        <v>3331</v>
      </c>
      <c r="C26" s="3241" t="s">
        <v>3444</v>
      </c>
      <c r="D26" s="3241" t="s">
        <v>3333</v>
      </c>
      <c r="E26" s="3241" t="s">
        <v>3334</v>
      </c>
      <c r="F26" s="3241" t="s">
        <v>3373</v>
      </c>
      <c r="G26" s="3241" t="s">
        <v>3438</v>
      </c>
      <c r="H26" s="3241" t="s">
        <v>3337</v>
      </c>
      <c r="I26" s="3241">
        <v>1180.79</v>
      </c>
      <c r="J26" s="3241">
        <v>1771.19</v>
      </c>
      <c r="K26" s="3241" t="s">
        <v>3353</v>
      </c>
      <c r="L26" s="3241" t="s">
        <v>3427</v>
      </c>
      <c r="M26" s="3241" t="s">
        <v>3340</v>
      </c>
      <c r="N26" s="3241" t="s">
        <v>3341</v>
      </c>
      <c r="O26" s="3241" t="s">
        <v>3342</v>
      </c>
      <c r="P26" s="3241" t="s">
        <v>3343</v>
      </c>
      <c r="Q26" s="3241" t="s">
        <v>3343</v>
      </c>
      <c r="R26" s="3241" t="s">
        <v>3343</v>
      </c>
      <c r="S26" s="3241" t="s">
        <v>3343</v>
      </c>
      <c r="T26" s="3241" t="s">
        <v>3343</v>
      </c>
      <c r="U26" s="3241">
        <v>0</v>
      </c>
      <c r="V26" s="3241">
        <v>0</v>
      </c>
      <c r="W26" s="3241">
        <v>0</v>
      </c>
      <c r="X26" s="3241">
        <v>0</v>
      </c>
      <c r="Y26" s="3242">
        <v>43732.000497685185</v>
      </c>
      <c r="Z26" s="3242">
        <v>43754.000497685185</v>
      </c>
      <c r="AA26" s="3242">
        <v>43754.000497685185</v>
      </c>
      <c r="AB26" s="3242">
        <v>43754.000497685185</v>
      </c>
      <c r="AC26" s="3241" t="s">
        <v>3428</v>
      </c>
      <c r="AD26" s="3241" t="s">
        <v>3345</v>
      </c>
      <c r="AE26" s="3241" t="s">
        <v>3439</v>
      </c>
      <c r="AF26" s="3241" t="s">
        <v>3343</v>
      </c>
      <c r="AG26" s="3241" t="s">
        <v>3343</v>
      </c>
      <c r="AH26" s="3241">
        <v>256.10000000000002</v>
      </c>
      <c r="AI26" s="3241">
        <v>128.1</v>
      </c>
      <c r="AJ26" s="3241" t="s">
        <v>3430</v>
      </c>
      <c r="AK26" s="3241">
        <v>261</v>
      </c>
      <c r="AL26" s="3241">
        <v>144.59</v>
      </c>
      <c r="AM26" s="3241">
        <v>147.36000000000001</v>
      </c>
      <c r="AN26" s="3241">
        <v>1446</v>
      </c>
      <c r="AO26" s="3241">
        <v>1474</v>
      </c>
      <c r="AP26" s="3241" t="s">
        <v>3343</v>
      </c>
      <c r="AQ26" s="3241" t="s">
        <v>3343</v>
      </c>
      <c r="AR26" s="3241">
        <v>1.91</v>
      </c>
      <c r="AS26" s="3241" t="s">
        <v>3348</v>
      </c>
      <c r="AT26" s="3241" t="s">
        <v>3342</v>
      </c>
      <c r="AU26" s="3241" t="s">
        <v>3343</v>
      </c>
      <c r="AV26" s="3241" t="s">
        <v>3342</v>
      </c>
      <c r="AW26" s="3241" t="s">
        <v>3343</v>
      </c>
      <c r="AX26" s="3241" t="s">
        <v>3343</v>
      </c>
      <c r="AY26" s="3241" t="s">
        <v>3343</v>
      </c>
    </row>
    <row r="27" spans="1:51">
      <c r="A27" s="3241" t="s">
        <v>3441</v>
      </c>
      <c r="B27" s="3241" t="s">
        <v>3331</v>
      </c>
      <c r="C27" s="3241" t="s">
        <v>3445</v>
      </c>
      <c r="D27" s="3241" t="s">
        <v>3333</v>
      </c>
      <c r="E27" s="3241" t="s">
        <v>3334</v>
      </c>
      <c r="F27" s="3241" t="s">
        <v>3373</v>
      </c>
      <c r="G27" s="3241" t="s">
        <v>3443</v>
      </c>
      <c r="H27" s="3241" t="s">
        <v>3337</v>
      </c>
      <c r="I27" s="3241">
        <v>331.12</v>
      </c>
      <c r="J27" s="3241">
        <v>496.68</v>
      </c>
      <c r="K27" s="3241" t="s">
        <v>3353</v>
      </c>
      <c r="L27" s="3241" t="s">
        <v>3427</v>
      </c>
      <c r="M27" s="3241" t="s">
        <v>3340</v>
      </c>
      <c r="N27" s="3241" t="s">
        <v>3341</v>
      </c>
      <c r="O27" s="3241" t="s">
        <v>3342</v>
      </c>
      <c r="P27" s="3241" t="s">
        <v>3343</v>
      </c>
      <c r="Q27" s="3241" t="s">
        <v>3343</v>
      </c>
      <c r="R27" s="3241" t="s">
        <v>3343</v>
      </c>
      <c r="S27" s="3241" t="s">
        <v>3343</v>
      </c>
      <c r="T27" s="3241" t="s">
        <v>3343</v>
      </c>
      <c r="U27" s="3241">
        <v>0</v>
      </c>
      <c r="V27" s="3241">
        <v>0</v>
      </c>
      <c r="W27" s="3241">
        <v>0</v>
      </c>
      <c r="X27" s="3241">
        <v>0</v>
      </c>
      <c r="Y27" s="3242">
        <v>43732.000497685185</v>
      </c>
      <c r="Z27" s="3242">
        <v>43754.000497685185</v>
      </c>
      <c r="AA27" s="3242">
        <v>43754.000497685185</v>
      </c>
      <c r="AB27" s="3242">
        <v>43754.000497685185</v>
      </c>
      <c r="AC27" s="3241" t="s">
        <v>3428</v>
      </c>
      <c r="AD27" s="3241" t="s">
        <v>3345</v>
      </c>
      <c r="AE27" s="3241" t="s">
        <v>3439</v>
      </c>
      <c r="AF27" s="3241" t="s">
        <v>3343</v>
      </c>
      <c r="AG27" s="3241" t="s">
        <v>3343</v>
      </c>
      <c r="AH27" s="3241">
        <v>72.400000000000006</v>
      </c>
      <c r="AI27" s="3241">
        <v>36.200000000000003</v>
      </c>
      <c r="AJ27" s="3241" t="s">
        <v>3430</v>
      </c>
      <c r="AK27" s="3241">
        <v>74</v>
      </c>
      <c r="AL27" s="3241">
        <v>145.77000000000001</v>
      </c>
      <c r="AM27" s="3241">
        <v>148.99</v>
      </c>
      <c r="AN27" s="3241">
        <v>1458</v>
      </c>
      <c r="AO27" s="3241">
        <v>1490</v>
      </c>
      <c r="AP27" s="3241" t="s">
        <v>3343</v>
      </c>
      <c r="AQ27" s="3241" t="s">
        <v>3343</v>
      </c>
      <c r="AR27" s="3241">
        <v>2.21</v>
      </c>
      <c r="AS27" s="3241" t="s">
        <v>3348</v>
      </c>
      <c r="AT27" s="3241" t="s">
        <v>3342</v>
      </c>
      <c r="AU27" s="3241" t="s">
        <v>3343</v>
      </c>
      <c r="AV27" s="3241" t="s">
        <v>3342</v>
      </c>
      <c r="AW27" s="3241" t="s">
        <v>3343</v>
      </c>
      <c r="AX27" s="3241" t="s">
        <v>3343</v>
      </c>
      <c r="AY27" s="3241" t="s">
        <v>3343</v>
      </c>
    </row>
    <row r="28" spans="1:51">
      <c r="A28" s="3241" t="s">
        <v>3446</v>
      </c>
      <c r="B28" s="3241" t="s">
        <v>3331</v>
      </c>
      <c r="C28" s="3241" t="s">
        <v>3447</v>
      </c>
      <c r="D28" s="3241" t="s">
        <v>3333</v>
      </c>
      <c r="E28" s="3241" t="s">
        <v>3334</v>
      </c>
      <c r="F28" s="3241" t="s">
        <v>3350</v>
      </c>
      <c r="G28" s="3241" t="s">
        <v>3448</v>
      </c>
      <c r="H28" s="3241" t="s">
        <v>3337</v>
      </c>
      <c r="I28" s="3241">
        <v>6949.21</v>
      </c>
      <c r="J28" s="3241">
        <v>10423.82</v>
      </c>
      <c r="K28" s="3241" t="s">
        <v>3353</v>
      </c>
      <c r="L28" s="3241" t="s">
        <v>3427</v>
      </c>
      <c r="M28" s="3241" t="s">
        <v>3340</v>
      </c>
      <c r="N28" s="3241" t="s">
        <v>3341</v>
      </c>
      <c r="O28" s="3241" t="s">
        <v>3342</v>
      </c>
      <c r="P28" s="3241" t="s">
        <v>3343</v>
      </c>
      <c r="Q28" s="3241" t="s">
        <v>3343</v>
      </c>
      <c r="R28" s="3241" t="s">
        <v>3343</v>
      </c>
      <c r="S28" s="3241" t="s">
        <v>3343</v>
      </c>
      <c r="T28" s="3241" t="s">
        <v>3343</v>
      </c>
      <c r="U28" s="3241">
        <v>0</v>
      </c>
      <c r="V28" s="3241">
        <v>0</v>
      </c>
      <c r="W28" s="3241">
        <v>0</v>
      </c>
      <c r="X28" s="3241">
        <v>0</v>
      </c>
      <c r="Y28" s="3242">
        <v>43732.000497685185</v>
      </c>
      <c r="Z28" s="3242">
        <v>43754.000497685185</v>
      </c>
      <c r="AA28" s="3242">
        <v>43754.000497685185</v>
      </c>
      <c r="AB28" s="3242">
        <v>43754.000497685185</v>
      </c>
      <c r="AC28" s="3241" t="s">
        <v>3428</v>
      </c>
      <c r="AD28" s="3241" t="s">
        <v>3345</v>
      </c>
      <c r="AE28" s="3241" t="s">
        <v>3429</v>
      </c>
      <c r="AF28" s="3241" t="s">
        <v>3343</v>
      </c>
      <c r="AG28" s="3241" t="s">
        <v>3343</v>
      </c>
      <c r="AH28" s="3241">
        <v>1491.1</v>
      </c>
      <c r="AI28" s="3241">
        <v>745.6</v>
      </c>
      <c r="AJ28" s="3241" t="s">
        <v>3430</v>
      </c>
      <c r="AK28" s="3241">
        <v>1511</v>
      </c>
      <c r="AL28" s="3241">
        <v>143.05000000000001</v>
      </c>
      <c r="AM28" s="3241">
        <v>144.96</v>
      </c>
      <c r="AN28" s="3241">
        <v>1430</v>
      </c>
      <c r="AO28" s="3241">
        <v>1450</v>
      </c>
      <c r="AP28" s="3241" t="s">
        <v>3343</v>
      </c>
      <c r="AQ28" s="3241" t="s">
        <v>3343</v>
      </c>
      <c r="AR28" s="3241">
        <v>1.33</v>
      </c>
      <c r="AS28" s="3241" t="s">
        <v>3348</v>
      </c>
      <c r="AT28" s="3241" t="s">
        <v>3342</v>
      </c>
      <c r="AU28" s="3241" t="s">
        <v>3343</v>
      </c>
      <c r="AV28" s="3241" t="s">
        <v>3342</v>
      </c>
      <c r="AW28" s="3241" t="s">
        <v>3343</v>
      </c>
      <c r="AX28" s="3241" t="s">
        <v>3343</v>
      </c>
      <c r="AY28" s="3241" t="s">
        <v>3343</v>
      </c>
    </row>
    <row r="29" spans="1:51">
      <c r="A29" s="3241" t="s">
        <v>3446</v>
      </c>
      <c r="B29" s="3241" t="s">
        <v>3331</v>
      </c>
      <c r="C29" s="3241" t="s">
        <v>3449</v>
      </c>
      <c r="D29" s="3241" t="s">
        <v>3333</v>
      </c>
      <c r="E29" s="3241" t="s">
        <v>3334</v>
      </c>
      <c r="F29" s="3241" t="s">
        <v>3350</v>
      </c>
      <c r="G29" s="3241" t="s">
        <v>3448</v>
      </c>
      <c r="H29" s="3241" t="s">
        <v>3337</v>
      </c>
      <c r="I29" s="3241">
        <v>6252.64</v>
      </c>
      <c r="J29" s="3241">
        <v>9378.9599999999991</v>
      </c>
      <c r="K29" s="3241" t="s">
        <v>3353</v>
      </c>
      <c r="L29" s="3241" t="s">
        <v>3427</v>
      </c>
      <c r="M29" s="3241" t="s">
        <v>3340</v>
      </c>
      <c r="N29" s="3241" t="s">
        <v>3341</v>
      </c>
      <c r="O29" s="3241" t="s">
        <v>3342</v>
      </c>
      <c r="P29" s="3241" t="s">
        <v>3343</v>
      </c>
      <c r="Q29" s="3241" t="s">
        <v>3343</v>
      </c>
      <c r="R29" s="3241" t="s">
        <v>3343</v>
      </c>
      <c r="S29" s="3241" t="s">
        <v>3343</v>
      </c>
      <c r="T29" s="3241" t="s">
        <v>3343</v>
      </c>
      <c r="U29" s="3241">
        <v>0</v>
      </c>
      <c r="V29" s="3241">
        <v>0</v>
      </c>
      <c r="W29" s="3241">
        <v>0</v>
      </c>
      <c r="X29" s="3241">
        <v>0</v>
      </c>
      <c r="Y29" s="3242">
        <v>43732.000497685185</v>
      </c>
      <c r="Z29" s="3242">
        <v>43754.000497685185</v>
      </c>
      <c r="AA29" s="3242">
        <v>43754.000497685185</v>
      </c>
      <c r="AB29" s="3242">
        <v>43754.000497685185</v>
      </c>
      <c r="AC29" s="3241" t="s">
        <v>3428</v>
      </c>
      <c r="AD29" s="3241" t="s">
        <v>3345</v>
      </c>
      <c r="AE29" s="3241" t="s">
        <v>3429</v>
      </c>
      <c r="AF29" s="3241" t="s">
        <v>3343</v>
      </c>
      <c r="AG29" s="3241" t="s">
        <v>3343</v>
      </c>
      <c r="AH29" s="3241">
        <v>1342.3</v>
      </c>
      <c r="AI29" s="3241">
        <v>671.2</v>
      </c>
      <c r="AJ29" s="3241" t="s">
        <v>3430</v>
      </c>
      <c r="AK29" s="3241">
        <v>1363</v>
      </c>
      <c r="AL29" s="3241">
        <v>143.12</v>
      </c>
      <c r="AM29" s="3241">
        <v>145.33000000000001</v>
      </c>
      <c r="AN29" s="3241">
        <v>1431</v>
      </c>
      <c r="AO29" s="3241">
        <v>1453</v>
      </c>
      <c r="AP29" s="3241" t="s">
        <v>3343</v>
      </c>
      <c r="AQ29" s="3241" t="s">
        <v>3343</v>
      </c>
      <c r="AR29" s="3241">
        <v>1.54</v>
      </c>
      <c r="AS29" s="3241" t="s">
        <v>3348</v>
      </c>
      <c r="AT29" s="3241" t="s">
        <v>3342</v>
      </c>
      <c r="AU29" s="3241" t="s">
        <v>3343</v>
      </c>
      <c r="AV29" s="3241" t="s">
        <v>3342</v>
      </c>
      <c r="AW29" s="3241" t="s">
        <v>3343</v>
      </c>
      <c r="AX29" s="3241" t="s">
        <v>3343</v>
      </c>
      <c r="AY29" s="3241" t="s">
        <v>3343</v>
      </c>
    </row>
    <row r="30" spans="1:51">
      <c r="A30" s="3241" t="s">
        <v>3450</v>
      </c>
      <c r="B30" s="3241" t="s">
        <v>3331</v>
      </c>
      <c r="C30" s="3241" t="s">
        <v>3451</v>
      </c>
      <c r="D30" s="3241" t="s">
        <v>3333</v>
      </c>
      <c r="E30" s="3241" t="s">
        <v>3334</v>
      </c>
      <c r="F30" s="3241" t="s">
        <v>3335</v>
      </c>
      <c r="G30" s="3241" t="s">
        <v>3452</v>
      </c>
      <c r="H30" s="3241" t="s">
        <v>3337</v>
      </c>
      <c r="I30" s="3241">
        <v>1598.01</v>
      </c>
      <c r="J30" s="3241">
        <v>1598.01</v>
      </c>
      <c r="K30" s="3241" t="s">
        <v>3453</v>
      </c>
      <c r="L30" s="3241" t="s">
        <v>3427</v>
      </c>
      <c r="M30" s="3241" t="s">
        <v>3340</v>
      </c>
      <c r="N30" s="3241" t="s">
        <v>3341</v>
      </c>
      <c r="O30" s="3241" t="s">
        <v>3342</v>
      </c>
      <c r="P30" s="3241" t="s">
        <v>3343</v>
      </c>
      <c r="Q30" s="3241" t="s">
        <v>3343</v>
      </c>
      <c r="R30" s="3241" t="s">
        <v>3343</v>
      </c>
      <c r="S30" s="3241" t="s">
        <v>3343</v>
      </c>
      <c r="T30" s="3241" t="s">
        <v>3343</v>
      </c>
      <c r="U30" s="3241">
        <v>0</v>
      </c>
      <c r="V30" s="3241">
        <v>0</v>
      </c>
      <c r="W30" s="3241">
        <v>0</v>
      </c>
      <c r="X30" s="3241">
        <v>0</v>
      </c>
      <c r="Y30" s="3242">
        <v>43732.000497685185</v>
      </c>
      <c r="Z30" s="3242">
        <v>43754.000497685185</v>
      </c>
      <c r="AA30" s="3242">
        <v>43754.000497685185</v>
      </c>
      <c r="AB30" s="3242">
        <v>43754.000497685185</v>
      </c>
      <c r="AC30" s="3241" t="s">
        <v>3428</v>
      </c>
      <c r="AD30" s="3241" t="s">
        <v>3345</v>
      </c>
      <c r="AE30" s="3241" t="s">
        <v>3454</v>
      </c>
      <c r="AF30" s="3241" t="s">
        <v>3343</v>
      </c>
      <c r="AG30" s="3241" t="s">
        <v>3343</v>
      </c>
      <c r="AH30" s="3241">
        <v>151.19999999999999</v>
      </c>
      <c r="AI30" s="3241">
        <v>75.599999999999994</v>
      </c>
      <c r="AJ30" s="3241" t="s">
        <v>3430</v>
      </c>
      <c r="AK30" s="3241">
        <v>155.19999999999999</v>
      </c>
      <c r="AL30" s="3241">
        <v>63.08</v>
      </c>
      <c r="AM30" s="3241">
        <v>64.75</v>
      </c>
      <c r="AN30" s="3241">
        <v>946</v>
      </c>
      <c r="AO30" s="3241">
        <v>971</v>
      </c>
      <c r="AP30" s="3241" t="s">
        <v>3343</v>
      </c>
      <c r="AQ30" s="3241" t="s">
        <v>3343</v>
      </c>
      <c r="AR30" s="3241">
        <v>2.65</v>
      </c>
      <c r="AS30" s="3241" t="s">
        <v>3348</v>
      </c>
      <c r="AT30" s="3241" t="s">
        <v>3342</v>
      </c>
      <c r="AU30" s="3241" t="s">
        <v>3343</v>
      </c>
      <c r="AV30" s="3241" t="s">
        <v>3342</v>
      </c>
      <c r="AW30" s="3241" t="s">
        <v>3343</v>
      </c>
      <c r="AX30" s="3241" t="s">
        <v>3343</v>
      </c>
      <c r="AY30" s="3241" t="s">
        <v>3343</v>
      </c>
    </row>
    <row r="31" spans="1:51">
      <c r="A31" s="3241" t="s">
        <v>3455</v>
      </c>
      <c r="B31" s="3241" t="s">
        <v>3331</v>
      </c>
      <c r="C31" s="3241" t="s">
        <v>3456</v>
      </c>
      <c r="D31" s="3241" t="s">
        <v>3333</v>
      </c>
      <c r="E31" s="3241" t="s">
        <v>3334</v>
      </c>
      <c r="F31" s="3241" t="s">
        <v>3373</v>
      </c>
      <c r="G31" s="3241" t="s">
        <v>3457</v>
      </c>
      <c r="H31" s="3241" t="s">
        <v>3337</v>
      </c>
      <c r="I31" s="3241">
        <v>320.66000000000003</v>
      </c>
      <c r="J31" s="3241">
        <v>480.99</v>
      </c>
      <c r="K31" s="3241" t="s">
        <v>3353</v>
      </c>
      <c r="L31" s="3241" t="s">
        <v>3427</v>
      </c>
      <c r="M31" s="3241" t="s">
        <v>3340</v>
      </c>
      <c r="N31" s="3241" t="s">
        <v>3341</v>
      </c>
      <c r="O31" s="3241" t="s">
        <v>3342</v>
      </c>
      <c r="P31" s="3241" t="s">
        <v>3343</v>
      </c>
      <c r="Q31" s="3241" t="s">
        <v>3343</v>
      </c>
      <c r="R31" s="3241" t="s">
        <v>3343</v>
      </c>
      <c r="S31" s="3241" t="s">
        <v>3343</v>
      </c>
      <c r="T31" s="3241" t="s">
        <v>3343</v>
      </c>
      <c r="U31" s="3241">
        <v>0</v>
      </c>
      <c r="V31" s="3241">
        <v>0</v>
      </c>
      <c r="W31" s="3241">
        <v>0</v>
      </c>
      <c r="X31" s="3241">
        <v>0</v>
      </c>
      <c r="Y31" s="3242">
        <v>43732.000497685185</v>
      </c>
      <c r="Z31" s="3242">
        <v>43754.000497685185</v>
      </c>
      <c r="AA31" s="3242">
        <v>43754.000497685185</v>
      </c>
      <c r="AB31" s="3242">
        <v>43754.000497685185</v>
      </c>
      <c r="AC31" s="3241" t="s">
        <v>3428</v>
      </c>
      <c r="AD31" s="3241" t="s">
        <v>3345</v>
      </c>
      <c r="AE31" s="3241" t="s">
        <v>3439</v>
      </c>
      <c r="AF31" s="3241" t="s">
        <v>3343</v>
      </c>
      <c r="AG31" s="3241" t="s">
        <v>3343</v>
      </c>
      <c r="AH31" s="3241">
        <v>69.5</v>
      </c>
      <c r="AI31" s="3241">
        <v>34.799999999999997</v>
      </c>
      <c r="AJ31" s="3241" t="s">
        <v>3430</v>
      </c>
      <c r="AK31" s="3241">
        <v>71</v>
      </c>
      <c r="AL31" s="3241">
        <v>144.49</v>
      </c>
      <c r="AM31" s="3241">
        <v>147.61000000000001</v>
      </c>
      <c r="AN31" s="3241">
        <v>1445</v>
      </c>
      <c r="AO31" s="3241">
        <v>1476</v>
      </c>
      <c r="AP31" s="3241" t="s">
        <v>3343</v>
      </c>
      <c r="AQ31" s="3241" t="s">
        <v>3343</v>
      </c>
      <c r="AR31" s="3241">
        <v>2.16</v>
      </c>
      <c r="AS31" s="3241" t="s">
        <v>3348</v>
      </c>
      <c r="AT31" s="3241" t="s">
        <v>3342</v>
      </c>
      <c r="AU31" s="3241" t="s">
        <v>3343</v>
      </c>
      <c r="AV31" s="3241" t="s">
        <v>3342</v>
      </c>
      <c r="AW31" s="3241" t="s">
        <v>3343</v>
      </c>
      <c r="AX31" s="3241" t="s">
        <v>3343</v>
      </c>
      <c r="AY31" s="3241" t="s">
        <v>3343</v>
      </c>
    </row>
    <row r="32" spans="1:51">
      <c r="A32" s="3241" t="s">
        <v>3458</v>
      </c>
      <c r="B32" s="3241" t="s">
        <v>3331</v>
      </c>
      <c r="C32" s="3241" t="s">
        <v>3459</v>
      </c>
      <c r="D32" s="3241" t="s">
        <v>3333</v>
      </c>
      <c r="E32" s="3241" t="s">
        <v>3334</v>
      </c>
      <c r="F32" s="3241" t="s">
        <v>3373</v>
      </c>
      <c r="G32" s="3241" t="s">
        <v>3460</v>
      </c>
      <c r="H32" s="3241" t="s">
        <v>3337</v>
      </c>
      <c r="I32" s="3241">
        <v>33117.879999999997</v>
      </c>
      <c r="J32" s="3241">
        <v>132471.51999999999</v>
      </c>
      <c r="K32" s="3241" t="s">
        <v>3461</v>
      </c>
      <c r="L32" s="3241" t="s">
        <v>3427</v>
      </c>
      <c r="M32" s="3241" t="s">
        <v>3340</v>
      </c>
      <c r="N32" s="3241" t="s">
        <v>3341</v>
      </c>
      <c r="O32" s="3241" t="s">
        <v>3342</v>
      </c>
      <c r="P32" s="3241" t="s">
        <v>3343</v>
      </c>
      <c r="Q32" s="3241" t="s">
        <v>3343</v>
      </c>
      <c r="R32" s="3241" t="s">
        <v>3343</v>
      </c>
      <c r="S32" s="3241" t="s">
        <v>3343</v>
      </c>
      <c r="T32" s="3241" t="s">
        <v>3343</v>
      </c>
      <c r="U32" s="3241">
        <v>0</v>
      </c>
      <c r="V32" s="3241">
        <v>0</v>
      </c>
      <c r="W32" s="3241">
        <v>0</v>
      </c>
      <c r="X32" s="3241">
        <v>0</v>
      </c>
      <c r="Y32" s="3242">
        <v>43732.000497685185</v>
      </c>
      <c r="Z32" s="3242">
        <v>43754.000497685185</v>
      </c>
      <c r="AA32" s="3242">
        <v>43754.000497685185</v>
      </c>
      <c r="AB32" s="3242">
        <v>43754.000497685185</v>
      </c>
      <c r="AC32" s="3241" t="s">
        <v>3428</v>
      </c>
      <c r="AD32" s="3241" t="s">
        <v>3345</v>
      </c>
      <c r="AE32" s="3241" t="s">
        <v>3362</v>
      </c>
      <c r="AF32" s="3241" t="s">
        <v>3462</v>
      </c>
      <c r="AG32" s="3241" t="s">
        <v>3379</v>
      </c>
      <c r="AH32" s="3241">
        <v>9906.2000000000007</v>
      </c>
      <c r="AI32" s="3241">
        <v>4953.1000000000004</v>
      </c>
      <c r="AJ32" s="3241" t="s">
        <v>3430</v>
      </c>
      <c r="AK32" s="3241">
        <v>10013</v>
      </c>
      <c r="AL32" s="3241">
        <v>199.41</v>
      </c>
      <c r="AM32" s="3241">
        <v>201.56</v>
      </c>
      <c r="AN32" s="3241">
        <v>748</v>
      </c>
      <c r="AO32" s="3241">
        <v>756</v>
      </c>
      <c r="AP32" s="3241" t="s">
        <v>3343</v>
      </c>
      <c r="AQ32" s="3241" t="s">
        <v>3343</v>
      </c>
      <c r="AR32" s="3241">
        <v>1.08</v>
      </c>
      <c r="AS32" s="3241" t="s">
        <v>3348</v>
      </c>
      <c r="AT32" s="3241" t="s">
        <v>3342</v>
      </c>
      <c r="AU32" s="3241" t="s">
        <v>3343</v>
      </c>
      <c r="AV32" s="3241" t="s">
        <v>3342</v>
      </c>
      <c r="AW32" s="3241" t="s">
        <v>3343</v>
      </c>
      <c r="AX32" s="3241" t="s">
        <v>3343</v>
      </c>
      <c r="AY32" s="3241" t="s">
        <v>3343</v>
      </c>
    </row>
    <row r="33" spans="1:51">
      <c r="A33" s="3241" t="s">
        <v>3463</v>
      </c>
      <c r="B33" s="3241" t="s">
        <v>3331</v>
      </c>
      <c r="C33" s="3241" t="s">
        <v>3464</v>
      </c>
      <c r="D33" s="3241" t="s">
        <v>3333</v>
      </c>
      <c r="E33" s="3241" t="s">
        <v>3334</v>
      </c>
      <c r="F33" s="3241" t="s">
        <v>3373</v>
      </c>
      <c r="G33" s="3241" t="s">
        <v>3465</v>
      </c>
      <c r="H33" s="3241" t="s">
        <v>3337</v>
      </c>
      <c r="I33" s="3241">
        <v>3967.09</v>
      </c>
      <c r="J33" s="3241">
        <v>5950.64</v>
      </c>
      <c r="K33" s="3241" t="s">
        <v>3353</v>
      </c>
      <c r="L33" s="3241" t="s">
        <v>3427</v>
      </c>
      <c r="M33" s="3241" t="s">
        <v>3340</v>
      </c>
      <c r="N33" s="3241" t="s">
        <v>3341</v>
      </c>
      <c r="O33" s="3241" t="s">
        <v>3342</v>
      </c>
      <c r="P33" s="3241" t="s">
        <v>3343</v>
      </c>
      <c r="Q33" s="3241" t="s">
        <v>3343</v>
      </c>
      <c r="R33" s="3241" t="s">
        <v>3343</v>
      </c>
      <c r="S33" s="3241" t="s">
        <v>3343</v>
      </c>
      <c r="T33" s="3241" t="s">
        <v>3343</v>
      </c>
      <c r="U33" s="3241">
        <v>0</v>
      </c>
      <c r="V33" s="3241">
        <v>0</v>
      </c>
      <c r="W33" s="3241">
        <v>0</v>
      </c>
      <c r="X33" s="3241">
        <v>0</v>
      </c>
      <c r="Y33" s="3242">
        <v>43732.000497685185</v>
      </c>
      <c r="Z33" s="3242">
        <v>43754.000497685185</v>
      </c>
      <c r="AA33" s="3242">
        <v>43754.000497685185</v>
      </c>
      <c r="AB33" s="3242">
        <v>43754.000497685185</v>
      </c>
      <c r="AC33" s="3241" t="s">
        <v>3428</v>
      </c>
      <c r="AD33" s="3241" t="s">
        <v>3345</v>
      </c>
      <c r="AE33" s="3241" t="s">
        <v>3439</v>
      </c>
      <c r="AF33" s="3241" t="s">
        <v>3343</v>
      </c>
      <c r="AG33" s="3241" t="s">
        <v>3343</v>
      </c>
      <c r="AH33" s="3241">
        <v>861</v>
      </c>
      <c r="AI33" s="3241">
        <v>430.5</v>
      </c>
      <c r="AJ33" s="3241" t="s">
        <v>3430</v>
      </c>
      <c r="AK33" s="3241">
        <v>874</v>
      </c>
      <c r="AL33" s="3241">
        <v>144.69</v>
      </c>
      <c r="AM33" s="3241">
        <v>146.88</v>
      </c>
      <c r="AN33" s="3241">
        <v>1447</v>
      </c>
      <c r="AO33" s="3241">
        <v>1469</v>
      </c>
      <c r="AP33" s="3241" t="s">
        <v>3343</v>
      </c>
      <c r="AQ33" s="3241" t="s">
        <v>3343</v>
      </c>
      <c r="AR33" s="3241">
        <v>1.51</v>
      </c>
      <c r="AS33" s="3241" t="s">
        <v>3348</v>
      </c>
      <c r="AT33" s="3241" t="s">
        <v>3342</v>
      </c>
      <c r="AU33" s="3241" t="s">
        <v>3343</v>
      </c>
      <c r="AV33" s="3241" t="s">
        <v>3342</v>
      </c>
      <c r="AW33" s="3241" t="s">
        <v>3343</v>
      </c>
      <c r="AX33" s="3241" t="s">
        <v>3343</v>
      </c>
      <c r="AY33" s="3241" t="s">
        <v>3343</v>
      </c>
    </row>
    <row r="34" spans="1:51">
      <c r="A34" s="3241" t="s">
        <v>3463</v>
      </c>
      <c r="B34" s="3241" t="s">
        <v>3331</v>
      </c>
      <c r="C34" s="3241" t="s">
        <v>3466</v>
      </c>
      <c r="D34" s="3241" t="s">
        <v>3333</v>
      </c>
      <c r="E34" s="3241" t="s">
        <v>3334</v>
      </c>
      <c r="F34" s="3241" t="s">
        <v>3373</v>
      </c>
      <c r="G34" s="3241" t="s">
        <v>3465</v>
      </c>
      <c r="H34" s="3241" t="s">
        <v>3337</v>
      </c>
      <c r="I34" s="3241">
        <v>4306.47</v>
      </c>
      <c r="J34" s="3241">
        <v>6459.71</v>
      </c>
      <c r="K34" s="3241" t="s">
        <v>3353</v>
      </c>
      <c r="L34" s="3241" t="s">
        <v>3427</v>
      </c>
      <c r="M34" s="3241" t="s">
        <v>3340</v>
      </c>
      <c r="N34" s="3241" t="s">
        <v>3341</v>
      </c>
      <c r="O34" s="3241" t="s">
        <v>3342</v>
      </c>
      <c r="P34" s="3241" t="s">
        <v>3343</v>
      </c>
      <c r="Q34" s="3241" t="s">
        <v>3343</v>
      </c>
      <c r="R34" s="3241" t="s">
        <v>3343</v>
      </c>
      <c r="S34" s="3241" t="s">
        <v>3343</v>
      </c>
      <c r="T34" s="3241" t="s">
        <v>3343</v>
      </c>
      <c r="U34" s="3241">
        <v>0</v>
      </c>
      <c r="V34" s="3241">
        <v>0</v>
      </c>
      <c r="W34" s="3241">
        <v>0</v>
      </c>
      <c r="X34" s="3241">
        <v>0</v>
      </c>
      <c r="Y34" s="3242">
        <v>43732.000497685185</v>
      </c>
      <c r="Z34" s="3242">
        <v>43754.000497685185</v>
      </c>
      <c r="AA34" s="3242">
        <v>43754.000497685185</v>
      </c>
      <c r="AB34" s="3242">
        <v>43754.000497685185</v>
      </c>
      <c r="AC34" s="3241" t="s">
        <v>3428</v>
      </c>
      <c r="AD34" s="3241" t="s">
        <v>3345</v>
      </c>
      <c r="AE34" s="3241" t="s">
        <v>3439</v>
      </c>
      <c r="AF34" s="3241" t="s">
        <v>3343</v>
      </c>
      <c r="AG34" s="3241" t="s">
        <v>3343</v>
      </c>
      <c r="AH34" s="3241">
        <v>934.8</v>
      </c>
      <c r="AI34" s="3241">
        <v>467.4</v>
      </c>
      <c r="AJ34" s="3241" t="s">
        <v>3430</v>
      </c>
      <c r="AK34" s="3241">
        <v>951</v>
      </c>
      <c r="AL34" s="3241">
        <v>144.71</v>
      </c>
      <c r="AM34" s="3241">
        <v>147.22</v>
      </c>
      <c r="AN34" s="3241">
        <v>1447</v>
      </c>
      <c r="AO34" s="3241">
        <v>1472</v>
      </c>
      <c r="AP34" s="3241" t="s">
        <v>3343</v>
      </c>
      <c r="AQ34" s="3241" t="s">
        <v>3343</v>
      </c>
      <c r="AR34" s="3241">
        <v>1.73</v>
      </c>
      <c r="AS34" s="3241" t="s">
        <v>3348</v>
      </c>
      <c r="AT34" s="3241" t="s">
        <v>3342</v>
      </c>
      <c r="AU34" s="3241" t="s">
        <v>3343</v>
      </c>
      <c r="AV34" s="3241" t="s">
        <v>3342</v>
      </c>
      <c r="AW34" s="3241" t="s">
        <v>3343</v>
      </c>
      <c r="AX34" s="3241" t="s">
        <v>3343</v>
      </c>
      <c r="AY34" s="3241" t="s">
        <v>3343</v>
      </c>
    </row>
    <row r="35" spans="1:51">
      <c r="A35" s="3241" t="s">
        <v>3441</v>
      </c>
      <c r="B35" s="3241" t="s">
        <v>3331</v>
      </c>
      <c r="C35" s="3241" t="s">
        <v>3467</v>
      </c>
      <c r="D35" s="3241" t="s">
        <v>3333</v>
      </c>
      <c r="E35" s="3241" t="s">
        <v>3334</v>
      </c>
      <c r="F35" s="3241" t="s">
        <v>3373</v>
      </c>
      <c r="G35" s="3241" t="s">
        <v>3443</v>
      </c>
      <c r="H35" s="3241" t="s">
        <v>3337</v>
      </c>
      <c r="I35" s="3241">
        <v>8816.4</v>
      </c>
      <c r="J35" s="3241">
        <v>13224.6</v>
      </c>
      <c r="K35" s="3241" t="s">
        <v>3353</v>
      </c>
      <c r="L35" s="3241" t="s">
        <v>3427</v>
      </c>
      <c r="M35" s="3241" t="s">
        <v>3340</v>
      </c>
      <c r="N35" s="3241" t="s">
        <v>3341</v>
      </c>
      <c r="O35" s="3241" t="s">
        <v>3342</v>
      </c>
      <c r="P35" s="3241" t="s">
        <v>3343</v>
      </c>
      <c r="Q35" s="3241" t="s">
        <v>3343</v>
      </c>
      <c r="R35" s="3241" t="s">
        <v>3343</v>
      </c>
      <c r="S35" s="3241" t="s">
        <v>3343</v>
      </c>
      <c r="T35" s="3241" t="s">
        <v>3343</v>
      </c>
      <c r="U35" s="3241">
        <v>0</v>
      </c>
      <c r="V35" s="3241">
        <v>0</v>
      </c>
      <c r="W35" s="3241">
        <v>0</v>
      </c>
      <c r="X35" s="3241">
        <v>0</v>
      </c>
      <c r="Y35" s="3242">
        <v>43732.000497685185</v>
      </c>
      <c r="Z35" s="3242">
        <v>43754.000497685185</v>
      </c>
      <c r="AA35" s="3242">
        <v>43754.000497685185</v>
      </c>
      <c r="AB35" s="3242">
        <v>43754.000497685185</v>
      </c>
      <c r="AC35" s="3241" t="s">
        <v>3428</v>
      </c>
      <c r="AD35" s="3241" t="s">
        <v>3345</v>
      </c>
      <c r="AE35" s="3241" t="s">
        <v>3439</v>
      </c>
      <c r="AF35" s="3241" t="s">
        <v>3343</v>
      </c>
      <c r="AG35" s="3241" t="s">
        <v>3343</v>
      </c>
      <c r="AH35" s="3241">
        <v>1912.9</v>
      </c>
      <c r="AI35" s="3241">
        <v>956.5</v>
      </c>
      <c r="AJ35" s="3241" t="s">
        <v>3430</v>
      </c>
      <c r="AK35" s="3241">
        <v>1945</v>
      </c>
      <c r="AL35" s="3241">
        <v>144.65</v>
      </c>
      <c r="AM35" s="3241">
        <v>147.07</v>
      </c>
      <c r="AN35" s="3241">
        <v>1446</v>
      </c>
      <c r="AO35" s="3241">
        <v>1471</v>
      </c>
      <c r="AP35" s="3241" t="s">
        <v>3343</v>
      </c>
      <c r="AQ35" s="3241" t="s">
        <v>3343</v>
      </c>
      <c r="AR35" s="3241">
        <v>1.68</v>
      </c>
      <c r="AS35" s="3241" t="s">
        <v>3348</v>
      </c>
      <c r="AT35" s="3241" t="s">
        <v>3342</v>
      </c>
      <c r="AU35" s="3241" t="s">
        <v>3343</v>
      </c>
      <c r="AV35" s="3241" t="s">
        <v>3342</v>
      </c>
      <c r="AW35" s="3241" t="s">
        <v>3343</v>
      </c>
      <c r="AX35" s="3241" t="s">
        <v>3343</v>
      </c>
      <c r="AY35" s="3241" t="s">
        <v>3343</v>
      </c>
    </row>
    <row r="36" spans="1:51">
      <c r="A36" s="3241" t="s">
        <v>3468</v>
      </c>
      <c r="B36" s="3241" t="s">
        <v>3331</v>
      </c>
      <c r="C36" s="3241" t="s">
        <v>3469</v>
      </c>
      <c r="D36" s="3241" t="s">
        <v>3333</v>
      </c>
      <c r="E36" s="3241" t="s">
        <v>3334</v>
      </c>
      <c r="F36" s="3241" t="s">
        <v>3350</v>
      </c>
      <c r="G36" s="3241" t="s">
        <v>3470</v>
      </c>
      <c r="H36" s="3241" t="s">
        <v>3337</v>
      </c>
      <c r="I36" s="3241">
        <v>16342.16</v>
      </c>
      <c r="J36" s="3241">
        <v>65368.639999999999</v>
      </c>
      <c r="K36" s="3241" t="s">
        <v>3471</v>
      </c>
      <c r="L36" s="3241" t="s">
        <v>3339</v>
      </c>
      <c r="M36" s="3241" t="s">
        <v>3472</v>
      </c>
      <c r="N36" s="3241" t="s">
        <v>3341</v>
      </c>
      <c r="O36" s="3241" t="s">
        <v>3342</v>
      </c>
      <c r="P36" s="3241" t="s">
        <v>3343</v>
      </c>
      <c r="Q36" s="3241" t="s">
        <v>3343</v>
      </c>
      <c r="R36" s="3241" t="s">
        <v>3343</v>
      </c>
      <c r="S36" s="3241" t="s">
        <v>3343</v>
      </c>
      <c r="T36" s="3241" t="s">
        <v>3343</v>
      </c>
      <c r="U36" s="3241">
        <v>0</v>
      </c>
      <c r="V36" s="3241">
        <v>0</v>
      </c>
      <c r="W36" s="3241">
        <v>0</v>
      </c>
      <c r="X36" s="3241">
        <v>0</v>
      </c>
      <c r="Y36" s="3242">
        <v>43622.000497685185</v>
      </c>
      <c r="Z36" s="3242">
        <v>43643.000497685185</v>
      </c>
      <c r="AA36" s="3242">
        <v>43643.000497685185</v>
      </c>
      <c r="AB36" s="3242">
        <v>43643.000497685185</v>
      </c>
      <c r="AC36" s="3241" t="s">
        <v>3473</v>
      </c>
      <c r="AD36" s="3241" t="s">
        <v>3345</v>
      </c>
      <c r="AE36" s="3241" t="s">
        <v>3474</v>
      </c>
      <c r="AF36" s="3241" t="s">
        <v>3343</v>
      </c>
      <c r="AG36" s="3241" t="s">
        <v>3343</v>
      </c>
      <c r="AH36" s="3241">
        <v>4849</v>
      </c>
      <c r="AI36" s="3241">
        <v>2424.5</v>
      </c>
      <c r="AJ36" s="3241" t="s">
        <v>3475</v>
      </c>
      <c r="AK36" s="3241">
        <v>4884</v>
      </c>
      <c r="AL36" s="3241">
        <v>197.81</v>
      </c>
      <c r="AM36" s="3241">
        <v>199.24</v>
      </c>
      <c r="AN36" s="3241">
        <v>742</v>
      </c>
      <c r="AO36" s="3241">
        <v>747</v>
      </c>
      <c r="AP36" s="3241" t="s">
        <v>3343</v>
      </c>
      <c r="AQ36" s="3241" t="s">
        <v>3343</v>
      </c>
      <c r="AR36" s="3241">
        <v>0.72</v>
      </c>
      <c r="AS36" s="3241">
        <v>40</v>
      </c>
      <c r="AT36" s="3241" t="s">
        <v>3342</v>
      </c>
      <c r="AU36" s="3241" t="s">
        <v>3343</v>
      </c>
      <c r="AV36" s="3241" t="s">
        <v>3342</v>
      </c>
      <c r="AW36" s="3241" t="s">
        <v>3343</v>
      </c>
      <c r="AX36" s="3241" t="s">
        <v>3343</v>
      </c>
      <c r="AY36" s="3241" t="s">
        <v>3343</v>
      </c>
    </row>
    <row r="37" spans="1:51">
      <c r="A37" s="3241" t="s">
        <v>3476</v>
      </c>
      <c r="B37" s="3241" t="s">
        <v>3331</v>
      </c>
      <c r="C37" s="3241" t="s">
        <v>3477</v>
      </c>
      <c r="D37" s="3241" t="s">
        <v>3333</v>
      </c>
      <c r="E37" s="3241" t="s">
        <v>3334</v>
      </c>
      <c r="F37" s="3241" t="s">
        <v>3350</v>
      </c>
      <c r="G37" s="3241" t="s">
        <v>3478</v>
      </c>
      <c r="H37" s="3241" t="s">
        <v>3337</v>
      </c>
      <c r="I37" s="3241">
        <v>45859.33</v>
      </c>
      <c r="J37" s="3241">
        <v>183437.3</v>
      </c>
      <c r="K37" s="3241" t="s">
        <v>3471</v>
      </c>
      <c r="L37" s="3241" t="s">
        <v>3339</v>
      </c>
      <c r="M37" s="3241" t="s">
        <v>3472</v>
      </c>
      <c r="N37" s="3241" t="s">
        <v>3341</v>
      </c>
      <c r="O37" s="3241" t="s">
        <v>3342</v>
      </c>
      <c r="P37" s="3241" t="s">
        <v>3343</v>
      </c>
      <c r="Q37" s="3241" t="s">
        <v>3343</v>
      </c>
      <c r="R37" s="3241" t="s">
        <v>3343</v>
      </c>
      <c r="S37" s="3241" t="s">
        <v>3343</v>
      </c>
      <c r="T37" s="3241" t="s">
        <v>3343</v>
      </c>
      <c r="U37" s="3241">
        <v>0</v>
      </c>
      <c r="V37" s="3241">
        <v>0</v>
      </c>
      <c r="W37" s="3241">
        <v>0</v>
      </c>
      <c r="X37" s="3241">
        <v>0</v>
      </c>
      <c r="Y37" s="3242">
        <v>43622.000497685185</v>
      </c>
      <c r="Z37" s="3242">
        <v>43643.000497685185</v>
      </c>
      <c r="AA37" s="3242">
        <v>43643.000497685185</v>
      </c>
      <c r="AB37" s="3242">
        <v>43643.000497685185</v>
      </c>
      <c r="AC37" s="3241" t="s">
        <v>3473</v>
      </c>
      <c r="AD37" s="3241" t="s">
        <v>3345</v>
      </c>
      <c r="AE37" s="3241" t="s">
        <v>3474</v>
      </c>
      <c r="AF37" s="3241" t="s">
        <v>3462</v>
      </c>
      <c r="AG37" s="3241" t="s">
        <v>3379</v>
      </c>
      <c r="AH37" s="3241">
        <v>13607</v>
      </c>
      <c r="AI37" s="3241">
        <v>6803.5</v>
      </c>
      <c r="AJ37" s="3241" t="s">
        <v>3475</v>
      </c>
      <c r="AK37" s="3241">
        <v>13707</v>
      </c>
      <c r="AL37" s="3241">
        <v>197.81</v>
      </c>
      <c r="AM37" s="3241">
        <v>199.26</v>
      </c>
      <c r="AN37" s="3241">
        <v>742</v>
      </c>
      <c r="AO37" s="3241">
        <v>747</v>
      </c>
      <c r="AP37" s="3241" t="s">
        <v>3343</v>
      </c>
      <c r="AQ37" s="3241" t="s">
        <v>3343</v>
      </c>
      <c r="AR37" s="3241">
        <v>0.73</v>
      </c>
      <c r="AS37" s="3241">
        <v>40</v>
      </c>
      <c r="AT37" s="3241" t="s">
        <v>3342</v>
      </c>
      <c r="AU37" s="3241" t="s">
        <v>3343</v>
      </c>
      <c r="AV37" s="3241" t="s">
        <v>3342</v>
      </c>
      <c r="AW37" s="3241" t="s">
        <v>3343</v>
      </c>
      <c r="AX37" s="3241" t="s">
        <v>3343</v>
      </c>
      <c r="AY37" s="3241" t="s">
        <v>3343</v>
      </c>
    </row>
    <row r="38" spans="1:51">
      <c r="A38" s="3241" t="s">
        <v>3479</v>
      </c>
      <c r="B38" s="3241" t="s">
        <v>3331</v>
      </c>
      <c r="C38" s="3241" t="s">
        <v>3480</v>
      </c>
      <c r="D38" s="3241" t="s">
        <v>3333</v>
      </c>
      <c r="E38" s="3241" t="s">
        <v>3334</v>
      </c>
      <c r="F38" s="3241" t="s">
        <v>3350</v>
      </c>
      <c r="G38" s="3241" t="s">
        <v>3481</v>
      </c>
      <c r="H38" s="3241" t="s">
        <v>3337</v>
      </c>
      <c r="I38" s="3241">
        <v>855.53</v>
      </c>
      <c r="J38" s="3241">
        <v>1711.06</v>
      </c>
      <c r="K38" s="3241" t="s">
        <v>3482</v>
      </c>
      <c r="L38" s="3241" t="s">
        <v>3339</v>
      </c>
      <c r="M38" s="3241" t="s">
        <v>3340</v>
      </c>
      <c r="N38" s="3241" t="s">
        <v>3341</v>
      </c>
      <c r="O38" s="3241" t="s">
        <v>3342</v>
      </c>
      <c r="P38" s="3241" t="s">
        <v>3343</v>
      </c>
      <c r="Q38" s="3241" t="s">
        <v>3343</v>
      </c>
      <c r="R38" s="3241" t="s">
        <v>3343</v>
      </c>
      <c r="S38" s="3241" t="s">
        <v>3343</v>
      </c>
      <c r="T38" s="3241" t="s">
        <v>3343</v>
      </c>
      <c r="U38" s="3241" t="s">
        <v>3343</v>
      </c>
      <c r="V38" s="3241" t="s">
        <v>3343</v>
      </c>
      <c r="W38" s="3241">
        <v>0</v>
      </c>
      <c r="X38" s="3241">
        <v>0</v>
      </c>
      <c r="Y38" s="3242">
        <v>43518.000497685185</v>
      </c>
      <c r="Z38" s="3242">
        <v>43539.000497685185</v>
      </c>
      <c r="AA38" s="3242">
        <v>43539.000497685185</v>
      </c>
      <c r="AB38" s="3242">
        <v>43539.000497685185</v>
      </c>
      <c r="AC38" s="3241" t="s">
        <v>3483</v>
      </c>
      <c r="AD38" s="3241" t="s">
        <v>3345</v>
      </c>
      <c r="AE38" s="3241" t="s">
        <v>3362</v>
      </c>
      <c r="AF38" s="3241" t="s">
        <v>3343</v>
      </c>
      <c r="AG38" s="3241" t="s">
        <v>3343</v>
      </c>
      <c r="AH38" s="3241">
        <v>184</v>
      </c>
      <c r="AI38" s="3241">
        <v>184</v>
      </c>
      <c r="AJ38" s="3241" t="s">
        <v>1058</v>
      </c>
      <c r="AK38" s="3241">
        <v>187</v>
      </c>
      <c r="AL38" s="3241">
        <v>143.38</v>
      </c>
      <c r="AM38" s="3241">
        <v>145.72</v>
      </c>
      <c r="AN38" s="3241">
        <v>1075</v>
      </c>
      <c r="AO38" s="3241">
        <v>1093</v>
      </c>
      <c r="AP38" s="3241" t="s">
        <v>3343</v>
      </c>
      <c r="AQ38" s="3241" t="s">
        <v>3343</v>
      </c>
      <c r="AR38" s="3241">
        <v>1.63</v>
      </c>
      <c r="AS38" s="3241" t="s">
        <v>3348</v>
      </c>
      <c r="AT38" s="3241" t="s">
        <v>3342</v>
      </c>
      <c r="AU38" s="3241" t="s">
        <v>3343</v>
      </c>
      <c r="AV38" s="3241" t="s">
        <v>3342</v>
      </c>
      <c r="AW38" s="3241" t="s">
        <v>3343</v>
      </c>
      <c r="AX38" s="3241" t="s">
        <v>3343</v>
      </c>
      <c r="AY38" s="3241" t="s">
        <v>3343</v>
      </c>
    </row>
    <row r="39" spans="1:51" s="3243" customFormat="1">
      <c r="A39" s="3243" t="s">
        <v>3484</v>
      </c>
      <c r="B39" s="3243" t="s">
        <v>3331</v>
      </c>
      <c r="C39" s="3243" t="s">
        <v>3485</v>
      </c>
      <c r="D39" s="3243" t="s">
        <v>3333</v>
      </c>
      <c r="E39" s="3243" t="s">
        <v>3334</v>
      </c>
      <c r="F39" s="3243" t="s">
        <v>3350</v>
      </c>
      <c r="G39" s="3243" t="s">
        <v>3486</v>
      </c>
      <c r="H39" s="3243" t="s">
        <v>3337</v>
      </c>
      <c r="I39" s="3243">
        <v>3290.85</v>
      </c>
      <c r="J39" s="3243">
        <v>3290.85</v>
      </c>
      <c r="K39" s="3243" t="s">
        <v>3487</v>
      </c>
      <c r="L39" s="3243" t="s">
        <v>3339</v>
      </c>
      <c r="M39" s="3243" t="s">
        <v>3340</v>
      </c>
      <c r="N39" s="3243" t="s">
        <v>3341</v>
      </c>
      <c r="O39" s="3243" t="s">
        <v>3342</v>
      </c>
      <c r="P39" s="3243" t="s">
        <v>3343</v>
      </c>
      <c r="Q39" s="3243" t="s">
        <v>3343</v>
      </c>
      <c r="R39" s="3243" t="s">
        <v>3343</v>
      </c>
      <c r="S39" s="3243" t="s">
        <v>3343</v>
      </c>
      <c r="T39" s="3243" t="s">
        <v>3343</v>
      </c>
      <c r="U39" s="3243" t="s">
        <v>3343</v>
      </c>
      <c r="V39" s="3243" t="s">
        <v>3343</v>
      </c>
      <c r="W39" s="3243">
        <v>0</v>
      </c>
      <c r="X39" s="3243">
        <v>0</v>
      </c>
      <c r="Y39" s="3244">
        <v>43518.000497685185</v>
      </c>
      <c r="Z39" s="3244">
        <v>43539.000497685185</v>
      </c>
      <c r="AA39" s="3244">
        <v>43539.000497685185</v>
      </c>
      <c r="AB39" s="3244">
        <v>43539.000497685185</v>
      </c>
      <c r="AC39" s="3243" t="s">
        <v>3483</v>
      </c>
      <c r="AD39" s="3243" t="s">
        <v>3345</v>
      </c>
      <c r="AE39" s="3243" t="s">
        <v>3362</v>
      </c>
      <c r="AF39" s="3243" t="s">
        <v>3343</v>
      </c>
      <c r="AG39" s="3243" t="s">
        <v>3343</v>
      </c>
      <c r="AH39" s="3243">
        <v>997</v>
      </c>
      <c r="AI39" s="3243">
        <v>997</v>
      </c>
      <c r="AJ39" s="3243" t="s">
        <v>1058</v>
      </c>
      <c r="AK39" s="3243">
        <v>1010</v>
      </c>
      <c r="AL39" s="3243">
        <v>201.97</v>
      </c>
      <c r="AM39" s="3243">
        <v>204.61</v>
      </c>
      <c r="AN39" s="3243">
        <v>3030</v>
      </c>
      <c r="AO39" s="3243">
        <v>3069</v>
      </c>
      <c r="AP39" s="3243" t="s">
        <v>3343</v>
      </c>
      <c r="AQ39" s="3243" t="s">
        <v>3343</v>
      </c>
      <c r="AR39" s="3243">
        <v>1.3</v>
      </c>
      <c r="AS39" s="3243" t="s">
        <v>3348</v>
      </c>
      <c r="AT39" s="3243" t="s">
        <v>3342</v>
      </c>
      <c r="AU39" s="3243" t="s">
        <v>3343</v>
      </c>
      <c r="AV39" s="3243" t="s">
        <v>3342</v>
      </c>
      <c r="AW39" s="3243" t="s">
        <v>3343</v>
      </c>
      <c r="AX39" s="3243" t="s">
        <v>3343</v>
      </c>
      <c r="AY39" s="3243" t="s">
        <v>3343</v>
      </c>
    </row>
    <row r="40" spans="1:51">
      <c r="A40" s="3241" t="s">
        <v>3488</v>
      </c>
      <c r="B40" s="3241" t="s">
        <v>3331</v>
      </c>
      <c r="C40" s="3241" t="s">
        <v>3489</v>
      </c>
      <c r="D40" s="3241" t="s">
        <v>3333</v>
      </c>
      <c r="E40" s="3241" t="s">
        <v>3334</v>
      </c>
      <c r="F40" s="3241" t="s">
        <v>3350</v>
      </c>
      <c r="G40" s="3241" t="s">
        <v>3490</v>
      </c>
      <c r="H40" s="3241" t="s">
        <v>3337</v>
      </c>
      <c r="I40" s="3241">
        <v>563.35</v>
      </c>
      <c r="J40" s="3241">
        <v>2253.4</v>
      </c>
      <c r="K40" s="3241" t="s">
        <v>3491</v>
      </c>
      <c r="L40" s="3241" t="s">
        <v>3339</v>
      </c>
      <c r="M40" s="3241" t="s">
        <v>3340</v>
      </c>
      <c r="N40" s="3241" t="s">
        <v>3341</v>
      </c>
      <c r="O40" s="3241" t="s">
        <v>3342</v>
      </c>
      <c r="P40" s="3241" t="s">
        <v>3343</v>
      </c>
      <c r="Q40" s="3241" t="s">
        <v>3343</v>
      </c>
      <c r="R40" s="3241" t="s">
        <v>3343</v>
      </c>
      <c r="S40" s="3241" t="s">
        <v>3343</v>
      </c>
      <c r="T40" s="3241" t="s">
        <v>3343</v>
      </c>
      <c r="U40" s="3241" t="s">
        <v>3343</v>
      </c>
      <c r="V40" s="3241" t="s">
        <v>3343</v>
      </c>
      <c r="W40" s="3241">
        <v>0</v>
      </c>
      <c r="X40" s="3241">
        <v>0</v>
      </c>
      <c r="Y40" s="3242">
        <v>43518.000497685185</v>
      </c>
      <c r="Z40" s="3242">
        <v>43539.000497685185</v>
      </c>
      <c r="AA40" s="3242">
        <v>43539.000497685185</v>
      </c>
      <c r="AB40" s="3242">
        <v>43539.000497685185</v>
      </c>
      <c r="AC40" s="3241" t="s">
        <v>3483</v>
      </c>
      <c r="AD40" s="3241" t="s">
        <v>3345</v>
      </c>
      <c r="AE40" s="3241" t="s">
        <v>3362</v>
      </c>
      <c r="AF40" s="3241" t="s">
        <v>3343</v>
      </c>
      <c r="AG40" s="3241" t="s">
        <v>3343</v>
      </c>
      <c r="AH40" s="3241">
        <v>250</v>
      </c>
      <c r="AI40" s="3241">
        <v>250</v>
      </c>
      <c r="AJ40" s="3241" t="s">
        <v>1058</v>
      </c>
      <c r="AK40" s="3241">
        <v>255</v>
      </c>
      <c r="AL40" s="3241">
        <v>295.85000000000002</v>
      </c>
      <c r="AM40" s="3241">
        <v>301.77</v>
      </c>
      <c r="AN40" s="3241">
        <v>1109</v>
      </c>
      <c r="AO40" s="3241">
        <v>1132</v>
      </c>
      <c r="AP40" s="3241" t="s">
        <v>3343</v>
      </c>
      <c r="AQ40" s="3241" t="s">
        <v>3343</v>
      </c>
      <c r="AR40" s="3241">
        <v>2</v>
      </c>
      <c r="AS40" s="3241" t="s">
        <v>3348</v>
      </c>
      <c r="AT40" s="3241" t="s">
        <v>3342</v>
      </c>
      <c r="AU40" s="3241" t="s">
        <v>3343</v>
      </c>
      <c r="AV40" s="3241" t="s">
        <v>3342</v>
      </c>
      <c r="AW40" s="3241" t="s">
        <v>3343</v>
      </c>
      <c r="AX40" s="3241" t="s">
        <v>3343</v>
      </c>
      <c r="AY40" s="3241" t="s">
        <v>3343</v>
      </c>
    </row>
    <row r="41" spans="1:51">
      <c r="A41" s="3241" t="s">
        <v>3492</v>
      </c>
      <c r="B41" s="3241" t="s">
        <v>3331</v>
      </c>
      <c r="C41" s="3241" t="s">
        <v>3493</v>
      </c>
      <c r="D41" s="3241" t="s">
        <v>3333</v>
      </c>
      <c r="E41" s="3241" t="s">
        <v>3334</v>
      </c>
      <c r="F41" s="3241" t="s">
        <v>3350</v>
      </c>
      <c r="G41" s="3241" t="s">
        <v>3494</v>
      </c>
      <c r="H41" s="3241" t="s">
        <v>3337</v>
      </c>
      <c r="I41" s="3241">
        <v>2440.59</v>
      </c>
      <c r="J41" s="3241">
        <v>4881.18</v>
      </c>
      <c r="K41" s="3241" t="s">
        <v>3482</v>
      </c>
      <c r="L41" s="3241" t="s">
        <v>3339</v>
      </c>
      <c r="M41" s="3241" t="s">
        <v>3340</v>
      </c>
      <c r="N41" s="3241" t="s">
        <v>3341</v>
      </c>
      <c r="O41" s="3241" t="s">
        <v>3342</v>
      </c>
      <c r="P41" s="3241" t="s">
        <v>3343</v>
      </c>
      <c r="Q41" s="3241" t="s">
        <v>3343</v>
      </c>
      <c r="R41" s="3241" t="s">
        <v>3343</v>
      </c>
      <c r="S41" s="3241" t="s">
        <v>3343</v>
      </c>
      <c r="T41" s="3241" t="s">
        <v>3343</v>
      </c>
      <c r="U41" s="3241">
        <v>0</v>
      </c>
      <c r="V41" s="3241">
        <v>0</v>
      </c>
      <c r="W41" s="3241">
        <v>0</v>
      </c>
      <c r="X41" s="3241">
        <v>0</v>
      </c>
      <c r="Y41" s="3242">
        <v>43518.000497685185</v>
      </c>
      <c r="Z41" s="3242">
        <v>43539.000497685185</v>
      </c>
      <c r="AA41" s="3242">
        <v>43539.000497685185</v>
      </c>
      <c r="AB41" s="3242">
        <v>43539.000497685185</v>
      </c>
      <c r="AC41" s="3241" t="s">
        <v>3483</v>
      </c>
      <c r="AD41" s="3241" t="s">
        <v>3345</v>
      </c>
      <c r="AE41" s="3241" t="s">
        <v>3495</v>
      </c>
      <c r="AF41" s="3241" t="s">
        <v>3343</v>
      </c>
      <c r="AG41" s="3241" t="s">
        <v>3343</v>
      </c>
      <c r="AH41" s="3241">
        <v>523</v>
      </c>
      <c r="AI41" s="3241">
        <v>523</v>
      </c>
      <c r="AJ41" s="3241" t="s">
        <v>1058</v>
      </c>
      <c r="AK41" s="3241">
        <v>533</v>
      </c>
      <c r="AL41" s="3241">
        <v>142.86000000000001</v>
      </c>
      <c r="AM41" s="3241">
        <v>145.59</v>
      </c>
      <c r="AN41" s="3241">
        <v>1071</v>
      </c>
      <c r="AO41" s="3241">
        <v>1092</v>
      </c>
      <c r="AP41" s="3241" t="s">
        <v>3343</v>
      </c>
      <c r="AQ41" s="3241" t="s">
        <v>3343</v>
      </c>
      <c r="AR41" s="3241">
        <v>1.91</v>
      </c>
      <c r="AS41" s="3241" t="s">
        <v>3348</v>
      </c>
      <c r="AT41" s="3241" t="s">
        <v>3342</v>
      </c>
      <c r="AU41" s="3241" t="s">
        <v>3343</v>
      </c>
      <c r="AV41" s="3241" t="s">
        <v>3342</v>
      </c>
      <c r="AW41" s="3241" t="s">
        <v>3343</v>
      </c>
      <c r="AX41" s="3241" t="s">
        <v>3343</v>
      </c>
      <c r="AY41" s="3241" t="s">
        <v>3343</v>
      </c>
    </row>
    <row r="42" spans="1:51">
      <c r="A42" s="3241" t="s">
        <v>3484</v>
      </c>
      <c r="B42" s="3241" t="s">
        <v>3331</v>
      </c>
      <c r="C42" s="3241" t="s">
        <v>3496</v>
      </c>
      <c r="D42" s="3241" t="s">
        <v>3333</v>
      </c>
      <c r="E42" s="3241" t="s">
        <v>3334</v>
      </c>
      <c r="F42" s="3241" t="s">
        <v>3350</v>
      </c>
      <c r="G42" s="3241" t="s">
        <v>3486</v>
      </c>
      <c r="H42" s="3241" t="s">
        <v>3337</v>
      </c>
      <c r="I42" s="3241">
        <v>8038.4</v>
      </c>
      <c r="J42" s="3241">
        <v>32153.599999999999</v>
      </c>
      <c r="K42" s="3241" t="s">
        <v>3491</v>
      </c>
      <c r="L42" s="3241" t="s">
        <v>3339</v>
      </c>
      <c r="M42" s="3241" t="s">
        <v>3340</v>
      </c>
      <c r="N42" s="3241" t="s">
        <v>3341</v>
      </c>
      <c r="O42" s="3241" t="s">
        <v>3342</v>
      </c>
      <c r="P42" s="3241" t="s">
        <v>3343</v>
      </c>
      <c r="Q42" s="3241" t="s">
        <v>3343</v>
      </c>
      <c r="R42" s="3241" t="s">
        <v>3343</v>
      </c>
      <c r="S42" s="3241" t="s">
        <v>3343</v>
      </c>
      <c r="T42" s="3241" t="s">
        <v>3343</v>
      </c>
      <c r="U42" s="3241" t="s">
        <v>3343</v>
      </c>
      <c r="V42" s="3241" t="s">
        <v>3343</v>
      </c>
      <c r="W42" s="3241">
        <v>0</v>
      </c>
      <c r="X42" s="3241">
        <v>0</v>
      </c>
      <c r="Y42" s="3242">
        <v>43518.000497685185</v>
      </c>
      <c r="Z42" s="3242">
        <v>43539.000497685185</v>
      </c>
      <c r="AA42" s="3242">
        <v>43539.000497685185</v>
      </c>
      <c r="AB42" s="3242">
        <v>43539.000497685185</v>
      </c>
      <c r="AC42" s="3241" t="s">
        <v>3483</v>
      </c>
      <c r="AD42" s="3241" t="s">
        <v>3345</v>
      </c>
      <c r="AE42" s="3241" t="s">
        <v>3362</v>
      </c>
      <c r="AF42" s="3241" t="s">
        <v>3343</v>
      </c>
      <c r="AG42" s="3241" t="s">
        <v>3343</v>
      </c>
      <c r="AH42" s="3241">
        <v>2436</v>
      </c>
      <c r="AI42" s="3241">
        <v>2436</v>
      </c>
      <c r="AJ42" s="3241" t="s">
        <v>1058</v>
      </c>
      <c r="AK42" s="3241">
        <v>2474</v>
      </c>
      <c r="AL42" s="3241">
        <v>202.03</v>
      </c>
      <c r="AM42" s="3241">
        <v>205.18</v>
      </c>
      <c r="AN42" s="3241">
        <v>758</v>
      </c>
      <c r="AO42" s="3241">
        <v>769</v>
      </c>
      <c r="AP42" s="3241" t="s">
        <v>3343</v>
      </c>
      <c r="AQ42" s="3241" t="s">
        <v>3343</v>
      </c>
      <c r="AR42" s="3241">
        <v>1.56</v>
      </c>
      <c r="AS42" s="3241" t="s">
        <v>3348</v>
      </c>
      <c r="AT42" s="3241" t="s">
        <v>3342</v>
      </c>
      <c r="AU42" s="3241" t="s">
        <v>3343</v>
      </c>
      <c r="AV42" s="3241" t="s">
        <v>3342</v>
      </c>
      <c r="AW42" s="3241" t="s">
        <v>3343</v>
      </c>
      <c r="AX42" s="3241" t="s">
        <v>3343</v>
      </c>
      <c r="AY42" s="3241" t="s">
        <v>3343</v>
      </c>
    </row>
    <row r="43" spans="1:51">
      <c r="A43" s="3241" t="s">
        <v>3497</v>
      </c>
      <c r="B43" s="3241" t="s">
        <v>3331</v>
      </c>
      <c r="C43" s="3241" t="s">
        <v>3498</v>
      </c>
      <c r="D43" s="3241" t="s">
        <v>3333</v>
      </c>
      <c r="E43" s="3241" t="s">
        <v>3334</v>
      </c>
      <c r="F43" s="3241" t="s">
        <v>3350</v>
      </c>
      <c r="G43" s="3241" t="s">
        <v>3499</v>
      </c>
      <c r="H43" s="3241" t="s">
        <v>3337</v>
      </c>
      <c r="I43" s="3241">
        <v>95.52</v>
      </c>
      <c r="J43" s="3241">
        <v>286.56</v>
      </c>
      <c r="K43" s="3241" t="s">
        <v>3500</v>
      </c>
      <c r="L43" s="3241" t="s">
        <v>3339</v>
      </c>
      <c r="M43" s="3241" t="s">
        <v>3340</v>
      </c>
      <c r="N43" s="3241" t="s">
        <v>3341</v>
      </c>
      <c r="O43" s="3241" t="s">
        <v>3342</v>
      </c>
      <c r="P43" s="3241" t="s">
        <v>3343</v>
      </c>
      <c r="Q43" s="3241" t="s">
        <v>3343</v>
      </c>
      <c r="R43" s="3241" t="s">
        <v>3343</v>
      </c>
      <c r="S43" s="3241" t="s">
        <v>3343</v>
      </c>
      <c r="T43" s="3241" t="s">
        <v>3343</v>
      </c>
      <c r="U43" s="3241" t="s">
        <v>3343</v>
      </c>
      <c r="V43" s="3241" t="s">
        <v>3343</v>
      </c>
      <c r="W43" s="3241">
        <v>0</v>
      </c>
      <c r="X43" s="3241">
        <v>0</v>
      </c>
      <c r="Y43" s="3242">
        <v>43518.000497685185</v>
      </c>
      <c r="Z43" s="3242">
        <v>43539.000497685185</v>
      </c>
      <c r="AA43" s="3242">
        <v>43539.000497685185</v>
      </c>
      <c r="AB43" s="3242">
        <v>43539.000497685185</v>
      </c>
      <c r="AC43" s="3241" t="s">
        <v>3483</v>
      </c>
      <c r="AD43" s="3241" t="s">
        <v>3345</v>
      </c>
      <c r="AE43" s="3241" t="s">
        <v>3501</v>
      </c>
      <c r="AF43" s="3241" t="s">
        <v>3343</v>
      </c>
      <c r="AG43" s="3241" t="s">
        <v>3343</v>
      </c>
      <c r="AH43" s="3241">
        <v>36</v>
      </c>
      <c r="AI43" s="3241">
        <v>36</v>
      </c>
      <c r="AJ43" s="3241" t="s">
        <v>1058</v>
      </c>
      <c r="AK43" s="3241">
        <v>37</v>
      </c>
      <c r="AL43" s="3241">
        <v>251.26</v>
      </c>
      <c r="AM43" s="3241">
        <v>258.24</v>
      </c>
      <c r="AN43" s="3241">
        <v>1256</v>
      </c>
      <c r="AO43" s="3241">
        <v>1291</v>
      </c>
      <c r="AP43" s="3241" t="s">
        <v>3343</v>
      </c>
      <c r="AQ43" s="3241" t="s">
        <v>3343</v>
      </c>
      <c r="AR43" s="3241">
        <v>2.78</v>
      </c>
      <c r="AS43" s="3241" t="s">
        <v>3348</v>
      </c>
      <c r="AT43" s="3241" t="s">
        <v>3342</v>
      </c>
      <c r="AU43" s="3241" t="s">
        <v>3343</v>
      </c>
      <c r="AV43" s="3241" t="s">
        <v>3342</v>
      </c>
      <c r="AW43" s="3241" t="s">
        <v>3343</v>
      </c>
      <c r="AX43" s="3241" t="s">
        <v>3343</v>
      </c>
      <c r="AY43" s="3241" t="s">
        <v>3343</v>
      </c>
    </row>
    <row r="44" spans="1:51">
      <c r="A44" s="3241" t="s">
        <v>3502</v>
      </c>
      <c r="B44" s="3241" t="s">
        <v>3331</v>
      </c>
      <c r="C44" s="3241" t="s">
        <v>3503</v>
      </c>
      <c r="D44" s="3241" t="s">
        <v>3333</v>
      </c>
      <c r="E44" s="3241" t="s">
        <v>3334</v>
      </c>
      <c r="F44" s="3241" t="s">
        <v>3350</v>
      </c>
      <c r="G44" s="3241" t="s">
        <v>3504</v>
      </c>
      <c r="H44" s="3241" t="s">
        <v>3337</v>
      </c>
      <c r="I44" s="3241">
        <v>70904.36</v>
      </c>
      <c r="J44" s="3241">
        <v>283617.40000000002</v>
      </c>
      <c r="K44" s="3241" t="s">
        <v>3491</v>
      </c>
      <c r="L44" s="3241" t="s">
        <v>3427</v>
      </c>
      <c r="M44" s="3241" t="s">
        <v>3340</v>
      </c>
      <c r="N44" s="3241" t="s">
        <v>3341</v>
      </c>
      <c r="O44" s="3241" t="s">
        <v>3342</v>
      </c>
      <c r="P44" s="3241" t="s">
        <v>3343</v>
      </c>
      <c r="Q44" s="3241" t="s">
        <v>3343</v>
      </c>
      <c r="R44" s="3241" t="s">
        <v>3343</v>
      </c>
      <c r="S44" s="3241" t="s">
        <v>3343</v>
      </c>
      <c r="T44" s="3241" t="s">
        <v>3343</v>
      </c>
      <c r="U44" s="3241">
        <v>0</v>
      </c>
      <c r="V44" s="3241">
        <v>0</v>
      </c>
      <c r="W44" s="3241">
        <v>0</v>
      </c>
      <c r="X44" s="3241">
        <v>0</v>
      </c>
      <c r="Y44" s="3242">
        <v>43416.000497685185</v>
      </c>
      <c r="Z44" s="3242">
        <v>43437.000497685185</v>
      </c>
      <c r="AA44" s="3242">
        <v>43447.000497685185</v>
      </c>
      <c r="AB44" s="3242">
        <v>43447.000497685185</v>
      </c>
      <c r="AC44" s="3241" t="s">
        <v>3505</v>
      </c>
      <c r="AD44" s="3241" t="s">
        <v>3345</v>
      </c>
      <c r="AE44" s="3241" t="s">
        <v>3506</v>
      </c>
      <c r="AF44" s="3241" t="s">
        <v>3343</v>
      </c>
      <c r="AG44" s="3241" t="s">
        <v>3343</v>
      </c>
      <c r="AH44" s="3241">
        <v>21325.83</v>
      </c>
      <c r="AI44" s="3241">
        <v>10663</v>
      </c>
      <c r="AJ44" s="3241" t="s">
        <v>1058</v>
      </c>
      <c r="AK44" s="3241">
        <v>21338</v>
      </c>
      <c r="AL44" s="3241">
        <v>200.51</v>
      </c>
      <c r="AM44" s="3241">
        <v>200.63</v>
      </c>
      <c r="AN44" s="3241">
        <v>752</v>
      </c>
      <c r="AO44" s="3241">
        <v>752</v>
      </c>
      <c r="AP44" s="3241" t="s">
        <v>3343</v>
      </c>
      <c r="AQ44" s="3241" t="s">
        <v>3343</v>
      </c>
      <c r="AR44" s="3241">
        <v>0.06</v>
      </c>
      <c r="AS44" s="3241" t="s">
        <v>3348</v>
      </c>
      <c r="AT44" s="3241" t="s">
        <v>3342</v>
      </c>
      <c r="AU44" s="3241" t="s">
        <v>3343</v>
      </c>
      <c r="AV44" s="3241" t="s">
        <v>3342</v>
      </c>
      <c r="AW44" s="3241" t="s">
        <v>3343</v>
      </c>
      <c r="AX44" s="3241" t="s">
        <v>3343</v>
      </c>
      <c r="AY44" s="3241" t="s">
        <v>3343</v>
      </c>
    </row>
    <row r="45" spans="1:51">
      <c r="A45" s="3241" t="s">
        <v>3507</v>
      </c>
      <c r="B45" s="3241" t="s">
        <v>3331</v>
      </c>
      <c r="C45" s="3241" t="s">
        <v>3508</v>
      </c>
      <c r="D45" s="3241" t="s">
        <v>3333</v>
      </c>
      <c r="E45" s="3241" t="s">
        <v>3334</v>
      </c>
      <c r="F45" s="3241" t="s">
        <v>3350</v>
      </c>
      <c r="G45" s="3241" t="s">
        <v>3509</v>
      </c>
      <c r="H45" s="3241" t="s">
        <v>3337</v>
      </c>
      <c r="I45" s="3241">
        <v>14013.27</v>
      </c>
      <c r="J45" s="3241">
        <v>56053.08</v>
      </c>
      <c r="K45" s="3241" t="s">
        <v>3491</v>
      </c>
      <c r="L45" s="3241" t="s">
        <v>3427</v>
      </c>
      <c r="M45" s="3241" t="s">
        <v>3340</v>
      </c>
      <c r="N45" s="3241" t="s">
        <v>3341</v>
      </c>
      <c r="O45" s="3241" t="s">
        <v>3342</v>
      </c>
      <c r="P45" s="3241" t="s">
        <v>3343</v>
      </c>
      <c r="Q45" s="3241" t="s">
        <v>3343</v>
      </c>
      <c r="R45" s="3241" t="s">
        <v>3343</v>
      </c>
      <c r="S45" s="3241" t="s">
        <v>3343</v>
      </c>
      <c r="T45" s="3241" t="s">
        <v>3343</v>
      </c>
      <c r="U45" s="3241">
        <v>0</v>
      </c>
      <c r="V45" s="3241">
        <v>0</v>
      </c>
      <c r="W45" s="3241">
        <v>0</v>
      </c>
      <c r="X45" s="3241">
        <v>0</v>
      </c>
      <c r="Y45" s="3242">
        <v>43416.000497685185</v>
      </c>
      <c r="Z45" s="3242">
        <v>43437.000497685185</v>
      </c>
      <c r="AA45" s="3242">
        <v>43447.000497685185</v>
      </c>
      <c r="AB45" s="3242">
        <v>43447.000497685185</v>
      </c>
      <c r="AC45" s="3241" t="s">
        <v>3505</v>
      </c>
      <c r="AD45" s="3241" t="s">
        <v>3345</v>
      </c>
      <c r="AE45" s="3241" t="s">
        <v>3510</v>
      </c>
      <c r="AF45" s="3241" t="s">
        <v>3343</v>
      </c>
      <c r="AG45" s="3241" t="s">
        <v>3343</v>
      </c>
      <c r="AH45" s="3241">
        <v>4222.4399999999996</v>
      </c>
      <c r="AI45" s="3241">
        <v>2112</v>
      </c>
      <c r="AJ45" s="3241" t="s">
        <v>1058</v>
      </c>
      <c r="AK45" s="3241">
        <v>4243</v>
      </c>
      <c r="AL45" s="3241">
        <v>200.88</v>
      </c>
      <c r="AM45" s="3241">
        <v>201.86</v>
      </c>
      <c r="AN45" s="3241">
        <v>753</v>
      </c>
      <c r="AO45" s="3241">
        <v>757</v>
      </c>
      <c r="AP45" s="3241" t="s">
        <v>3343</v>
      </c>
      <c r="AQ45" s="3241" t="s">
        <v>3343</v>
      </c>
      <c r="AR45" s="3241">
        <v>0.49</v>
      </c>
      <c r="AS45" s="3241" t="s">
        <v>3348</v>
      </c>
      <c r="AT45" s="3241" t="s">
        <v>3342</v>
      </c>
      <c r="AU45" s="3241" t="s">
        <v>3343</v>
      </c>
      <c r="AV45" s="3241" t="s">
        <v>3342</v>
      </c>
      <c r="AW45" s="3241" t="s">
        <v>3343</v>
      </c>
      <c r="AX45" s="3241" t="s">
        <v>3343</v>
      </c>
      <c r="AY45" s="3241" t="s">
        <v>3343</v>
      </c>
    </row>
    <row r="46" spans="1:51">
      <c r="A46" s="3241" t="s">
        <v>3401</v>
      </c>
      <c r="B46" s="3241" t="s">
        <v>3331</v>
      </c>
      <c r="C46" s="3241" t="s">
        <v>3511</v>
      </c>
      <c r="D46" s="3241" t="s">
        <v>3333</v>
      </c>
      <c r="E46" s="3241" t="s">
        <v>3334</v>
      </c>
      <c r="F46" s="3241" t="s">
        <v>3350</v>
      </c>
      <c r="G46" s="3241" t="s">
        <v>3404</v>
      </c>
      <c r="H46" s="3241" t="s">
        <v>3337</v>
      </c>
      <c r="I46" s="3241">
        <v>4622.2299999999996</v>
      </c>
      <c r="J46" s="3241">
        <v>9244.4599999999991</v>
      </c>
      <c r="K46" s="3241" t="s">
        <v>3482</v>
      </c>
      <c r="L46" s="3241" t="s">
        <v>3427</v>
      </c>
      <c r="M46" s="3241" t="s">
        <v>3340</v>
      </c>
      <c r="N46" s="3241" t="s">
        <v>3341</v>
      </c>
      <c r="O46" s="3241" t="s">
        <v>3342</v>
      </c>
      <c r="P46" s="3241" t="s">
        <v>3343</v>
      </c>
      <c r="Q46" s="3241" t="s">
        <v>3343</v>
      </c>
      <c r="R46" s="3241" t="s">
        <v>3343</v>
      </c>
      <c r="S46" s="3241" t="s">
        <v>3343</v>
      </c>
      <c r="T46" s="3241" t="s">
        <v>3343</v>
      </c>
      <c r="U46" s="3241">
        <v>0</v>
      </c>
      <c r="V46" s="3241">
        <v>0</v>
      </c>
      <c r="W46" s="3241">
        <v>0</v>
      </c>
      <c r="X46" s="3241">
        <v>0</v>
      </c>
      <c r="Y46" s="3242">
        <v>43416.000497685185</v>
      </c>
      <c r="Z46" s="3242">
        <v>43437.000497685185</v>
      </c>
      <c r="AA46" s="3242">
        <v>43447.000497685185</v>
      </c>
      <c r="AB46" s="3242">
        <v>43447.000497685185</v>
      </c>
      <c r="AC46" s="3241" t="s">
        <v>3505</v>
      </c>
      <c r="AD46" s="3241" t="s">
        <v>3345</v>
      </c>
      <c r="AE46" s="3241" t="s">
        <v>3407</v>
      </c>
      <c r="AF46" s="3241" t="s">
        <v>3343</v>
      </c>
      <c r="AG46" s="3241" t="s">
        <v>3343</v>
      </c>
      <c r="AH46" s="3241">
        <v>1079.6199999999999</v>
      </c>
      <c r="AI46" s="3241">
        <v>540</v>
      </c>
      <c r="AJ46" s="3241" t="s">
        <v>1058</v>
      </c>
      <c r="AK46" s="3241">
        <v>1100</v>
      </c>
      <c r="AL46" s="3241">
        <v>155.71</v>
      </c>
      <c r="AM46" s="3241">
        <v>158.65</v>
      </c>
      <c r="AN46" s="3241">
        <v>1168</v>
      </c>
      <c r="AO46" s="3241">
        <v>1190</v>
      </c>
      <c r="AP46" s="3241" t="s">
        <v>3343</v>
      </c>
      <c r="AQ46" s="3241" t="s">
        <v>3343</v>
      </c>
      <c r="AR46" s="3241">
        <v>1.89</v>
      </c>
      <c r="AS46" s="3241" t="s">
        <v>3348</v>
      </c>
      <c r="AT46" s="3241" t="s">
        <v>3342</v>
      </c>
      <c r="AU46" s="3241" t="s">
        <v>3343</v>
      </c>
      <c r="AV46" s="3241" t="s">
        <v>3342</v>
      </c>
      <c r="AW46" s="3241" t="s">
        <v>3343</v>
      </c>
      <c r="AX46" s="3241" t="s">
        <v>3343</v>
      </c>
      <c r="AY46" s="3241" t="s">
        <v>3343</v>
      </c>
    </row>
    <row r="47" spans="1:51">
      <c r="A47" s="3241" t="s">
        <v>3512</v>
      </c>
      <c r="B47" s="3241" t="s">
        <v>3331</v>
      </c>
      <c r="C47" s="3241" t="s">
        <v>3513</v>
      </c>
      <c r="D47" s="3241" t="s">
        <v>3333</v>
      </c>
      <c r="E47" s="3241" t="s">
        <v>3334</v>
      </c>
      <c r="F47" s="3241" t="s">
        <v>3350</v>
      </c>
      <c r="G47" s="3241" t="s">
        <v>3514</v>
      </c>
      <c r="H47" s="3241" t="s">
        <v>3337</v>
      </c>
      <c r="I47" s="3241">
        <v>42133.8</v>
      </c>
      <c r="J47" s="3241">
        <v>168535.2</v>
      </c>
      <c r="K47" s="3241" t="s">
        <v>3491</v>
      </c>
      <c r="L47" s="3241" t="s">
        <v>3427</v>
      </c>
      <c r="M47" s="3241" t="s">
        <v>3340</v>
      </c>
      <c r="N47" s="3241" t="s">
        <v>3341</v>
      </c>
      <c r="O47" s="3241" t="s">
        <v>3342</v>
      </c>
      <c r="P47" s="3241" t="s">
        <v>3343</v>
      </c>
      <c r="Q47" s="3241" t="s">
        <v>3343</v>
      </c>
      <c r="R47" s="3241" t="s">
        <v>3343</v>
      </c>
      <c r="S47" s="3241" t="s">
        <v>3343</v>
      </c>
      <c r="T47" s="3241" t="s">
        <v>3343</v>
      </c>
      <c r="U47" s="3241">
        <v>0</v>
      </c>
      <c r="V47" s="3241">
        <v>0</v>
      </c>
      <c r="W47" s="3241">
        <v>0</v>
      </c>
      <c r="X47" s="3241">
        <v>0</v>
      </c>
      <c r="Y47" s="3242">
        <v>43416.000497685185</v>
      </c>
      <c r="Z47" s="3242">
        <v>43437.000497685185</v>
      </c>
      <c r="AA47" s="3242">
        <v>43447.000497685185</v>
      </c>
      <c r="AB47" s="3242">
        <v>43447.000497685185</v>
      </c>
      <c r="AC47" s="3241" t="s">
        <v>3505</v>
      </c>
      <c r="AD47" s="3241" t="s">
        <v>3345</v>
      </c>
      <c r="AE47" s="3241" t="s">
        <v>3506</v>
      </c>
      <c r="AF47" s="3241" t="s">
        <v>3343</v>
      </c>
      <c r="AG47" s="3241" t="s">
        <v>3343</v>
      </c>
      <c r="AH47" s="3241">
        <v>12673.04</v>
      </c>
      <c r="AI47" s="3241">
        <v>6337</v>
      </c>
      <c r="AJ47" s="3241" t="s">
        <v>1058</v>
      </c>
      <c r="AK47" s="3241">
        <v>12686</v>
      </c>
      <c r="AL47" s="3241">
        <v>200.52</v>
      </c>
      <c r="AM47" s="3241">
        <v>200.73</v>
      </c>
      <c r="AN47" s="3241">
        <v>752</v>
      </c>
      <c r="AO47" s="3241">
        <v>753</v>
      </c>
      <c r="AP47" s="3241" t="s">
        <v>3343</v>
      </c>
      <c r="AQ47" s="3241" t="s">
        <v>3343</v>
      </c>
      <c r="AR47" s="3241">
        <v>0.1</v>
      </c>
      <c r="AS47" s="3241" t="s">
        <v>3348</v>
      </c>
      <c r="AT47" s="3241" t="s">
        <v>3342</v>
      </c>
      <c r="AU47" s="3241" t="s">
        <v>3343</v>
      </c>
      <c r="AV47" s="3241" t="s">
        <v>3342</v>
      </c>
      <c r="AW47" s="3241" t="s">
        <v>3343</v>
      </c>
      <c r="AX47" s="3241" t="s">
        <v>3343</v>
      </c>
      <c r="AY47" s="3241" t="s">
        <v>3343</v>
      </c>
    </row>
    <row r="48" spans="1:51">
      <c r="A48" s="3241" t="s">
        <v>3515</v>
      </c>
      <c r="B48" s="3241" t="s">
        <v>3331</v>
      </c>
      <c r="C48" s="3241" t="s">
        <v>3516</v>
      </c>
      <c r="D48" s="3241" t="s">
        <v>3333</v>
      </c>
      <c r="E48" s="3241" t="s">
        <v>3334</v>
      </c>
      <c r="F48" s="3241" t="s">
        <v>3350</v>
      </c>
      <c r="G48" s="3241" t="s">
        <v>3517</v>
      </c>
      <c r="H48" s="3241" t="s">
        <v>3337</v>
      </c>
      <c r="I48" s="3241">
        <v>21070.31</v>
      </c>
      <c r="J48" s="3241">
        <v>42140.62</v>
      </c>
      <c r="K48" s="3241" t="s">
        <v>3482</v>
      </c>
      <c r="L48" s="3241" t="s">
        <v>3427</v>
      </c>
      <c r="M48" s="3241" t="s">
        <v>3340</v>
      </c>
      <c r="N48" s="3241" t="s">
        <v>3341</v>
      </c>
      <c r="O48" s="3241" t="s">
        <v>3342</v>
      </c>
      <c r="P48" s="3241" t="s">
        <v>3343</v>
      </c>
      <c r="Q48" s="3241" t="s">
        <v>3343</v>
      </c>
      <c r="R48" s="3241" t="s">
        <v>3343</v>
      </c>
      <c r="S48" s="3241" t="s">
        <v>3343</v>
      </c>
      <c r="T48" s="3241" t="s">
        <v>3343</v>
      </c>
      <c r="U48" s="3241">
        <v>0</v>
      </c>
      <c r="V48" s="3241">
        <v>0</v>
      </c>
      <c r="W48" s="3241">
        <v>0</v>
      </c>
      <c r="X48" s="3241">
        <v>0</v>
      </c>
      <c r="Y48" s="3242">
        <v>43416.000497685185</v>
      </c>
      <c r="Z48" s="3242">
        <v>43437.000497685185</v>
      </c>
      <c r="AA48" s="3242">
        <v>43447.000497685185</v>
      </c>
      <c r="AB48" s="3242">
        <v>43447.000497685185</v>
      </c>
      <c r="AC48" s="3241" t="s">
        <v>3505</v>
      </c>
      <c r="AD48" s="3241" t="s">
        <v>3345</v>
      </c>
      <c r="AE48" s="3241" t="s">
        <v>3407</v>
      </c>
      <c r="AF48" s="3241" t="s">
        <v>3343</v>
      </c>
      <c r="AG48" s="3241" t="s">
        <v>3343</v>
      </c>
      <c r="AH48" s="3241">
        <v>4919.79</v>
      </c>
      <c r="AI48" s="3241">
        <v>2460</v>
      </c>
      <c r="AJ48" s="3241" t="s">
        <v>1058</v>
      </c>
      <c r="AK48" s="3241">
        <v>4940</v>
      </c>
      <c r="AL48" s="3241">
        <v>155.66</v>
      </c>
      <c r="AM48" s="3241">
        <v>156.30000000000001</v>
      </c>
      <c r="AN48" s="3241">
        <v>1167</v>
      </c>
      <c r="AO48" s="3241">
        <v>1172</v>
      </c>
      <c r="AP48" s="3241" t="s">
        <v>3343</v>
      </c>
      <c r="AQ48" s="3241" t="s">
        <v>3343</v>
      </c>
      <c r="AR48" s="3241">
        <v>0.41</v>
      </c>
      <c r="AS48" s="3241" t="s">
        <v>3348</v>
      </c>
      <c r="AT48" s="3241" t="s">
        <v>3342</v>
      </c>
      <c r="AU48" s="3241" t="s">
        <v>3343</v>
      </c>
      <c r="AV48" s="3241" t="s">
        <v>3342</v>
      </c>
      <c r="AW48" s="3241" t="s">
        <v>3343</v>
      </c>
      <c r="AX48" s="3241" t="s">
        <v>3343</v>
      </c>
      <c r="AY48" s="3241" t="s">
        <v>3343</v>
      </c>
    </row>
    <row r="49" spans="1:51">
      <c r="A49" s="3241" t="s">
        <v>3518</v>
      </c>
      <c r="B49" s="3241" t="s">
        <v>3331</v>
      </c>
      <c r="C49" s="3241" t="s">
        <v>3519</v>
      </c>
      <c r="D49" s="3241" t="s">
        <v>3333</v>
      </c>
      <c r="E49" s="3241" t="s">
        <v>3334</v>
      </c>
      <c r="F49" s="3241" t="s">
        <v>3350</v>
      </c>
      <c r="G49" s="3241" t="s">
        <v>3520</v>
      </c>
      <c r="H49" s="3241" t="s">
        <v>3337</v>
      </c>
      <c r="I49" s="3241">
        <v>2212.0300000000002</v>
      </c>
      <c r="J49" s="3241">
        <v>2212.0300000000002</v>
      </c>
      <c r="K49" s="3241" t="s">
        <v>3487</v>
      </c>
      <c r="L49" s="3241" t="s">
        <v>3427</v>
      </c>
      <c r="M49" s="3241" t="s">
        <v>3340</v>
      </c>
      <c r="N49" s="3241" t="s">
        <v>3341</v>
      </c>
      <c r="O49" s="3241" t="s">
        <v>3342</v>
      </c>
      <c r="P49" s="3241" t="s">
        <v>3343</v>
      </c>
      <c r="Q49" s="3241" t="s">
        <v>3343</v>
      </c>
      <c r="R49" s="3241" t="s">
        <v>3343</v>
      </c>
      <c r="S49" s="3241" t="s">
        <v>3343</v>
      </c>
      <c r="T49" s="3241" t="s">
        <v>3343</v>
      </c>
      <c r="U49" s="3241">
        <v>0</v>
      </c>
      <c r="V49" s="3241">
        <v>0</v>
      </c>
      <c r="W49" s="3241">
        <v>0</v>
      </c>
      <c r="X49" s="3241">
        <v>0</v>
      </c>
      <c r="Y49" s="3242">
        <v>43396.000497685185</v>
      </c>
      <c r="Z49" s="3242">
        <v>43416.000497685185</v>
      </c>
      <c r="AA49" s="3242">
        <v>43426.000497685185</v>
      </c>
      <c r="AB49" s="3242">
        <v>43426.000497685185</v>
      </c>
      <c r="AC49" s="3241" t="s">
        <v>3521</v>
      </c>
      <c r="AD49" s="3241" t="s">
        <v>3345</v>
      </c>
      <c r="AE49" s="3241" t="s">
        <v>3362</v>
      </c>
      <c r="AF49" s="3241" t="s">
        <v>3343</v>
      </c>
      <c r="AG49" s="3241" t="s">
        <v>3343</v>
      </c>
      <c r="AH49" s="3241">
        <v>961.5</v>
      </c>
      <c r="AI49" s="3241">
        <v>480.75</v>
      </c>
      <c r="AJ49" s="3241" t="s">
        <v>1058</v>
      </c>
      <c r="AK49" s="3241">
        <v>980</v>
      </c>
      <c r="AL49" s="3241">
        <v>289.77999999999997</v>
      </c>
      <c r="AM49" s="3241">
        <v>295.35000000000002</v>
      </c>
      <c r="AN49" s="3241">
        <v>4347</v>
      </c>
      <c r="AO49" s="3241">
        <v>4430</v>
      </c>
      <c r="AP49" s="3241" t="s">
        <v>3343</v>
      </c>
      <c r="AQ49" s="3241" t="s">
        <v>3343</v>
      </c>
      <c r="AR49" s="3241">
        <v>1.92</v>
      </c>
      <c r="AS49" s="3241" t="s">
        <v>3348</v>
      </c>
      <c r="AT49" s="3241" t="s">
        <v>3342</v>
      </c>
      <c r="AU49" s="3241" t="s">
        <v>3343</v>
      </c>
      <c r="AV49" s="3241" t="s">
        <v>3342</v>
      </c>
      <c r="AW49" s="3241" t="s">
        <v>3343</v>
      </c>
      <c r="AX49" s="3241" t="s">
        <v>3343</v>
      </c>
      <c r="AY49" s="3241" t="s">
        <v>3343</v>
      </c>
    </row>
    <row r="50" spans="1:51">
      <c r="A50" s="3241" t="s">
        <v>3522</v>
      </c>
      <c r="B50" s="3241" t="s">
        <v>3331</v>
      </c>
      <c r="C50" s="3241" t="s">
        <v>3523</v>
      </c>
      <c r="D50" s="3241" t="s">
        <v>3333</v>
      </c>
      <c r="E50" s="3241" t="s">
        <v>3334</v>
      </c>
      <c r="F50" s="3241" t="s">
        <v>3373</v>
      </c>
      <c r="G50" s="3241" t="s">
        <v>3524</v>
      </c>
      <c r="H50" s="3241" t="s">
        <v>3337</v>
      </c>
      <c r="I50" s="3241">
        <v>682.85</v>
      </c>
      <c r="J50" s="3241">
        <v>614.57000000000005</v>
      </c>
      <c r="K50" s="3241" t="s">
        <v>3525</v>
      </c>
      <c r="L50" s="3241" t="s">
        <v>3427</v>
      </c>
      <c r="M50" s="3241" t="s">
        <v>3340</v>
      </c>
      <c r="N50" s="3241" t="s">
        <v>3341</v>
      </c>
      <c r="O50" s="3241" t="s">
        <v>3342</v>
      </c>
      <c r="P50" s="3241" t="s">
        <v>3343</v>
      </c>
      <c r="Q50" s="3241" t="s">
        <v>3343</v>
      </c>
      <c r="R50" s="3241" t="s">
        <v>3343</v>
      </c>
      <c r="S50" s="3241" t="s">
        <v>3343</v>
      </c>
      <c r="T50" s="3241" t="s">
        <v>3343</v>
      </c>
      <c r="U50" s="3241">
        <v>0</v>
      </c>
      <c r="V50" s="3241">
        <v>0</v>
      </c>
      <c r="W50" s="3241">
        <v>0</v>
      </c>
      <c r="X50" s="3241">
        <v>0</v>
      </c>
      <c r="Y50" s="3242">
        <v>43396.000497685185</v>
      </c>
      <c r="Z50" s="3242">
        <v>43416.000497685185</v>
      </c>
      <c r="AA50" s="3242">
        <v>43426.000497685185</v>
      </c>
      <c r="AB50" s="3242">
        <v>43426.000497685185</v>
      </c>
      <c r="AC50" s="3241" t="s">
        <v>3521</v>
      </c>
      <c r="AD50" s="3241" t="s">
        <v>3345</v>
      </c>
      <c r="AE50" s="3241" t="s">
        <v>3439</v>
      </c>
      <c r="AF50" s="3241" t="s">
        <v>3343</v>
      </c>
      <c r="AG50" s="3241" t="s">
        <v>3343</v>
      </c>
      <c r="AH50" s="3241">
        <v>156.21</v>
      </c>
      <c r="AI50" s="3241">
        <v>78.11</v>
      </c>
      <c r="AJ50" s="3241" t="s">
        <v>1058</v>
      </c>
      <c r="AK50" s="3241">
        <v>162</v>
      </c>
      <c r="AL50" s="3241">
        <v>152.51</v>
      </c>
      <c r="AM50" s="3241">
        <v>158.16</v>
      </c>
      <c r="AN50" s="3241">
        <v>2542</v>
      </c>
      <c r="AO50" s="3241">
        <v>2636</v>
      </c>
      <c r="AP50" s="3241" t="s">
        <v>3343</v>
      </c>
      <c r="AQ50" s="3241" t="s">
        <v>3343</v>
      </c>
      <c r="AR50" s="3241">
        <v>3.71</v>
      </c>
      <c r="AS50" s="3241" t="s">
        <v>3348</v>
      </c>
      <c r="AT50" s="3241" t="s">
        <v>3342</v>
      </c>
      <c r="AU50" s="3241" t="s">
        <v>3343</v>
      </c>
      <c r="AV50" s="3241" t="s">
        <v>3342</v>
      </c>
      <c r="AW50" s="3241" t="s">
        <v>3343</v>
      </c>
      <c r="AX50" s="3241" t="s">
        <v>3343</v>
      </c>
      <c r="AY50" s="3241" t="s">
        <v>3343</v>
      </c>
    </row>
    <row r="51" spans="1:51">
      <c r="A51" s="3241" t="s">
        <v>3522</v>
      </c>
      <c r="B51" s="3241" t="s">
        <v>3331</v>
      </c>
      <c r="C51" s="3241" t="s">
        <v>3526</v>
      </c>
      <c r="D51" s="3241" t="s">
        <v>3333</v>
      </c>
      <c r="E51" s="3241" t="s">
        <v>3334</v>
      </c>
      <c r="F51" s="3241" t="s">
        <v>3373</v>
      </c>
      <c r="G51" s="3241" t="s">
        <v>3524</v>
      </c>
      <c r="H51" s="3241" t="s">
        <v>3337</v>
      </c>
      <c r="I51" s="3241">
        <v>1295.04</v>
      </c>
      <c r="J51" s="3241">
        <v>1165.54</v>
      </c>
      <c r="K51" s="3241" t="s">
        <v>3525</v>
      </c>
      <c r="L51" s="3241" t="s">
        <v>3427</v>
      </c>
      <c r="M51" s="3241" t="s">
        <v>3340</v>
      </c>
      <c r="N51" s="3241" t="s">
        <v>3341</v>
      </c>
      <c r="O51" s="3241" t="s">
        <v>3342</v>
      </c>
      <c r="P51" s="3241" t="s">
        <v>3343</v>
      </c>
      <c r="Q51" s="3241" t="s">
        <v>3343</v>
      </c>
      <c r="R51" s="3241" t="s">
        <v>3343</v>
      </c>
      <c r="S51" s="3241" t="s">
        <v>3343</v>
      </c>
      <c r="T51" s="3241" t="s">
        <v>3343</v>
      </c>
      <c r="U51" s="3241">
        <v>0</v>
      </c>
      <c r="V51" s="3241">
        <v>0</v>
      </c>
      <c r="W51" s="3241">
        <v>0</v>
      </c>
      <c r="X51" s="3241">
        <v>0</v>
      </c>
      <c r="Y51" s="3242">
        <v>43396.000497685185</v>
      </c>
      <c r="Z51" s="3242">
        <v>43416.000497685185</v>
      </c>
      <c r="AA51" s="3242">
        <v>43426.000497685185</v>
      </c>
      <c r="AB51" s="3242">
        <v>43426.000497685185</v>
      </c>
      <c r="AC51" s="3241" t="s">
        <v>3521</v>
      </c>
      <c r="AD51" s="3241" t="s">
        <v>3345</v>
      </c>
      <c r="AE51" s="3241" t="s">
        <v>3439</v>
      </c>
      <c r="AF51" s="3241" t="s">
        <v>3343</v>
      </c>
      <c r="AG51" s="3241" t="s">
        <v>3343</v>
      </c>
      <c r="AH51" s="3241">
        <v>284.67</v>
      </c>
      <c r="AI51" s="3241">
        <v>142.34</v>
      </c>
      <c r="AJ51" s="3241" t="s">
        <v>1058</v>
      </c>
      <c r="AK51" s="3241">
        <v>291</v>
      </c>
      <c r="AL51" s="3241">
        <v>146.54</v>
      </c>
      <c r="AM51" s="3241">
        <v>149.80000000000001</v>
      </c>
      <c r="AN51" s="3241">
        <v>2442</v>
      </c>
      <c r="AO51" s="3241">
        <v>2497</v>
      </c>
      <c r="AP51" s="3241" t="s">
        <v>3343</v>
      </c>
      <c r="AQ51" s="3241" t="s">
        <v>3343</v>
      </c>
      <c r="AR51" s="3241">
        <v>2.2200000000000002</v>
      </c>
      <c r="AS51" s="3241" t="s">
        <v>3348</v>
      </c>
      <c r="AT51" s="3241" t="s">
        <v>3342</v>
      </c>
      <c r="AU51" s="3241" t="s">
        <v>3343</v>
      </c>
      <c r="AV51" s="3241" t="s">
        <v>3342</v>
      </c>
      <c r="AW51" s="3241" t="s">
        <v>3343</v>
      </c>
      <c r="AX51" s="3241" t="s">
        <v>3343</v>
      </c>
      <c r="AY51" s="3241" t="s">
        <v>3343</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4755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5746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1040</v>
      </c>
      <c r="D5" s="217" t="s">
        <v>1914</v>
      </c>
      <c r="E5" s="218" t="s">
        <v>1915</v>
      </c>
      <c r="F5" s="218" t="s">
        <v>1916</v>
      </c>
      <c r="G5" s="219"/>
    </row>
    <row r="6" spans="1:9" s="220" customFormat="1" ht="13.5" customHeight="1">
      <c r="A6" s="867" t="s">
        <v>1917</v>
      </c>
      <c r="B6" s="221" t="s">
        <v>1918</v>
      </c>
      <c r="C6" s="222">
        <f>'土地比较法-住宅、综合'!F65</f>
        <v>983</v>
      </c>
      <c r="D6" s="223"/>
      <c r="E6" s="224"/>
      <c r="F6" s="224"/>
      <c r="G6" s="225"/>
    </row>
    <row r="7" spans="1:9" s="220" customFormat="1" ht="13.5" customHeight="1">
      <c r="A7" s="867" t="s">
        <v>1919</v>
      </c>
      <c r="B7" s="221" t="s">
        <v>1920</v>
      </c>
      <c r="C7" s="226">
        <f>ROUND(C6*F7,0)</f>
        <v>30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27</v>
      </c>
      <c r="D8" s="228"/>
      <c r="E8" s="226"/>
      <c r="F8" s="227"/>
      <c r="G8" s="1992" t="s">
        <v>3574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27</v>
      </c>
      <c r="D10" s="935">
        <f ca="1">IF(B1="",'数据-汇总表'!E6,IF(INDIRECT("'数据-取费表'!c"&amp;$G$1)="住宅",INDIRECT("'数据-取费表'!s"&amp;$G$1),INDIRECT("'数据-取费表'!k"&amp;$G$1)+INDIRECT("'数据-取费表'!s"&amp;$G$1)))</f>
        <v>8275.91</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8275.91</v>
      </c>
      <c r="E19" s="217">
        <f>'数据-取费表'!B31</f>
        <v>200</v>
      </c>
      <c r="F19" s="237"/>
      <c r="G19" s="1992" t="s">
        <v>3575</v>
      </c>
    </row>
    <row r="20" spans="1:7" s="220" customFormat="1" ht="13.5" customHeight="1">
      <c r="A20" s="261" t="s">
        <v>1938</v>
      </c>
      <c r="B20" s="216" t="s">
        <v>1939</v>
      </c>
      <c r="C20" s="238">
        <f>ROUND((C5+C19)*F20,0)</f>
        <v>21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89</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159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159</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1417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3625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3310</v>
      </c>
      <c r="D34" s="223"/>
      <c r="E34" s="226"/>
      <c r="F34" s="263">
        <f ca="1">IF('数据-取费表'!B24=0,1,IF(B1="",'数据-取费表'!N16,INDIRECT("'数据-取费表'!n"&amp;$G$1)))</f>
        <v>1</v>
      </c>
      <c r="G34" s="225" t="s">
        <v>1971</v>
      </c>
    </row>
    <row r="35" spans="1:7" ht="13.5" customHeight="1">
      <c r="A35" s="869" t="s">
        <v>615</v>
      </c>
      <c r="B35" s="221" t="s">
        <v>1972</v>
      </c>
      <c r="C35" s="226">
        <f ca="1">ROUND(C34*F35,0)</f>
        <v>99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166</v>
      </c>
      <c r="D37" s="223">
        <f ca="1">D19</f>
        <v>8275.91</v>
      </c>
      <c r="E37" s="255">
        <f>'数据-取费表'!B35</f>
        <v>200</v>
      </c>
      <c r="F37" s="265"/>
      <c r="G37" s="267" t="s">
        <v>1977</v>
      </c>
    </row>
    <row r="38" spans="1:7" ht="13.5" customHeight="1">
      <c r="A38" s="869" t="s">
        <v>618</v>
      </c>
      <c r="B38" s="221" t="s">
        <v>1978</v>
      </c>
      <c r="C38" s="226">
        <f ca="1">ROUND(C34*F38,0)</f>
        <v>50</v>
      </c>
      <c r="D38" s="226"/>
      <c r="E38" s="226"/>
      <c r="F38" s="265">
        <f>'数据-取费表'!B36</f>
        <v>1.4999999999999999E-2</v>
      </c>
      <c r="G38" s="225" t="s">
        <v>1973</v>
      </c>
    </row>
    <row r="39" spans="1:7" s="220" customFormat="1" ht="13.5" customHeight="1">
      <c r="A39" s="261" t="s">
        <v>1979</v>
      </c>
      <c r="B39" s="216" t="s">
        <v>1980</v>
      </c>
      <c r="C39" s="238">
        <f ca="1">ROUND(C33*F20,0)</f>
        <v>73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153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150</v>
      </c>
      <c r="D42" s="244"/>
      <c r="E42" s="244"/>
      <c r="F42" s="245"/>
      <c r="G42" s="3516" t="s">
        <v>1989</v>
      </c>
    </row>
    <row r="43" spans="1:7" ht="13.5" customHeight="1">
      <c r="A43" s="869" t="s">
        <v>611</v>
      </c>
      <c r="B43" s="221" t="s">
        <v>1990</v>
      </c>
      <c r="C43" s="244">
        <f ca="1">ROUND(IF('数据-取费表'!B22&lt;=1,C39*F22*'数据-取费表'!B21/2,C39*(POWER((1+F22),'数据-取费表'!B21/2)-1)),0)</f>
        <v>3</v>
      </c>
      <c r="D43" s="244"/>
      <c r="E43" s="244"/>
      <c r="F43" s="245"/>
      <c r="G43" s="3517"/>
    </row>
    <row r="44" spans="1:7" ht="13.5" customHeight="1">
      <c r="A44" s="869" t="s">
        <v>612</v>
      </c>
      <c r="B44" s="221" t="s">
        <v>1991</v>
      </c>
      <c r="C44" s="244">
        <f ca="1">ROUND(IF('数据-取费表'!B22&lt;=1,C40*F22*'数据-取费表'!B21/2,C40*(POWER((1+F22),'数据-取费表'!B21/2)-1)),4)</f>
        <v>8.0000000000000004E-4</v>
      </c>
      <c r="D44" s="244"/>
      <c r="E44" s="244"/>
      <c r="F44" s="245"/>
      <c r="G44" s="3518"/>
    </row>
    <row r="45" spans="1:7" s="220" customFormat="1" ht="13.5" customHeight="1">
      <c r="A45" s="261" t="s">
        <v>1992</v>
      </c>
      <c r="B45" s="250" t="s">
        <v>1958</v>
      </c>
      <c r="C45" s="251">
        <f ca="1">C46</f>
        <v>555</v>
      </c>
      <c r="D45" s="241">
        <f ca="1">C47</f>
        <v>3.0000000000000001E-3</v>
      </c>
      <c r="E45" s="242" t="s">
        <v>1984</v>
      </c>
      <c r="F45" s="2487">
        <f ca="1">F27</f>
        <v>0.15</v>
      </c>
      <c r="G45" s="253" t="s">
        <v>1993</v>
      </c>
    </row>
    <row r="46" spans="1:7" s="220" customFormat="1" ht="13.5" customHeight="1">
      <c r="A46" s="869" t="s">
        <v>610</v>
      </c>
      <c r="B46" s="254" t="s">
        <v>1994</v>
      </c>
      <c r="C46" s="255">
        <f ca="1">ROUND((C33+C39)*F27,0)</f>
        <v>555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4769</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3338</v>
      </c>
      <c r="D51" s="238"/>
      <c r="E51" s="238"/>
      <c r="F51" s="270"/>
      <c r="G51" s="240" t="s">
        <v>2005</v>
      </c>
    </row>
    <row r="52" spans="1:7" s="214" customFormat="1" ht="16.5" thickBot="1">
      <c r="A52" s="271" t="s">
        <v>2006</v>
      </c>
      <c r="B52" s="272"/>
      <c r="C52" s="273">
        <f ca="1">C31+C51</f>
        <v>4755</v>
      </c>
      <c r="D52" s="272"/>
      <c r="E52" s="272"/>
      <c r="F52" s="272"/>
      <c r="G52" s="274"/>
    </row>
    <row r="55" spans="1:7" ht="15">
      <c r="B55" s="276" t="s">
        <v>2007</v>
      </c>
      <c r="C55" s="277"/>
    </row>
    <row r="56" spans="1:7">
      <c r="B56" s="279" t="s">
        <v>1237</v>
      </c>
      <c r="C56" s="281">
        <f ca="1">1-C57</f>
        <v>0.29800000000000004</v>
      </c>
    </row>
    <row r="57" spans="1:7">
      <c r="B57" s="279" t="s">
        <v>1238</v>
      </c>
      <c r="C57" s="280">
        <f ca="1">ROUND(C51/C52,3)</f>
        <v>0.70199999999999996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3601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4351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274760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274760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274760</v>
      </c>
      <c r="D10" s="935">
        <f ca="1">IF(B1="",'数据-汇总表'!E6,IF(INDIRECT("'数据-取费表'!c"&amp;$G$1)="住宅",INDIRECT("'数据-取费表'!s"&amp;$G$1),INDIRECT("'数据-取费表'!k"&amp;$G$1)+INDIRECT("'数据-取费表'!s"&amp;$G$1)))</f>
        <v>8275.91</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1655182</v>
      </c>
      <c r="D19" s="939">
        <f ca="1">D9+D10</f>
        <v>8275.91</v>
      </c>
      <c r="E19" s="217">
        <f>'数据-取费表'!B31</f>
        <v>200</v>
      </c>
      <c r="F19" s="237"/>
      <c r="G19" s="1992"/>
    </row>
    <row r="20" spans="1:7" s="220" customFormat="1" ht="13.5" customHeight="1">
      <c r="A20" s="261" t="s">
        <v>2019</v>
      </c>
      <c r="B20" s="216" t="s">
        <v>2020</v>
      </c>
      <c r="C20" s="238">
        <f ca="1">ROUND((C5+C19)*F20,0)</f>
        <v>38599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165111</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23278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140231</v>
      </c>
      <c r="D24" s="244"/>
      <c r="E24" s="244"/>
      <c r="F24" s="245"/>
      <c r="G24" s="246" t="s">
        <v>2031</v>
      </c>
    </row>
    <row r="25" spans="1:7" s="220" customFormat="1" ht="24">
      <c r="A25" s="869" t="s">
        <v>1921</v>
      </c>
      <c r="B25" s="221" t="s">
        <v>2032</v>
      </c>
      <c r="C25" s="1243">
        <f ca="1">ROUND(IF('数据-取费表'!B22&lt;=1,C20*F22*'数据-取费表'!B22/2,C20*(POWER((1+F22),'数据-取费表'!B22/2)-1)),0)</f>
        <v>1602</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295281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295281</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2629284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36248486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33103640</v>
      </c>
      <c r="D34" s="223"/>
      <c r="E34" s="226"/>
      <c r="F34" s="263"/>
      <c r="G34" s="225"/>
    </row>
    <row r="35" spans="1:7" ht="13.5" customHeight="1">
      <c r="A35" s="869" t="s">
        <v>615</v>
      </c>
      <c r="B35" s="221" t="s">
        <v>1972</v>
      </c>
      <c r="C35" s="226">
        <f ca="1">ROUND(C34*F35,0)</f>
        <v>993109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1655182</v>
      </c>
      <c r="D37" s="223">
        <f ca="1">D19</f>
        <v>8275.91</v>
      </c>
      <c r="E37" s="255">
        <f>'数据-取费表'!B35</f>
        <v>200</v>
      </c>
      <c r="F37" s="265"/>
      <c r="G37" s="267"/>
    </row>
    <row r="38" spans="1:7" ht="13.5" customHeight="1">
      <c r="A38" s="869" t="s">
        <v>618</v>
      </c>
      <c r="B38" s="221" t="s">
        <v>1978</v>
      </c>
      <c r="C38" s="226">
        <f ca="1">ROUND(C34*F38,0)</f>
        <v>496555</v>
      </c>
      <c r="D38" s="226"/>
      <c r="E38" s="226"/>
      <c r="F38" s="265">
        <f>'数据-取费表'!B36</f>
        <v>1.4999999999999999E-2</v>
      </c>
      <c r="G38" s="225" t="s">
        <v>1973</v>
      </c>
    </row>
    <row r="39" spans="1:7" s="220" customFormat="1" ht="13.5" customHeight="1">
      <c r="A39" s="261" t="s">
        <v>1979</v>
      </c>
      <c r="B39" s="216" t="s">
        <v>1980</v>
      </c>
      <c r="C39" s="238">
        <f ca="1">ROUND(C33*F20,0)</f>
        <v>724970</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1534398</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1504312</v>
      </c>
      <c r="D42" s="244"/>
      <c r="E42" s="244"/>
      <c r="F42" s="245"/>
      <c r="G42" s="3516" t="s">
        <v>2036</v>
      </c>
    </row>
    <row r="43" spans="1:7" ht="13.5" customHeight="1">
      <c r="A43" s="869" t="s">
        <v>611</v>
      </c>
      <c r="B43" s="221" t="s">
        <v>1990</v>
      </c>
      <c r="C43" s="244">
        <f ca="1">ROUND(IF('数据-取费表'!B22&lt;=1,C39*F22*'数据-取费表'!B20/2,C39*(POWER((1+F22),'数据-取费表'!B20/2)-1)),0)</f>
        <v>30086</v>
      </c>
      <c r="D43" s="244"/>
      <c r="E43" s="244"/>
      <c r="F43" s="245"/>
      <c r="G43" s="3517"/>
    </row>
    <row r="44" spans="1:7" ht="13.5" customHeight="1">
      <c r="A44" s="869" t="s">
        <v>612</v>
      </c>
      <c r="B44" s="221" t="s">
        <v>1991</v>
      </c>
      <c r="C44" s="244">
        <f ca="1">ROUND(IF('数据-取费表'!B22&lt;=1,C40*F22*'数据-取费表'!B20/2,C40*(POWER((1+F22),'数据-取费表'!B20/2)-1)),4)</f>
        <v>8.0000000000000004E-4</v>
      </c>
      <c r="D44" s="244"/>
      <c r="E44" s="244"/>
      <c r="F44" s="245"/>
      <c r="G44" s="3518"/>
    </row>
    <row r="45" spans="1:7" s="220" customFormat="1" ht="13.5" customHeight="1">
      <c r="A45" s="261" t="s">
        <v>1992</v>
      </c>
      <c r="B45" s="250" t="s">
        <v>1958</v>
      </c>
      <c r="C45" s="251">
        <f ca="1">C46</f>
        <v>5546018</v>
      </c>
      <c r="D45" s="241">
        <f ca="1">C47</f>
        <v>3.0000000000000001E-3</v>
      </c>
      <c r="E45" s="242" t="s">
        <v>1984</v>
      </c>
      <c r="F45" s="2487">
        <f ca="1">F27</f>
        <v>0.15</v>
      </c>
      <c r="G45" s="253" t="s">
        <v>1993</v>
      </c>
    </row>
    <row r="46" spans="1:7" s="220" customFormat="1" ht="13.5" customHeight="1">
      <c r="A46" s="869" t="s">
        <v>610</v>
      </c>
      <c r="B46" s="254" t="s">
        <v>1994</v>
      </c>
      <c r="C46" s="255">
        <f ca="1">ROUND((C33+C39)*F27,0)</f>
        <v>5546018</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47687673</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33381371</v>
      </c>
      <c r="D51" s="238"/>
      <c r="E51" s="238"/>
      <c r="F51" s="270"/>
      <c r="G51" s="240" t="s">
        <v>2005</v>
      </c>
    </row>
    <row r="52" spans="1:7" s="214" customFormat="1" ht="16.5" thickBot="1">
      <c r="A52" s="271" t="s">
        <v>2006</v>
      </c>
      <c r="B52" s="272"/>
      <c r="C52" s="273">
        <f ca="1">C31+C51</f>
        <v>36010655</v>
      </c>
      <c r="D52" s="272"/>
      <c r="E52" s="272"/>
      <c r="F52" s="272"/>
      <c r="G52" s="274"/>
    </row>
    <row r="55" spans="1:7" ht="15">
      <c r="B55" s="276" t="s">
        <v>2007</v>
      </c>
      <c r="C55" s="277"/>
    </row>
    <row r="56" spans="1:7">
      <c r="B56" s="279" t="s">
        <v>1237</v>
      </c>
      <c r="C56" s="281">
        <f ca="1">1-C57</f>
        <v>7.2999999999999954E-2</v>
      </c>
    </row>
    <row r="57" spans="1:7">
      <c r="B57" s="279" t="s">
        <v>1238</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8275.91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8275.91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27</v>
      </c>
      <c r="D20" s="936">
        <f ca="1">IF(C1="",'数据-汇总表'!E6,IF(INDIRECT("'数据-取费表'!c"&amp;$K$1)="住宅",INDIRECT("'数据-取费表'!s"&amp;$K$1),INDIRECT("'数据-取费表'!k"&amp;$K$1)+INDIRECT("'数据-取费表'!s"&amp;$K$1)))</f>
        <v>8275.91</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7" sqref="D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3564</v>
      </c>
      <c r="D1" s="1497" t="s">
        <v>70</v>
      </c>
      <c r="E1" s="1498" t="s">
        <v>1111</v>
      </c>
      <c r="F1" s="1174">
        <f ca="1">J53</f>
        <v>21.64</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1035</v>
      </c>
      <c r="C2" s="1522" t="s">
        <v>1240</v>
      </c>
      <c r="D2" s="1522"/>
      <c r="E2" s="1523"/>
      <c r="F2" s="1524"/>
      <c r="G2" s="2880"/>
      <c r="H2" s="2869"/>
      <c r="I2" s="2869"/>
      <c r="J2" s="2869"/>
      <c r="K2" s="2870"/>
      <c r="L2" s="2869"/>
      <c r="M2" s="2869"/>
    </row>
    <row r="3" spans="1:37" ht="18" customHeight="1" thickBot="1">
      <c r="A3" s="1525" t="s">
        <v>1241</v>
      </c>
      <c r="B3" s="1526">
        <f ca="1">IF(ISERROR(B2*10000/F43),0,ROUND(B2*10000/F43,0))</f>
        <v>1251</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180</v>
      </c>
      <c r="D5" s="1499" t="s">
        <v>1126</v>
      </c>
      <c r="E5" s="1184"/>
      <c r="F5" s="1185"/>
      <c r="G5" s="1519"/>
      <c r="H5" s="305">
        <v>1</v>
      </c>
      <c r="I5" s="306" t="s">
        <v>1125</v>
      </c>
      <c r="J5" s="1183">
        <f ca="1">J6+J10+J12</f>
        <v>0</v>
      </c>
      <c r="K5" s="1499" t="s">
        <v>1126</v>
      </c>
      <c r="L5" s="1184"/>
      <c r="M5" s="1185"/>
    </row>
    <row r="6" spans="1:37" ht="18" customHeight="1">
      <c r="A6" s="1182" t="s">
        <v>822</v>
      </c>
      <c r="B6" s="3521" t="s">
        <v>1127</v>
      </c>
      <c r="C6" s="1187">
        <f ca="1">ROUND(F6*F8*F7*(1-F9)/10000,0)</f>
        <v>180</v>
      </c>
      <c r="D6" s="160" t="s">
        <v>2609</v>
      </c>
      <c r="E6" s="308" t="s">
        <v>1129</v>
      </c>
      <c r="F6" s="309">
        <f ca="1">INDIRECT("'数据-取费表'!u"&amp;$G$1)</f>
        <v>0.7</v>
      </c>
      <c r="G6" s="1519"/>
      <c r="H6" s="1182" t="s">
        <v>822</v>
      </c>
      <c r="I6" s="3521" t="s">
        <v>1127</v>
      </c>
      <c r="J6" s="307">
        <f ca="1">ROUND(M6*M8*M7*(1-M9)/10000,0)</f>
        <v>0</v>
      </c>
      <c r="K6" s="160" t="s">
        <v>2608</v>
      </c>
      <c r="L6" s="308" t="s">
        <v>1129</v>
      </c>
      <c r="M6" s="309">
        <f ca="1">INDIRECT("'数据-取费表'!z"&amp;$G$1)</f>
        <v>0</v>
      </c>
    </row>
    <row r="7" spans="1:37" ht="18" customHeight="1">
      <c r="A7" s="1186"/>
      <c r="B7" s="3522"/>
      <c r="C7" s="1188"/>
      <c r="D7" s="313"/>
      <c r="E7" s="1189" t="s">
        <v>1130</v>
      </c>
      <c r="F7" s="309">
        <f ca="1">IF(INDIRECT("'数据-取费表'!ah"&amp;$G$1)="",INDIRECT("'数据-取费表'!k"&amp;$G$1),INDIRECT("'数据-取费表'!ah"&amp;$G$1))</f>
        <v>8275.91</v>
      </c>
      <c r="G7" s="1519"/>
      <c r="H7" s="310"/>
      <c r="I7" s="3522"/>
      <c r="J7" s="312"/>
      <c r="K7" s="313"/>
      <c r="L7" s="308" t="s">
        <v>1130</v>
      </c>
      <c r="M7" s="309">
        <f ca="1">F7</f>
        <v>8275.91</v>
      </c>
    </row>
    <row r="8" spans="1:37" ht="18" customHeight="1">
      <c r="A8" s="310"/>
      <c r="B8" s="3522"/>
      <c r="C8" s="312"/>
      <c r="D8" s="313"/>
      <c r="E8" s="308" t="s">
        <v>1131</v>
      </c>
      <c r="F8" s="309">
        <f ca="1">INDIRECT("'数据-取费表'!ai"&amp;$G$1)</f>
        <v>365</v>
      </c>
      <c r="G8" s="1519"/>
      <c r="H8" s="310"/>
      <c r="I8" s="3522"/>
      <c r="J8" s="312"/>
      <c r="K8" s="313"/>
      <c r="L8" s="308" t="s">
        <v>1131</v>
      </c>
      <c r="M8" s="309">
        <f ca="1">INDIRECT("'数据-取费表'!ai"&amp;$G$1)</f>
        <v>365</v>
      </c>
    </row>
    <row r="9" spans="1:37" ht="18" customHeight="1">
      <c r="A9" s="310"/>
      <c r="B9" s="3523"/>
      <c r="C9" s="312"/>
      <c r="D9" s="313"/>
      <c r="E9" s="308" t="s">
        <v>1132</v>
      </c>
      <c r="F9" s="318">
        <f ca="1">INDIRECT("'数据-取费表'!w"&amp;$G$1)</f>
        <v>0.15</v>
      </c>
      <c r="G9" s="1519"/>
      <c r="H9" s="310"/>
      <c r="I9" s="352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3576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3338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3310</v>
      </c>
      <c r="D14" s="1480" t="s">
        <v>1142</v>
      </c>
      <c r="E14" s="1477"/>
      <c r="F14" s="325"/>
      <c r="G14" s="1519"/>
      <c r="H14" s="1094" t="s">
        <v>822</v>
      </c>
      <c r="I14" s="308" t="s">
        <v>1143</v>
      </c>
      <c r="J14" s="24">
        <f ca="1">C29</f>
        <v>4769</v>
      </c>
      <c r="K14" s="15"/>
      <c r="L14" s="897"/>
      <c r="M14" s="898"/>
    </row>
    <row r="15" spans="1:37" s="1532" customFormat="1" ht="18" customHeight="1" thickBot="1">
      <c r="A15" s="1094" t="s">
        <v>823</v>
      </c>
      <c r="B15" s="308" t="s">
        <v>1144</v>
      </c>
      <c r="C15" s="24">
        <f ca="1">ROUND(C14*F15,0)</f>
        <v>99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102</v>
      </c>
      <c r="K16" s="1200" t="s">
        <v>1149</v>
      </c>
      <c r="L16" s="1201"/>
      <c r="M16" s="1185"/>
    </row>
    <row r="17" spans="1:37" s="1532" customFormat="1" ht="18" customHeight="1">
      <c r="A17" s="1094" t="s">
        <v>1114</v>
      </c>
      <c r="B17" s="308" t="s">
        <v>1150</v>
      </c>
      <c r="C17" s="24">
        <f ca="1">ROUND(F17*(F43+INDIRECT("'数据-取费表'!S"&amp;$G$1))/10000,0)</f>
        <v>166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54</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3625</v>
      </c>
      <c r="D19" s="136" t="s">
        <v>1160</v>
      </c>
      <c r="E19" s="1495"/>
      <c r="F19" s="26"/>
      <c r="G19" s="1519"/>
      <c r="H19" s="1094" t="s">
        <v>823</v>
      </c>
      <c r="I19" s="308" t="s">
        <v>1161</v>
      </c>
      <c r="J19" s="24">
        <f ca="1">IF(K19="按租金收入计税",ROUND(J6*M19/(1+'数据-取费表'!C42),2),ROUND(C29*M19*0.7,2))</f>
        <v>40.06</v>
      </c>
      <c r="K19" s="1505" t="s">
        <v>1162</v>
      </c>
      <c r="L19" s="308" t="s">
        <v>1146</v>
      </c>
      <c r="M19" s="328">
        <f>IF(K19="按租金收入计税",'数据-取费表'!B51,'数据-取费表'!B50)</f>
        <v>1.2E-2</v>
      </c>
    </row>
    <row r="20" spans="1:37" s="1532" customFormat="1" ht="18" customHeight="1">
      <c r="A20" s="1094" t="s">
        <v>826</v>
      </c>
      <c r="B20" s="308" t="s">
        <v>1163</v>
      </c>
      <c r="C20" s="24">
        <f ca="1">ROUND(C19*F20,0)</f>
        <v>73</v>
      </c>
      <c r="D20" s="329" t="s">
        <v>1164</v>
      </c>
      <c r="E20" s="308" t="s">
        <v>1146</v>
      </c>
      <c r="F20" s="328">
        <f>'数据-取费表'!B37</f>
        <v>0.02</v>
      </c>
      <c r="G20" s="1531"/>
      <c r="H20" s="1094" t="s">
        <v>1113</v>
      </c>
      <c r="I20" s="160" t="s">
        <v>1165</v>
      </c>
      <c r="J20" s="25">
        <f ca="1">ROUND(M20*M21/10000,2)</f>
        <v>14.11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47032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47.7</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-102</v>
      </c>
      <c r="K25" s="1208" t="s">
        <v>1188</v>
      </c>
      <c r="L25" s="1209"/>
      <c r="M25" s="1210"/>
    </row>
    <row r="26" spans="1:37">
      <c r="A26" s="1094" t="s">
        <v>821</v>
      </c>
      <c r="B26" s="308" t="s">
        <v>1189</v>
      </c>
      <c r="C26" s="24">
        <f ca="1">ROUND((C19+C20)*F26,0)</f>
        <v>555</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4769</v>
      </c>
      <c r="D29" s="1205"/>
      <c r="E29" s="1203"/>
      <c r="F29" s="1206"/>
      <c r="G29" s="1531"/>
      <c r="H29" s="340" t="s">
        <v>820</v>
      </c>
      <c r="I29" s="341" t="s">
        <v>1203</v>
      </c>
      <c r="J29" s="342">
        <f ca="1">ROUND(J26/(1+F40)^F41,0)</f>
        <v>0</v>
      </c>
      <c r="K29" s="343" t="s">
        <v>1204</v>
      </c>
      <c r="L29" s="344"/>
      <c r="M29" s="345">
        <f ca="1">INDIRECT("'数据-取费表'!k"&amp;$G$1)</f>
        <v>8275.91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97</v>
      </c>
      <c r="D30" s="1200" t="s">
        <v>1149</v>
      </c>
      <c r="E30" s="1201"/>
      <c r="F30" s="1185"/>
      <c r="G30" s="1519"/>
      <c r="H30" s="2871"/>
      <c r="I30" s="1533"/>
      <c r="J30" s="1534"/>
      <c r="K30" s="2648"/>
      <c r="L30" s="2872"/>
      <c r="M30" s="2873"/>
    </row>
    <row r="31" spans="1:37" ht="18" customHeight="1">
      <c r="A31" s="1094" t="s">
        <v>822</v>
      </c>
      <c r="B31" s="308" t="s">
        <v>1153</v>
      </c>
      <c r="C31" s="3268">
        <f ca="1">ROUND(IF(AND(项目基本情况!B11="自然人",项目基本情况!B10="北京市"),C6*F31/(1+'数据-取费表'!C42),C32+C33+C34),0)</f>
        <v>44</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3269">
        <f ca="1">IF(项目基本情况!B11="自然人","——",ROUND(C6*F32/(1+'数据-取费表'!C42),2))</f>
        <v>9.43</v>
      </c>
      <c r="D32" s="1479" t="s">
        <v>1158</v>
      </c>
      <c r="E32" s="308" t="s">
        <v>1146</v>
      </c>
      <c r="F32" s="337">
        <f>'数据-取费表'!B41</f>
        <v>5.5000000000000007E-2</v>
      </c>
      <c r="G32" s="1519"/>
      <c r="H32" s="2871"/>
      <c r="I32" s="1533"/>
      <c r="J32" s="1534"/>
      <c r="K32" s="2648"/>
      <c r="L32" s="2872"/>
      <c r="M32" s="2873"/>
    </row>
    <row r="33" spans="1:18" ht="18" customHeight="1">
      <c r="A33" s="1094" t="s">
        <v>823</v>
      </c>
      <c r="B33" s="308" t="s">
        <v>1161</v>
      </c>
      <c r="C33" s="3269">
        <f ca="1">IF(项目基本情况!B11="自然人","——",IF(D33="按租金收入计税",ROUND(C6*F33/(1+'数据-取费表'!C42),2),IF(D33="按房产原值计税",ROUND(C29*F33*0.7,2),INDIRECT("'数据-取费表'!Aj"&amp;$G$1))))</f>
        <v>20.57</v>
      </c>
      <c r="D33" s="1505" t="s">
        <v>3577</v>
      </c>
      <c r="E33" s="308" t="s">
        <v>1146</v>
      </c>
      <c r="F33" s="328">
        <f>IF(D33="按票据","——",IF(D33="按租金收入计税",'数据-取费表'!B51,'数据-取费表'!B50))</f>
        <v>0.12</v>
      </c>
      <c r="G33" s="1519"/>
      <c r="H33" s="2874"/>
      <c r="I33" s="1533"/>
      <c r="J33" s="1534"/>
      <c r="K33" s="2875"/>
      <c r="L33" s="2874"/>
      <c r="M33" s="2874"/>
    </row>
    <row r="34" spans="1:18" ht="18" customHeight="1">
      <c r="A34" s="1182" t="s">
        <v>1113</v>
      </c>
      <c r="B34" s="160" t="s">
        <v>1165</v>
      </c>
      <c r="C34" s="3270">
        <f ca="1">IF(项目基本情况!B11="自然人","——",ROUND(F34*F35/10000,2))</f>
        <v>14.11</v>
      </c>
      <c r="D34" s="330" t="s">
        <v>1166</v>
      </c>
      <c r="E34" s="308" t="s">
        <v>1167</v>
      </c>
      <c r="F34" s="331">
        <f>'数据-取费表'!B52</f>
        <v>3</v>
      </c>
      <c r="G34" s="1519"/>
      <c r="H34" s="2871"/>
      <c r="I34" s="1533"/>
      <c r="J34" s="1534"/>
      <c r="K34" s="2876"/>
      <c r="L34" s="2877"/>
      <c r="M34" s="2877"/>
    </row>
    <row r="35" spans="1:18" ht="18" customHeight="1">
      <c r="A35" s="1216"/>
      <c r="B35" s="1214"/>
      <c r="C35" s="3271"/>
      <c r="D35" s="333"/>
      <c r="E35" s="308" t="s">
        <v>1171</v>
      </c>
      <c r="F35" s="309">
        <f ca="1">INDIRECT("'数据-取费表'!r"&amp;$G$1)</f>
        <v>47032</v>
      </c>
      <c r="G35" s="1519"/>
      <c r="H35" s="2871"/>
      <c r="I35" s="1533"/>
      <c r="J35" s="1534"/>
      <c r="K35" s="2875"/>
      <c r="L35" s="2874"/>
      <c r="M35" s="2874"/>
    </row>
    <row r="36" spans="1:18" ht="18" customHeight="1">
      <c r="A36" s="1215" t="s">
        <v>826</v>
      </c>
      <c r="B36" s="308" t="s">
        <v>1173</v>
      </c>
      <c r="C36" s="3269">
        <f ca="1">ROUND(C29*F36,2)</f>
        <v>47.69</v>
      </c>
      <c r="D36" s="1479" t="s">
        <v>1206</v>
      </c>
      <c r="E36" s="308" t="s">
        <v>1146</v>
      </c>
      <c r="F36" s="334">
        <f ca="1">INDIRECT("'数据-取费表'!Ak"&amp;$G$1)</f>
        <v>0.01</v>
      </c>
      <c r="G36" s="1519"/>
      <c r="H36" s="2874"/>
      <c r="I36" s="1533"/>
      <c r="J36" s="1534"/>
      <c r="K36" s="2716"/>
      <c r="L36" s="2874"/>
      <c r="M36" s="2874"/>
    </row>
    <row r="37" spans="1:18" ht="18" customHeight="1">
      <c r="A37" s="1094" t="s">
        <v>862</v>
      </c>
      <c r="B37" s="308" t="s">
        <v>1177</v>
      </c>
      <c r="C37" s="3269">
        <f ca="1">ROUND(C13*F37,2)</f>
        <v>3.34</v>
      </c>
      <c r="D37" s="1479" t="s">
        <v>1178</v>
      </c>
      <c r="E37" s="308" t="s">
        <v>1179</v>
      </c>
      <c r="F37" s="336">
        <f ca="1">INDIRECT("'数据-取费表'!Al"&amp;$G$1)</f>
        <v>1E-3</v>
      </c>
      <c r="G37" s="1519"/>
      <c r="H37" s="2874"/>
      <c r="I37" s="1533"/>
      <c r="J37" s="1534"/>
      <c r="K37" s="2716"/>
      <c r="L37" s="2874"/>
      <c r="M37" s="2874"/>
    </row>
    <row r="38" spans="1:18" ht="18" customHeight="1" thickBot="1">
      <c r="A38" s="1202" t="s">
        <v>1117</v>
      </c>
      <c r="B38" s="1203" t="s">
        <v>1163</v>
      </c>
      <c r="C38" s="3272">
        <f ca="1">ROUND(C5*F38,2)</f>
        <v>1.8</v>
      </c>
      <c r="D38" s="1205" t="s">
        <v>1183</v>
      </c>
      <c r="E38" s="1203" t="s">
        <v>1179</v>
      </c>
      <c r="F38" s="1199">
        <f ca="1">INDIRECT("'数据-取费表'!Am"&amp;$G$1)</f>
        <v>0.01</v>
      </c>
      <c r="G38" s="1519"/>
      <c r="H38" s="2874"/>
      <c r="I38" s="1533"/>
      <c r="J38" s="1534"/>
      <c r="K38" s="2878"/>
      <c r="L38" s="2874"/>
      <c r="M38" s="2874"/>
    </row>
    <row r="39" spans="1:18" ht="24.6" customHeight="1" thickTop="1">
      <c r="A39" s="1192" t="s">
        <v>818</v>
      </c>
      <c r="B39" s="1207" t="s">
        <v>1207</v>
      </c>
      <c r="C39" s="316">
        <f ca="1">C5-C30</f>
        <v>83</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1035</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21.64</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f ca="1">ROUND(C40*10000/F43,0)</f>
        <v>1251</v>
      </c>
      <c r="D43" s="343" t="s">
        <v>1212</v>
      </c>
      <c r="E43" s="344" t="s">
        <v>1213</v>
      </c>
      <c r="F43" s="345">
        <f ca="1">INDIRECT("'数据-取费表'!k"&amp;$G$1)</f>
        <v>8275.91</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5" thickBot="1">
      <c r="A46" s="1539" t="s">
        <v>1244</v>
      </c>
      <c r="C46" s="1540">
        <f ca="1">C68-C40</f>
        <v>-6848</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3561</v>
      </c>
      <c r="K47" s="1551" t="s">
        <v>1251</v>
      </c>
      <c r="L47" s="1552">
        <f ca="1">INDIRECT("'数据-取费表'!d"&amp;$G$1)</f>
        <v>40</v>
      </c>
      <c r="M47" s="1515" t="str">
        <f>IF(ISNUMBER(FIND("住宅",C1)),"住宅","非住宅")</f>
        <v>非住宅</v>
      </c>
      <c r="O47" s="1553" t="s">
        <v>827</v>
      </c>
      <c r="P47" s="1554" t="s">
        <v>1252</v>
      </c>
      <c r="Q47" s="1555">
        <f ca="1">C40+J29</f>
        <v>1035</v>
      </c>
      <c r="R47" s="1555" t="s">
        <v>1253</v>
      </c>
    </row>
    <row r="48" spans="1:18" s="1519" customFormat="1" ht="28.5" thickBot="1">
      <c r="A48" s="1223" t="s">
        <v>863</v>
      </c>
      <c r="B48" s="306" t="s">
        <v>1125</v>
      </c>
      <c r="C48" s="1494">
        <f ca="1">C49+C53+C55</f>
        <v>0</v>
      </c>
      <c r="D48" s="1225"/>
      <c r="E48" s="1226"/>
      <c r="F48" s="1074"/>
      <c r="G48" s="731"/>
      <c r="H48" s="732"/>
      <c r="I48" s="1556" t="s">
        <v>1254</v>
      </c>
      <c r="J48" s="1557" t="s">
        <v>3562</v>
      </c>
      <c r="K48" s="1558" t="s">
        <v>1255</v>
      </c>
      <c r="L48" s="1559">
        <f ca="1">INDIRECT("'数据-取费表'!f"&amp;$G$1)</f>
        <v>21.64</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4769</v>
      </c>
      <c r="R49" s="1555" t="s">
        <v>1253</v>
      </c>
    </row>
    <row r="50" spans="1:18" s="1519" customFormat="1" ht="13.5" thickBot="1">
      <c r="A50" s="1088"/>
      <c r="B50" s="1091"/>
      <c r="C50" s="1231"/>
      <c r="D50" s="1065"/>
      <c r="E50" s="1168" t="s">
        <v>1130</v>
      </c>
      <c r="F50" s="1169">
        <f ca="1">F7</f>
        <v>8275.91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-3545</v>
      </c>
      <c r="M51" s="1571"/>
      <c r="O51" s="1563" t="s">
        <v>831</v>
      </c>
      <c r="P51" s="1554" t="s">
        <v>1266</v>
      </c>
      <c r="Q51" s="1566">
        <f ca="1">J52</f>
        <v>7.4999999999999997E-2</v>
      </c>
      <c r="R51" s="1555"/>
    </row>
    <row r="52" spans="1:18" s="1519" customFormat="1" ht="13.5" thickBot="1">
      <c r="A52" s="1089"/>
      <c r="B52" s="1091"/>
      <c r="C52" s="1092"/>
      <c r="D52" s="1065"/>
      <c r="E52" s="1093" t="s">
        <v>1132</v>
      </c>
      <c r="F52" s="1166"/>
      <c r="I52" s="1572" t="s">
        <v>1267</v>
      </c>
      <c r="J52" s="1573">
        <f ca="1">F40+2%</f>
        <v>7.4999999999999997E-2</v>
      </c>
      <c r="K52" s="1572" t="s">
        <v>1268</v>
      </c>
      <c r="L52" s="1573"/>
      <c r="O52" s="1563" t="s">
        <v>832</v>
      </c>
      <c r="P52" s="1554" t="s">
        <v>1269</v>
      </c>
      <c r="Q52" s="1555">
        <f ca="1">J53</f>
        <v>21.64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21.64</v>
      </c>
      <c r="K53" s="3519" t="s">
        <v>1272</v>
      </c>
      <c r="L53" s="3520"/>
      <c r="O53" s="1553" t="s">
        <v>833</v>
      </c>
      <c r="P53" s="1554" t="s">
        <v>1273</v>
      </c>
      <c r="Q53" s="1555">
        <f ca="1">Q47+Q48</f>
        <v>1035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3338</v>
      </c>
      <c r="D56" s="1582"/>
      <c r="E56" s="1583"/>
      <c r="F56" s="1575"/>
      <c r="I56" s="1584" t="s">
        <v>1278</v>
      </c>
      <c r="J56" s="1585" t="s">
        <v>3278</v>
      </c>
      <c r="K56" s="1556" t="s">
        <v>1279</v>
      </c>
      <c r="L56" s="1559" t="str">
        <f ca="1">IF(L48&lt;J51,"——",L48-J53)</f>
        <v>——</v>
      </c>
      <c r="O56" s="1553" t="s">
        <v>827</v>
      </c>
      <c r="P56" s="1554" t="s">
        <v>1252</v>
      </c>
      <c r="Q56" s="1555">
        <f ca="1">C40+J29</f>
        <v>1035</v>
      </c>
      <c r="R56" s="1555" t="s">
        <v>1253</v>
      </c>
    </row>
    <row r="57" spans="1:18" s="1519" customFormat="1" ht="24.75" thickBot="1">
      <c r="A57" s="1586"/>
      <c r="B57" s="1062" t="s">
        <v>1202</v>
      </c>
      <c r="C57" s="244">
        <f ca="1">C29</f>
        <v>4769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466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415</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400.6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14.11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1035</v>
      </c>
      <c r="R62" s="1555" t="s">
        <v>834</v>
      </c>
    </row>
    <row r="63" spans="1:18" s="1519" customFormat="1" ht="13.5" thickBot="1">
      <c r="A63" s="332"/>
      <c r="B63" s="1068"/>
      <c r="C63" s="29"/>
      <c r="D63" s="1078"/>
      <c r="E63" s="1062" t="s">
        <v>1223</v>
      </c>
      <c r="F63" s="309">
        <f t="shared" ca="1" si="0"/>
        <v>47032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47.7</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3.3</v>
      </c>
      <c r="D65" s="1076" t="s">
        <v>1178</v>
      </c>
      <c r="E65" s="1062" t="s">
        <v>1179</v>
      </c>
      <c r="F65" s="336">
        <f t="shared" ca="1" si="0"/>
        <v>1E-3</v>
      </c>
      <c r="I65" s="1597" t="s">
        <v>1303</v>
      </c>
      <c r="J65" s="1598">
        <v>40</v>
      </c>
      <c r="K65" s="1598">
        <v>30</v>
      </c>
      <c r="L65" s="1598">
        <v>50</v>
      </c>
      <c r="M65" s="1600">
        <v>0.02</v>
      </c>
      <c r="O65" s="1553" t="s">
        <v>827</v>
      </c>
      <c r="P65" s="1554" t="s">
        <v>1304</v>
      </c>
      <c r="Q65" s="1555">
        <f ca="1">C40+J29</f>
        <v>1035</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-466</v>
      </c>
      <c r="D67" s="1075" t="s">
        <v>1188</v>
      </c>
      <c r="E67" s="1080"/>
      <c r="F67" s="1081"/>
      <c r="O67" s="1563" t="s">
        <v>829</v>
      </c>
      <c r="P67" s="1554" t="s">
        <v>1286</v>
      </c>
      <c r="Q67" s="1601">
        <f ca="1">L51</f>
        <v>-3545</v>
      </c>
      <c r="R67" s="1555" t="s">
        <v>1306</v>
      </c>
    </row>
    <row r="68" spans="1:18" s="1519" customFormat="1" ht="16.5" thickBot="1">
      <c r="A68" s="1059" t="s">
        <v>819</v>
      </c>
      <c r="B68" s="1060" t="s">
        <v>1209</v>
      </c>
      <c r="C68" s="307">
        <f ca="1">ROUND(C67*(1-((1+F70)/(1+F68))^F69)/(F68-F70),0)</f>
        <v>-5813</v>
      </c>
      <c r="D68" s="1077" t="s">
        <v>1193</v>
      </c>
      <c r="E68" s="1062" t="s">
        <v>1194</v>
      </c>
      <c r="F68" s="318">
        <f ca="1">F40</f>
        <v>5.5E-2</v>
      </c>
      <c r="O68" s="1563" t="s">
        <v>830</v>
      </c>
      <c r="P68" s="1602" t="s">
        <v>1307</v>
      </c>
      <c r="Q68" s="1555">
        <f ca="1">ROUND(Q69-Q70*Q71,0)</f>
        <v>-201</v>
      </c>
      <c r="R68" s="1555" t="s">
        <v>838</v>
      </c>
    </row>
    <row r="69" spans="1:18" s="1519" customFormat="1" ht="13.5" thickBot="1">
      <c r="A69" s="1063"/>
      <c r="B69" s="1064"/>
      <c r="C69" s="312"/>
      <c r="D69" s="1082" t="s">
        <v>1197</v>
      </c>
      <c r="E69" s="1062" t="s">
        <v>1198</v>
      </c>
      <c r="F69" s="339">
        <f ca="1">F41</f>
        <v>21.64</v>
      </c>
      <c r="O69" s="1563" t="s">
        <v>835</v>
      </c>
      <c r="P69" s="1602" t="s">
        <v>1308</v>
      </c>
      <c r="Q69" s="1555">
        <f ca="1">C39</f>
        <v>83</v>
      </c>
      <c r="R69" s="1555" t="s">
        <v>1253</v>
      </c>
    </row>
    <row r="70" spans="1:18" s="1519" customFormat="1" ht="13.5" thickBot="1">
      <c r="A70" s="1066"/>
      <c r="B70" s="1067"/>
      <c r="C70" s="316"/>
      <c r="D70" s="1078"/>
      <c r="E70" s="1062" t="s">
        <v>1201</v>
      </c>
      <c r="F70" s="1166"/>
      <c r="O70" s="1563" t="s">
        <v>836</v>
      </c>
      <c r="P70" s="1602" t="s">
        <v>1309</v>
      </c>
      <c r="Q70" s="1555">
        <f ca="1">C13</f>
        <v>3338</v>
      </c>
      <c r="R70" s="1555" t="s">
        <v>1253</v>
      </c>
    </row>
    <row r="71" spans="1:18" s="1519" customFormat="1" ht="13.5" thickBot="1">
      <c r="A71" s="1083" t="s">
        <v>820</v>
      </c>
      <c r="B71" s="1084" t="s">
        <v>1211</v>
      </c>
      <c r="C71" s="342">
        <f ca="1">ROUND(C68*10000/F71,0)</f>
        <v>-7024</v>
      </c>
      <c r="D71" s="1085" t="s">
        <v>1212</v>
      </c>
      <c r="E71" s="1086" t="s">
        <v>1213</v>
      </c>
      <c r="F71" s="345">
        <f ca="1">F43</f>
        <v>8275.91</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284</v>
      </c>
      <c r="D75" s="1519"/>
      <c r="E75" s="1519"/>
      <c r="F75" s="1519"/>
      <c r="K75" s="1537"/>
      <c r="L75" s="1519"/>
      <c r="O75" s="1553" t="s">
        <v>833</v>
      </c>
      <c r="P75" s="1554" t="s">
        <v>1273</v>
      </c>
      <c r="Q75" s="1555">
        <f ca="1">Q65+Q66</f>
        <v>1035</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-2.4220000000000002</v>
      </c>
    </row>
    <row r="80" spans="1:18">
      <c r="B80" s="346" t="s">
        <v>1235</v>
      </c>
      <c r="C80" s="280">
        <f ca="1">ROUND(C75/C39,3)</f>
        <v>3.4220000000000002</v>
      </c>
    </row>
    <row r="81" spans="2:3">
      <c r="B81" s="276" t="s">
        <v>1236</v>
      </c>
      <c r="C81" s="244"/>
    </row>
    <row r="82" spans="2:3">
      <c r="B82" s="279" t="s">
        <v>1237</v>
      </c>
      <c r="C82" s="281">
        <f ca="1">1-C83</f>
        <v>-2.2250000000000001</v>
      </c>
    </row>
    <row r="83" spans="2:3">
      <c r="B83" s="279" t="s">
        <v>1238</v>
      </c>
      <c r="C83" s="280">
        <f ca="1">ROUND(C13/C40,3)</f>
        <v>3.2250000000000001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21" t="s">
        <v>1127</v>
      </c>
      <c r="C6" s="1187">
        <f ca="1">ROUND(F6*F8*F7*(1-F9),0)</f>
        <v>0</v>
      </c>
      <c r="D6" s="160" t="s">
        <v>2606</v>
      </c>
      <c r="E6" s="308" t="s">
        <v>1129</v>
      </c>
      <c r="F6" s="309">
        <f ca="1">INDIRECT("'数据-取费表'!u"&amp;$G$1)</f>
        <v>0</v>
      </c>
      <c r="G6" s="1519"/>
      <c r="H6" s="1182" t="s">
        <v>822</v>
      </c>
      <c r="I6" s="3521" t="s">
        <v>1127</v>
      </c>
      <c r="J6" s="307">
        <f ca="1">ROUND(M6*M8*M7*(1-M9),0)</f>
        <v>0</v>
      </c>
      <c r="K6" s="1511" t="s">
        <v>2607</v>
      </c>
      <c r="L6" s="308" t="s">
        <v>1129</v>
      </c>
      <c r="M6" s="309">
        <f ca="1">INDIRECT("'数据-取费表'!z"&amp;$G$1)</f>
        <v>0</v>
      </c>
    </row>
    <row r="7" spans="1:37" ht="18" customHeight="1">
      <c r="A7" s="1186"/>
      <c r="B7" s="3522"/>
      <c r="C7" s="1188"/>
      <c r="D7" s="313"/>
      <c r="E7" s="1189" t="s">
        <v>1130</v>
      </c>
      <c r="F7" s="309">
        <f ca="1">IF(INDIRECT("'数据-取费表'!ah"&amp;$G$1)="",INDIRECT("'数据-取费表'!k"&amp;$G$1),INDIRECT("'数据-取费表'!ah"&amp;$G$1))</f>
        <v>0</v>
      </c>
      <c r="G7" s="1519"/>
      <c r="H7" s="310"/>
      <c r="I7" s="3522"/>
      <c r="J7" s="312"/>
      <c r="K7" s="313"/>
      <c r="L7" s="308" t="s">
        <v>1130</v>
      </c>
      <c r="M7" s="309">
        <f ca="1">F7</f>
        <v>0</v>
      </c>
    </row>
    <row r="8" spans="1:37" ht="18" customHeight="1">
      <c r="A8" s="310"/>
      <c r="B8" s="3522"/>
      <c r="C8" s="312"/>
      <c r="D8" s="313"/>
      <c r="E8" s="308" t="s">
        <v>1131</v>
      </c>
      <c r="F8" s="309">
        <f ca="1">INDIRECT("'数据-取费表'!ai"&amp;$G$1)</f>
        <v>0</v>
      </c>
      <c r="G8" s="1519"/>
      <c r="H8" s="310"/>
      <c r="I8" s="3522"/>
      <c r="J8" s="312"/>
      <c r="K8" s="313"/>
      <c r="L8" s="308" t="s">
        <v>1131</v>
      </c>
      <c r="M8" s="309">
        <f ca="1">INDIRECT("'数据-取费表'!ai"&amp;$G$1)</f>
        <v>0</v>
      </c>
    </row>
    <row r="9" spans="1:37" ht="18" customHeight="1">
      <c r="A9" s="310"/>
      <c r="B9" s="3523"/>
      <c r="C9" s="312"/>
      <c r="D9" s="313"/>
      <c r="E9" s="308" t="s">
        <v>1132</v>
      </c>
      <c r="F9" s="318">
        <f ca="1">INDIRECT("'数据-取费表'!w"&amp;$G$1)</f>
        <v>0</v>
      </c>
      <c r="G9" s="1519"/>
      <c r="H9" s="310"/>
      <c r="I9" s="352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19" t="s">
        <v>1272</v>
      </c>
      <c r="L53" s="352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0" sqref="Q20"/>
    </sheetView>
  </sheetViews>
  <sheetFormatPr defaultRowHeight="13.15" customHeight="1"/>
  <cols>
    <col min="1" max="1" width="9.5" style="3018" customWidth="1"/>
    <col min="2" max="2" width="8.875" style="3018"/>
    <col min="3" max="5" width="12.875" style="3018" customWidth="1"/>
    <col min="6" max="6" width="47.5" style="3018" customWidth="1"/>
    <col min="7" max="7" width="13" style="3174" customWidth="1"/>
    <col min="8" max="8" width="8.875" style="3012"/>
    <col min="9" max="9" width="8.875" style="3013"/>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15" customHeight="1">
      <c r="A2" s="1520" t="s">
        <v>2816</v>
      </c>
      <c r="B2" s="3019">
        <f ca="1">C40</f>
        <v>145343</v>
      </c>
      <c r="C2" s="3020" t="s">
        <v>2817</v>
      </c>
      <c r="D2" s="3020"/>
      <c r="E2" s="3021"/>
      <c r="F2" s="3022"/>
      <c r="G2" s="3023"/>
      <c r="H2" s="3024"/>
      <c r="I2" s="3025"/>
      <c r="J2" s="3530" t="s">
        <v>2818</v>
      </c>
      <c r="K2" s="3531"/>
      <c r="L2" s="3026" t="s">
        <v>2819</v>
      </c>
      <c r="M2" s="3026" t="s">
        <v>2820</v>
      </c>
      <c r="N2" s="3026" t="s">
        <v>2821</v>
      </c>
      <c r="O2" s="3026" t="s">
        <v>2822</v>
      </c>
      <c r="P2" s="3026" t="s">
        <v>2823</v>
      </c>
      <c r="Q2" s="3027" t="s">
        <v>2824</v>
      </c>
      <c r="R2" s="3028" t="s">
        <v>2825</v>
      </c>
      <c r="S2" s="3017"/>
      <c r="T2" s="3017"/>
      <c r="U2" s="3017"/>
      <c r="V2" s="3025"/>
    </row>
    <row r="3" spans="1:22" s="3029" customFormat="1" ht="13.15" customHeight="1">
      <c r="A3" s="3030" t="s">
        <v>2826</v>
      </c>
      <c r="B3" s="3031">
        <f ca="1">ROUND(B2*10000/B4,0)</f>
        <v>198233</v>
      </c>
      <c r="C3" s="3020" t="s">
        <v>2827</v>
      </c>
      <c r="D3" s="3020"/>
      <c r="E3" s="3021"/>
      <c r="F3" s="3022"/>
      <c r="G3" s="3023"/>
      <c r="H3" s="3024"/>
      <c r="I3" s="3025"/>
      <c r="J3" s="3532" t="s">
        <v>2828</v>
      </c>
      <c r="K3" s="3533"/>
      <c r="L3" s="3032"/>
      <c r="M3" s="3032"/>
      <c r="N3" s="3032"/>
      <c r="O3" s="3032"/>
      <c r="P3" s="3032"/>
      <c r="Q3" s="3033"/>
      <c r="R3" s="3034">
        <f>SUM(L3:Q3)</f>
        <v>0</v>
      </c>
      <c r="S3" s="3017"/>
      <c r="T3" s="3017"/>
      <c r="U3" s="3017"/>
      <c r="V3" s="3025"/>
    </row>
    <row r="4" spans="1:22" s="3029" customFormat="1" ht="13.15" customHeight="1">
      <c r="A4" s="3035" t="s">
        <v>2829</v>
      </c>
      <c r="B4" s="3036">
        <f>'数据-基础表'!I13</f>
        <v>7331.91</v>
      </c>
      <c r="C4" s="3020"/>
      <c r="D4" s="3020"/>
      <c r="E4" s="3021"/>
      <c r="F4" s="3022"/>
      <c r="G4" s="3023"/>
      <c r="H4" s="3024"/>
      <c r="I4" s="3025"/>
      <c r="J4" s="3532" t="s">
        <v>2830</v>
      </c>
      <c r="K4" s="3533"/>
      <c r="L4" s="3037"/>
      <c r="M4" s="3037"/>
      <c r="N4" s="3037"/>
      <c r="O4" s="3037"/>
      <c r="P4" s="3037"/>
      <c r="Q4" s="3038"/>
      <c r="R4" s="3039">
        <f>SUM(L4:Q4)</f>
        <v>0</v>
      </c>
      <c r="S4" s="3017"/>
      <c r="T4" s="3017"/>
      <c r="U4" s="3017"/>
      <c r="V4" s="3025"/>
    </row>
    <row r="5" spans="1:22" s="3029" customFormat="1" ht="13.15" customHeight="1" thickBot="1">
      <c r="A5" s="3040" t="s">
        <v>2831</v>
      </c>
      <c r="B5" s="3041">
        <f>'数据-基础表'!A13</f>
        <v>47032</v>
      </c>
      <c r="C5" s="3020"/>
      <c r="D5" s="3042"/>
      <c r="E5" s="3022"/>
      <c r="F5" s="3022"/>
      <c r="G5" s="3023"/>
      <c r="H5" s="3024"/>
      <c r="I5" s="3025"/>
      <c r="J5" s="3043" t="s">
        <v>2832</v>
      </c>
      <c r="K5" s="3044"/>
      <c r="L5" s="3044"/>
      <c r="M5" s="3045"/>
      <c r="N5" s="3045"/>
      <c r="O5" s="3045"/>
      <c r="P5" s="3045"/>
      <c r="Q5" s="3045"/>
      <c r="R5" s="3028">
        <f>SUM(R14,R19,R24,R25,R27,R28)</f>
        <v>19942</v>
      </c>
      <c r="S5" s="3017"/>
      <c r="T5" s="3017" t="s">
        <v>2833</v>
      </c>
      <c r="U5" s="3017" t="e">
        <f>ROUND(R5*10000/365/R3,1)</f>
        <v>#DIV/0!</v>
      </c>
      <c r="V5" s="3025"/>
    </row>
    <row r="6" spans="1:22" s="3029" customFormat="1" ht="13.15" customHeight="1" thickBot="1">
      <c r="A6" s="3538" t="s">
        <v>2834</v>
      </c>
      <c r="B6" s="3539"/>
      <c r="C6" s="3540"/>
      <c r="D6" s="3046">
        <f>R5</f>
        <v>19942</v>
      </c>
      <c r="E6" s="3047"/>
      <c r="F6" s="3048"/>
      <c r="G6" s="3049"/>
      <c r="H6" s="3024"/>
      <c r="I6" s="3025"/>
      <c r="J6" s="3524">
        <v>1</v>
      </c>
      <c r="K6" s="3525"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15" customHeight="1">
      <c r="A7" s="3052" t="s">
        <v>2844</v>
      </c>
      <c r="B7" s="3053"/>
      <c r="C7" s="3054"/>
      <c r="D7" s="3055">
        <f ca="1">SUM(D9,D10,D11,D17,0)</f>
        <v>9127</v>
      </c>
      <c r="E7" s="3056">
        <f ca="1">E9+E10+E11+E17</f>
        <v>0.45771738040316917</v>
      </c>
      <c r="F7" s="3057"/>
      <c r="G7" s="3058"/>
      <c r="H7" s="3024"/>
      <c r="I7" s="3025"/>
      <c r="J7" s="3524"/>
      <c r="K7" s="3526"/>
      <c r="L7" s="3059" t="s">
        <v>2845</v>
      </c>
      <c r="M7" s="3060"/>
      <c r="N7" s="3036"/>
      <c r="O7" s="3061"/>
      <c r="P7" s="3061"/>
      <c r="Q7" s="3062">
        <v>365</v>
      </c>
      <c r="R7" s="3063">
        <f>ROUND(M7*N7*O7*P7*Q7/10000,0)</f>
        <v>0</v>
      </c>
      <c r="S7" s="3017"/>
      <c r="T7" s="3017" t="s">
        <v>2846</v>
      </c>
      <c r="U7" s="3017"/>
      <c r="V7" s="3025"/>
    </row>
    <row r="8" spans="1:22" s="3029" customFormat="1" ht="13.15" customHeight="1">
      <c r="A8" s="3064" t="s">
        <v>2847</v>
      </c>
      <c r="B8" s="3541" t="s">
        <v>2848</v>
      </c>
      <c r="C8" s="3542"/>
      <c r="D8" s="3065" t="s">
        <v>2849</v>
      </c>
      <c r="E8" s="3066" t="s">
        <v>2850</v>
      </c>
      <c r="F8" s="3067" t="s">
        <v>2851</v>
      </c>
      <c r="G8" s="3068"/>
      <c r="H8" s="3024"/>
      <c r="I8" s="3025"/>
      <c r="J8" s="3524"/>
      <c r="K8" s="3526"/>
      <c r="L8" s="3059" t="s">
        <v>2852</v>
      </c>
      <c r="M8" s="3060"/>
      <c r="N8" s="3036"/>
      <c r="O8" s="3061"/>
      <c r="P8" s="3061"/>
      <c r="Q8" s="3062">
        <v>365</v>
      </c>
      <c r="R8" s="3063">
        <f t="shared" ref="R8:R13" si="0">ROUND(M8*N8*O8*P8*Q8/10000,0)</f>
        <v>0</v>
      </c>
      <c r="S8" s="3017"/>
      <c r="T8" s="3017" t="s">
        <v>2853</v>
      </c>
      <c r="U8" s="3017"/>
      <c r="V8" s="3025"/>
    </row>
    <row r="9" spans="1:22" s="3029" customFormat="1" ht="13.15" customHeight="1">
      <c r="A9" s="3064">
        <v>1</v>
      </c>
      <c r="B9" s="3541" t="s">
        <v>2854</v>
      </c>
      <c r="C9" s="3542"/>
      <c r="D9" s="3065">
        <f>ROUND(D6*E9,0)</f>
        <v>3988</v>
      </c>
      <c r="E9" s="3069">
        <v>0.2</v>
      </c>
      <c r="F9" s="3070" t="s">
        <v>2855</v>
      </c>
      <c r="G9" s="3049"/>
      <c r="H9" s="3024"/>
      <c r="I9" s="3025"/>
      <c r="J9" s="3524"/>
      <c r="K9" s="3526"/>
      <c r="L9" s="3258" t="s">
        <v>3555</v>
      </c>
      <c r="M9" s="3060">
        <v>8</v>
      </c>
      <c r="N9" s="3036">
        <f>N12</f>
        <v>1880</v>
      </c>
      <c r="O9" s="3061">
        <v>0.7</v>
      </c>
      <c r="P9" s="3061">
        <v>0.5</v>
      </c>
      <c r="Q9" s="3062">
        <v>365</v>
      </c>
      <c r="R9" s="3063">
        <f t="shared" si="0"/>
        <v>192</v>
      </c>
      <c r="S9" s="3017"/>
      <c r="T9" s="3017"/>
      <c r="U9" s="3017"/>
      <c r="V9" s="3025"/>
    </row>
    <row r="10" spans="1:22" s="3029" customFormat="1" ht="13.15" customHeight="1">
      <c r="A10" s="3064">
        <v>2</v>
      </c>
      <c r="B10" s="3541" t="s">
        <v>2856</v>
      </c>
      <c r="C10" s="3542"/>
      <c r="D10" s="3065">
        <f>ROUND(D6*E10,0)</f>
        <v>2991</v>
      </c>
      <c r="E10" s="3069">
        <v>0.15</v>
      </c>
      <c r="F10" s="3070" t="s">
        <v>2857</v>
      </c>
      <c r="G10" s="3049"/>
      <c r="H10" s="3024"/>
      <c r="I10" s="3025"/>
      <c r="J10" s="3524"/>
      <c r="K10" s="3526"/>
      <c r="L10" s="3059" t="s">
        <v>2858</v>
      </c>
      <c r="M10" s="3060">
        <v>1284</v>
      </c>
      <c r="N10" s="3036">
        <v>760</v>
      </c>
      <c r="O10" s="3061">
        <f>O9</f>
        <v>0.7</v>
      </c>
      <c r="P10" s="3061">
        <f>P9</f>
        <v>0.5</v>
      </c>
      <c r="Q10" s="3062">
        <v>365</v>
      </c>
      <c r="R10" s="3063">
        <f t="shared" si="0"/>
        <v>12466</v>
      </c>
      <c r="S10" s="3017"/>
      <c r="T10" s="3017"/>
      <c r="U10" s="3017"/>
      <c r="V10" s="3025"/>
    </row>
    <row r="11" spans="1:22" s="3029" customFormat="1" ht="13.15" customHeight="1">
      <c r="A11" s="3064">
        <v>3</v>
      </c>
      <c r="B11" s="3541" t="s">
        <v>2859</v>
      </c>
      <c r="C11" s="3542"/>
      <c r="D11" s="3065">
        <f ca="1">D12+D14+D15+D16</f>
        <v>1151</v>
      </c>
      <c r="E11" s="3071">
        <f ca="1">D11/D6</f>
        <v>5.7717380403169191E-2</v>
      </c>
      <c r="F11" s="3067"/>
      <c r="G11" s="3068"/>
      <c r="H11" s="3024"/>
      <c r="I11" s="3025"/>
      <c r="J11" s="3524"/>
      <c r="K11" s="3526"/>
      <c r="L11" s="3258" t="s">
        <v>3552</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15" customHeight="1">
      <c r="A12" s="3072" t="s">
        <v>2860</v>
      </c>
      <c r="B12" s="3534" t="s">
        <v>2861</v>
      </c>
      <c r="C12" s="3535"/>
      <c r="D12" s="3073">
        <f ca="1">ROUND(D13*1.2%*(1-30%),0)</f>
        <v>40</v>
      </c>
      <c r="E12" s="3074">
        <v>1.2E-2</v>
      </c>
      <c r="F12" s="3067" t="s">
        <v>2862</v>
      </c>
      <c r="G12" s="3068"/>
      <c r="H12" s="3024"/>
      <c r="I12" s="3025"/>
      <c r="J12" s="3524"/>
      <c r="K12" s="3526"/>
      <c r="L12" s="3258" t="s">
        <v>3553</v>
      </c>
      <c r="M12" s="3060">
        <f>44+45</f>
        <v>89</v>
      </c>
      <c r="N12" s="3036">
        <v>1880</v>
      </c>
      <c r="O12" s="3061">
        <f t="shared" si="1"/>
        <v>0.7</v>
      </c>
      <c r="P12" s="3061">
        <f t="shared" si="2"/>
        <v>0.5</v>
      </c>
      <c r="Q12" s="3062">
        <v>365</v>
      </c>
      <c r="R12" s="3063">
        <f t="shared" si="0"/>
        <v>2138</v>
      </c>
      <c r="S12" s="3017"/>
      <c r="T12" s="3017"/>
      <c r="U12" s="3017"/>
      <c r="V12" s="3025"/>
    </row>
    <row r="13" spans="1:22" s="3029" customFormat="1" ht="13.15" customHeight="1">
      <c r="A13" s="3072"/>
      <c r="B13" s="3075"/>
      <c r="C13" s="3076" t="s">
        <v>2863</v>
      </c>
      <c r="D13" s="3077">
        <f ca="1">成本法!C49</f>
        <v>4769</v>
      </c>
      <c r="E13" s="3078"/>
      <c r="F13" s="3067"/>
      <c r="G13" s="3068"/>
      <c r="H13" s="3024"/>
      <c r="I13" s="3025"/>
      <c r="J13" s="3524"/>
      <c r="K13" s="3526"/>
      <c r="L13" s="3258" t="s">
        <v>3554</v>
      </c>
      <c r="M13" s="3060">
        <v>3</v>
      </c>
      <c r="N13" s="3036">
        <v>1280</v>
      </c>
      <c r="O13" s="3061">
        <f t="shared" si="1"/>
        <v>0.7</v>
      </c>
      <c r="P13" s="3061">
        <f t="shared" si="2"/>
        <v>0.5</v>
      </c>
      <c r="Q13" s="3062">
        <v>365</v>
      </c>
      <c r="R13" s="3063">
        <f t="shared" si="0"/>
        <v>49</v>
      </c>
      <c r="S13" s="3017"/>
      <c r="T13" s="3017"/>
      <c r="U13" s="3017"/>
      <c r="V13" s="3025"/>
    </row>
    <row r="14" spans="1:22" s="3029" customFormat="1" ht="13.15" customHeight="1">
      <c r="A14" s="3072" t="s">
        <v>2864</v>
      </c>
      <c r="B14" s="3534" t="s">
        <v>2865</v>
      </c>
      <c r="C14" s="3535"/>
      <c r="D14" s="3073">
        <f>ROUND(E14*B5/10000,0)</f>
        <v>14</v>
      </c>
      <c r="E14" s="3062">
        <f>'数据-取费表'!B58</f>
        <v>3</v>
      </c>
      <c r="F14" s="3067" t="s">
        <v>2866</v>
      </c>
      <c r="G14" s="3068"/>
      <c r="H14" s="3024"/>
      <c r="I14" s="3025"/>
      <c r="J14" s="3524"/>
      <c r="K14" s="3527"/>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15" customHeight="1">
      <c r="A15" s="3072" t="s">
        <v>2868</v>
      </c>
      <c r="B15" s="3534" t="s">
        <v>2869</v>
      </c>
      <c r="C15" s="3535"/>
      <c r="D15" s="3073">
        <f>ROUND(D6*E15,0)</f>
        <v>1097</v>
      </c>
      <c r="E15" s="3074">
        <v>5.5E-2</v>
      </c>
      <c r="F15" s="3067" t="s">
        <v>2870</v>
      </c>
      <c r="G15" s="3049"/>
      <c r="H15" s="3024"/>
      <c r="I15" s="3025"/>
      <c r="J15" s="3524">
        <v>2</v>
      </c>
      <c r="K15" s="3525"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15" customHeight="1">
      <c r="A16" s="3072" t="s">
        <v>2877</v>
      </c>
      <c r="B16" s="3534" t="s">
        <v>2878</v>
      </c>
      <c r="C16" s="3535"/>
      <c r="D16" s="3084">
        <f>D6*E16</f>
        <v>0</v>
      </c>
      <c r="E16" s="3085"/>
      <c r="F16" s="3070" t="s">
        <v>2879</v>
      </c>
      <c r="G16" s="3049"/>
      <c r="H16" s="3024"/>
      <c r="I16" s="3025"/>
      <c r="J16" s="3524"/>
      <c r="K16" s="3526"/>
      <c r="L16" s="3059" t="s">
        <v>2880</v>
      </c>
      <c r="M16" s="3060"/>
      <c r="N16" s="3060"/>
      <c r="O16" s="3061"/>
      <c r="P16" s="3062">
        <v>365</v>
      </c>
      <c r="Q16" s="3036"/>
      <c r="R16" s="3083">
        <f>ROUND(M16*N16*O16*P16/10000,0)</f>
        <v>0</v>
      </c>
      <c r="S16" s="3017"/>
      <c r="T16" s="3017"/>
      <c r="U16" s="3017"/>
      <c r="V16" s="3025"/>
    </row>
    <row r="17" spans="1:22" s="3029" customFormat="1" ht="13.15" customHeight="1" thickBot="1">
      <c r="A17" s="3086">
        <v>4</v>
      </c>
      <c r="B17" s="3536" t="s">
        <v>2881</v>
      </c>
      <c r="C17" s="3537"/>
      <c r="D17" s="3087">
        <f>ROUND(D6*E17,0)</f>
        <v>997</v>
      </c>
      <c r="E17" s="3088">
        <v>0.05</v>
      </c>
      <c r="F17" s="3089" t="s">
        <v>2882</v>
      </c>
      <c r="G17" s="3049"/>
      <c r="H17" s="3024"/>
      <c r="I17" s="3025"/>
      <c r="J17" s="3524"/>
      <c r="K17" s="3526"/>
      <c r="L17" s="3059" t="s">
        <v>2883</v>
      </c>
      <c r="M17" s="3060"/>
      <c r="N17" s="3060"/>
      <c r="O17" s="3061"/>
      <c r="P17" s="3062">
        <v>365</v>
      </c>
      <c r="Q17" s="3036"/>
      <c r="R17" s="3083">
        <f>ROUND(M17*N17*O17*P17/10000,0)</f>
        <v>0</v>
      </c>
      <c r="S17" s="3017"/>
      <c r="T17" s="3017"/>
      <c r="U17" s="3017"/>
      <c r="V17" s="3025"/>
    </row>
    <row r="18" spans="1:22" s="3029" customFormat="1" ht="13.15" customHeight="1" thickBot="1">
      <c r="A18" s="3052" t="s">
        <v>2884</v>
      </c>
      <c r="B18" s="3053"/>
      <c r="C18" s="3053"/>
      <c r="D18" s="3090">
        <f>ROUND(D6*E18,0)</f>
        <v>997</v>
      </c>
      <c r="E18" s="3091">
        <v>0.05</v>
      </c>
      <c r="F18" s="3092" t="s">
        <v>2885</v>
      </c>
      <c r="G18" s="3049"/>
      <c r="H18" s="3024"/>
      <c r="I18" s="3025"/>
      <c r="J18" s="3524"/>
      <c r="K18" s="3526"/>
      <c r="L18" s="3059" t="s">
        <v>2886</v>
      </c>
      <c r="M18" s="3060"/>
      <c r="N18" s="3060"/>
      <c r="O18" s="3061"/>
      <c r="P18" s="3062">
        <v>365</v>
      </c>
      <c r="Q18" s="3036"/>
      <c r="R18" s="3083">
        <f>ROUND(M18*N18*O18*P18/10000,0)</f>
        <v>0</v>
      </c>
      <c r="S18" s="3017"/>
      <c r="T18" s="3017"/>
      <c r="U18" s="3017"/>
      <c r="V18" s="3025"/>
    </row>
    <row r="19" spans="1:22" s="3029" customFormat="1" ht="13.15" customHeight="1" thickBot="1">
      <c r="A19" s="3093" t="s">
        <v>2887</v>
      </c>
      <c r="B19" s="3047"/>
      <c r="C19" s="3047"/>
      <c r="D19" s="3047"/>
      <c r="E19" s="3047"/>
      <c r="F19" s="3048"/>
      <c r="G19" s="3068"/>
      <c r="H19" s="3024"/>
      <c r="I19" s="3025"/>
      <c r="J19" s="3524"/>
      <c r="K19" s="3527"/>
      <c r="L19" s="3079" t="s">
        <v>2867</v>
      </c>
      <c r="M19" s="3080"/>
      <c r="N19" s="3080">
        <f>SUM(N16:N18)</f>
        <v>0</v>
      </c>
      <c r="O19" s="3081"/>
      <c r="P19" s="3094" t="s">
        <v>3556</v>
      </c>
      <c r="Q19" s="3061">
        <v>0.2</v>
      </c>
      <c r="R19" s="3095">
        <f>ROUND(IF(P19="按比例",R14*Q19,SUM(R16:R18)),0)</f>
        <v>3068</v>
      </c>
      <c r="S19" s="3017"/>
      <c r="T19" s="3017"/>
      <c r="U19" s="3017"/>
      <c r="V19" s="3025"/>
    </row>
    <row r="20" spans="1:22" s="3029" customFormat="1" ht="13.15" customHeight="1">
      <c r="A20" s="3052"/>
      <c r="B20" s="3053"/>
      <c r="C20" s="3053"/>
      <c r="D20" s="3053"/>
      <c r="E20" s="3053"/>
      <c r="F20" s="3096"/>
      <c r="G20" s="3068"/>
      <c r="H20" s="3024"/>
      <c r="I20" s="3025"/>
      <c r="J20" s="3524">
        <v>3</v>
      </c>
      <c r="K20" s="3525"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15" customHeight="1">
      <c r="A21" s="3052"/>
      <c r="B21" s="3053"/>
      <c r="C21" s="3099" t="s">
        <v>2896</v>
      </c>
      <c r="D21" s="3100" t="s">
        <v>2897</v>
      </c>
      <c r="E21" s="3101" t="s">
        <v>2898</v>
      </c>
      <c r="F21" s="3096"/>
      <c r="G21" s="3068"/>
      <c r="H21" s="3024"/>
      <c r="I21" s="3025"/>
      <c r="J21" s="3524"/>
      <c r="K21" s="3526"/>
      <c r="L21" s="3059" t="s">
        <v>2899</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2900</v>
      </c>
      <c r="D22" s="3104" t="s">
        <v>2901</v>
      </c>
      <c r="E22" s="3105" t="s">
        <v>2902</v>
      </c>
      <c r="F22" s="3096"/>
      <c r="G22" s="3106"/>
      <c r="H22" s="3024"/>
      <c r="I22" s="3025"/>
      <c r="J22" s="3524"/>
      <c r="K22" s="3526"/>
      <c r="L22" s="3059" t="s">
        <v>2903</v>
      </c>
      <c r="M22" s="3060"/>
      <c r="N22" s="3060"/>
      <c r="O22" s="3061"/>
      <c r="P22" s="3062">
        <v>365</v>
      </c>
      <c r="Q22" s="3036"/>
      <c r="R22" s="3102">
        <f>ROUND(M22*N22*O22*P22/10000,0)</f>
        <v>0</v>
      </c>
      <c r="S22" s="3098"/>
      <c r="T22" s="3098"/>
      <c r="U22" s="3098"/>
      <c r="V22" s="3025"/>
    </row>
    <row r="23" spans="1:22" s="3029" customFormat="1" ht="13.15" customHeight="1">
      <c r="A23" s="3107">
        <v>1</v>
      </c>
      <c r="B23" s="3108" t="s">
        <v>2904</v>
      </c>
      <c r="C23" s="3109">
        <f>D6</f>
        <v>19942</v>
      </c>
      <c r="D23" s="3110">
        <f>C23*(1+D24)</f>
        <v>19942</v>
      </c>
      <c r="E23" s="3111">
        <f>D23*(1+E24)</f>
        <v>19942</v>
      </c>
      <c r="F23" s="3112"/>
      <c r="G23" s="3113"/>
      <c r="H23" s="3024"/>
      <c r="I23" s="3025"/>
      <c r="J23" s="3524"/>
      <c r="K23" s="3526"/>
      <c r="L23" s="3059" t="s">
        <v>2905</v>
      </c>
      <c r="M23" s="3060"/>
      <c r="N23" s="3060"/>
      <c r="O23" s="3061"/>
      <c r="P23" s="3062">
        <v>365</v>
      </c>
      <c r="Q23" s="3036"/>
      <c r="R23" s="3102">
        <f>ROUND(M23*N23*O23*P23/10000,0)</f>
        <v>0</v>
      </c>
      <c r="S23" s="3017"/>
      <c r="T23" s="3017"/>
      <c r="U23" s="3017"/>
      <c r="V23" s="3025"/>
    </row>
    <row r="24" spans="1:22" s="3029" customFormat="1" ht="13.15" customHeight="1">
      <c r="A24" s="3114"/>
      <c r="B24" s="3115" t="s">
        <v>2906</v>
      </c>
      <c r="C24" s="3116"/>
      <c r="D24" s="3117"/>
      <c r="E24" s="3118"/>
      <c r="F24" s="3119"/>
      <c r="G24" s="3113"/>
      <c r="H24" s="3024"/>
      <c r="I24" s="3025"/>
      <c r="J24" s="3524"/>
      <c r="K24" s="3527"/>
      <c r="L24" s="3079" t="s">
        <v>2867</v>
      </c>
      <c r="M24" s="3080">
        <f>SUM(M21:M23)</f>
        <v>0</v>
      </c>
      <c r="N24" s="3080"/>
      <c r="O24" s="3081"/>
      <c r="P24" s="3094" t="s">
        <v>3556</v>
      </c>
      <c r="Q24" s="3061">
        <v>0.1</v>
      </c>
      <c r="R24" s="3095">
        <f>ROUND(IF(P24="按比例",R14*Q24,SUM(R21:R23)),0)</f>
        <v>1534</v>
      </c>
      <c r="S24" s="3017"/>
      <c r="T24" s="3017"/>
      <c r="U24" s="3017"/>
      <c r="V24" s="3025"/>
    </row>
    <row r="25" spans="1:22" s="3126" customFormat="1" ht="13.15"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15" customHeight="1">
      <c r="A26" s="3107">
        <v>2</v>
      </c>
      <c r="B26" s="3108" t="s">
        <v>2908</v>
      </c>
      <c r="C26" s="3109">
        <f ca="1">D7</f>
        <v>9127</v>
      </c>
      <c r="D26" s="3110">
        <f>D23*D27</f>
        <v>0</v>
      </c>
      <c r="E26" s="3111">
        <f>E23*E27</f>
        <v>0</v>
      </c>
      <c r="F26" s="3112"/>
      <c r="G26" s="3113"/>
      <c r="H26" s="3024"/>
      <c r="I26" s="3025"/>
      <c r="J26" s="3528">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15" customHeight="1">
      <c r="A27" s="3114"/>
      <c r="B27" s="3115" t="s">
        <v>2914</v>
      </c>
      <c r="C27" s="3133">
        <f ca="1">E7</f>
        <v>0.45771738040316917</v>
      </c>
      <c r="D27" s="3117"/>
      <c r="E27" s="3118"/>
      <c r="F27" s="3119"/>
      <c r="G27" s="3113"/>
      <c r="H27" s="3134"/>
      <c r="I27" s="3125"/>
      <c r="J27" s="3529"/>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15" customHeight="1">
      <c r="A29" s="3107">
        <v>3</v>
      </c>
      <c r="B29" s="3108" t="s">
        <v>2920</v>
      </c>
      <c r="C29" s="3109">
        <f>C23*C30</f>
        <v>997.1</v>
      </c>
      <c r="D29" s="3110">
        <f>D23*C30</f>
        <v>997.1</v>
      </c>
      <c r="E29" s="3111">
        <f>E23*C30</f>
        <v>997.1</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15" customHeight="1">
      <c r="A32" s="3107">
        <v>4</v>
      </c>
      <c r="B32" s="3108" t="s">
        <v>2922</v>
      </c>
      <c r="C32" s="3109">
        <f ca="1">C23-C26-C29</f>
        <v>9817.9</v>
      </c>
      <c r="D32" s="3110">
        <f>D23-D26-D29</f>
        <v>18944.900000000001</v>
      </c>
      <c r="E32" s="3111">
        <f>E23-E26-E29</f>
        <v>18944.900000000001</v>
      </c>
      <c r="F32" s="3112"/>
      <c r="G32" s="3106"/>
      <c r="H32" s="3024"/>
      <c r="I32" s="3025"/>
      <c r="J32" s="3530" t="s">
        <v>2818</v>
      </c>
      <c r="K32" s="3531"/>
      <c r="L32" s="3026" t="s">
        <v>2819</v>
      </c>
      <c r="M32" s="3026" t="s">
        <v>2820</v>
      </c>
      <c r="N32" s="3026" t="s">
        <v>2821</v>
      </c>
      <c r="O32" s="3026" t="s">
        <v>2822</v>
      </c>
      <c r="P32" s="3026" t="s">
        <v>2823</v>
      </c>
      <c r="Q32" s="3027" t="s">
        <v>2824</v>
      </c>
      <c r="R32" s="3149" t="s">
        <v>2825</v>
      </c>
      <c r="S32" s="3098"/>
      <c r="T32" s="3017"/>
      <c r="U32" s="3017"/>
      <c r="V32" s="3125"/>
    </row>
    <row r="33" spans="1:23" s="3029" customFormat="1" ht="13.15" customHeight="1">
      <c r="A33" s="3107"/>
      <c r="B33" s="3108"/>
      <c r="C33" s="3109"/>
      <c r="D33" s="3150"/>
      <c r="E33" s="3151"/>
      <c r="F33" s="3112"/>
      <c r="G33" s="3106"/>
      <c r="H33" s="3134"/>
      <c r="I33" s="3125"/>
      <c r="J33" s="3532" t="s">
        <v>2828</v>
      </c>
      <c r="K33" s="3533"/>
      <c r="L33" s="3032"/>
      <c r="M33" s="3032"/>
      <c r="N33" s="3032"/>
      <c r="O33" s="3032"/>
      <c r="P33" s="3032"/>
      <c r="Q33" s="3033"/>
      <c r="R33" s="3152">
        <f>SUM(L33:Q33)</f>
        <v>0</v>
      </c>
      <c r="S33" s="3098"/>
      <c r="T33" s="3017"/>
      <c r="U33" s="3017"/>
      <c r="V33" s="3025"/>
    </row>
    <row r="34" spans="1:23" s="3029" customFormat="1" ht="13.15" customHeight="1">
      <c r="A34" s="3107">
        <v>5</v>
      </c>
      <c r="B34" s="3108" t="s">
        <v>2923</v>
      </c>
      <c r="C34" s="3259">
        <f>'数据-取费表'!I6</f>
        <v>5.5E-2</v>
      </c>
      <c r="D34" s="3153"/>
      <c r="E34" s="3154"/>
      <c r="F34" s="3112"/>
      <c r="G34" s="3106"/>
      <c r="H34" s="3134"/>
      <c r="I34" s="3125"/>
      <c r="J34" s="3532" t="s">
        <v>2830</v>
      </c>
      <c r="K34" s="3533"/>
      <c r="L34" s="3037"/>
      <c r="M34" s="3037"/>
      <c r="N34" s="3037"/>
      <c r="O34" s="3037"/>
      <c r="P34" s="3037"/>
      <c r="Q34" s="3038"/>
      <c r="R34" s="3155">
        <f>SUM(L34:Q34)</f>
        <v>0</v>
      </c>
      <c r="S34" s="3098"/>
      <c r="T34" s="3017"/>
      <c r="U34" s="3017" t="e">
        <f>ROUND(R35*10000/365/R33,1)</f>
        <v>#DIV/0!</v>
      </c>
      <c r="V34" s="3025"/>
    </row>
    <row r="35" spans="1:23" s="3029" customFormat="1" ht="13.15" customHeight="1">
      <c r="A35" s="3107">
        <v>6</v>
      </c>
      <c r="B35" s="3108" t="s">
        <v>2924</v>
      </c>
      <c r="C35" s="3260">
        <v>0.02</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15" customHeight="1" thickBot="1">
      <c r="A36" s="3107">
        <v>7</v>
      </c>
      <c r="B36" s="3160" t="s">
        <v>2925</v>
      </c>
      <c r="C36" s="3261">
        <f>'数据-取费表'!F6</f>
        <v>21.64</v>
      </c>
      <c r="D36" s="3161"/>
      <c r="E36" s="3162"/>
      <c r="F36" s="3163">
        <f>C36+D36+E36</f>
        <v>21.64</v>
      </c>
      <c r="G36" s="3106"/>
      <c r="H36" s="3024"/>
      <c r="I36" s="3025"/>
      <c r="J36" s="3524">
        <v>1</v>
      </c>
      <c r="K36" s="3525" t="s">
        <v>2926</v>
      </c>
      <c r="L36" s="3050"/>
      <c r="M36" s="3051"/>
      <c r="N36" s="3051"/>
      <c r="O36" s="3051"/>
      <c r="P36" s="3051"/>
      <c r="Q36" s="3051"/>
      <c r="R36" s="3034" t="s">
        <v>2842</v>
      </c>
      <c r="S36" s="3098"/>
      <c r="T36" s="3017" t="s">
        <v>2843</v>
      </c>
      <c r="U36" s="3017"/>
      <c r="V36" s="3025"/>
    </row>
    <row r="37" spans="1:23" s="3029" customFormat="1" ht="13.15" customHeight="1">
      <c r="A37" s="3107"/>
      <c r="B37" s="3108"/>
      <c r="C37" s="3108"/>
      <c r="D37" s="3108"/>
      <c r="E37" s="3108"/>
      <c r="F37" s="3112"/>
      <c r="G37" s="3106"/>
      <c r="H37" s="3024"/>
      <c r="I37" s="3025"/>
      <c r="J37" s="3524"/>
      <c r="K37" s="3526"/>
      <c r="L37" s="3059"/>
      <c r="M37" s="3060"/>
      <c r="N37" s="3036"/>
      <c r="O37" s="3061"/>
      <c r="P37" s="3061"/>
      <c r="Q37" s="3062"/>
      <c r="R37" s="3063"/>
      <c r="S37" s="3098"/>
      <c r="T37" s="3017" t="s">
        <v>2846</v>
      </c>
      <c r="U37" s="3017"/>
      <c r="V37" s="3025"/>
    </row>
    <row r="38" spans="1:23" s="3029" customFormat="1" ht="13.15" customHeight="1">
      <c r="A38" s="3107">
        <v>8</v>
      </c>
      <c r="B38" s="3108"/>
      <c r="C38" s="3065">
        <f ca="1">ROUND(C32*(1-((1+C35)/(1+C34))^C36)/(C34-C35),0)</f>
        <v>145343</v>
      </c>
      <c r="D38" s="3065"/>
      <c r="E38" s="3065"/>
      <c r="F38" s="3112"/>
      <c r="G38" s="3106"/>
      <c r="H38" s="3024"/>
      <c r="I38" s="3025"/>
      <c r="J38" s="3524"/>
      <c r="K38" s="3526"/>
      <c r="L38" s="3059"/>
      <c r="M38" s="3060"/>
      <c r="N38" s="3036"/>
      <c r="O38" s="3061"/>
      <c r="P38" s="3061"/>
      <c r="Q38" s="3062"/>
      <c r="R38" s="3063"/>
      <c r="S38" s="3098"/>
      <c r="T38" s="3017" t="s">
        <v>2853</v>
      </c>
      <c r="U38" s="3017"/>
      <c r="V38" s="3025"/>
    </row>
    <row r="39" spans="1:23" s="3029" customFormat="1" ht="13.15" customHeight="1">
      <c r="A39" s="3107">
        <v>9</v>
      </c>
      <c r="B39" s="3108" t="s">
        <v>2927</v>
      </c>
      <c r="C39" s="3073">
        <f ca="1">C38</f>
        <v>145343</v>
      </c>
      <c r="D39" s="3108">
        <f>D38/(1+D34)^C36</f>
        <v>0</v>
      </c>
      <c r="E39" s="3108">
        <f>E38/(1+E34)^(C36+D36)</f>
        <v>0</v>
      </c>
      <c r="F39" s="3112"/>
      <c r="G39" s="3164"/>
      <c r="H39" s="3024"/>
      <c r="I39" s="3025"/>
      <c r="J39" s="3524"/>
      <c r="K39" s="3526"/>
      <c r="L39" s="3059"/>
      <c r="M39" s="3060"/>
      <c r="N39" s="3036"/>
      <c r="O39" s="3061"/>
      <c r="P39" s="3061"/>
      <c r="Q39" s="3062"/>
      <c r="R39" s="3063"/>
      <c r="S39" s="3098"/>
      <c r="T39" s="3017"/>
      <c r="U39" s="3017"/>
      <c r="V39" s="3025"/>
    </row>
    <row r="40" spans="1:23" s="3029" customFormat="1" ht="13.15" customHeight="1">
      <c r="A40" s="3165">
        <v>10</v>
      </c>
      <c r="B40" s="3108" t="s">
        <v>2928</v>
      </c>
      <c r="C40" s="3166">
        <f ca="1">C39+D39+E39</f>
        <v>145343</v>
      </c>
      <c r="D40" s="3167"/>
      <c r="E40" s="3167"/>
      <c r="F40" s="3168"/>
      <c r="G40" s="3106"/>
      <c r="H40" s="3024"/>
      <c r="I40" s="3025"/>
      <c r="J40" s="3524"/>
      <c r="K40" s="3527"/>
      <c r="L40" s="3079" t="s">
        <v>2867</v>
      </c>
      <c r="M40" s="3080"/>
      <c r="N40" s="3080"/>
      <c r="O40" s="3081"/>
      <c r="P40" s="3081"/>
      <c r="Q40" s="3082"/>
      <c r="R40" s="3028">
        <f>SUM(R37:R39)</f>
        <v>0</v>
      </c>
      <c r="S40" s="3098"/>
      <c r="T40" s="3017"/>
      <c r="U40" s="3017"/>
      <c r="V40" s="3025"/>
    </row>
    <row r="41" spans="1:23" s="3029" customFormat="1" ht="13.15" customHeight="1" thickBot="1">
      <c r="A41" s="3169">
        <v>11</v>
      </c>
      <c r="B41" s="3170" t="s">
        <v>2929</v>
      </c>
      <c r="C41" s="3170">
        <f ca="1">ROUND(C40*10000/B4,0)</f>
        <v>198233</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15" customHeight="1">
      <c r="G42" s="3173"/>
      <c r="H42" s="3024"/>
      <c r="I42" s="3025"/>
      <c r="J42" s="3528">
        <v>3</v>
      </c>
      <c r="K42" s="3127" t="s">
        <v>2909</v>
      </c>
      <c r="L42" s="3128"/>
      <c r="M42" s="3129"/>
      <c r="N42" s="3130" t="s">
        <v>2910</v>
      </c>
      <c r="O42" s="3130" t="s">
        <v>2911</v>
      </c>
      <c r="P42" s="3131" t="s">
        <v>2912</v>
      </c>
      <c r="Q42" s="3131" t="s">
        <v>2913</v>
      </c>
      <c r="R42" s="3034" t="s">
        <v>2842</v>
      </c>
      <c r="S42" s="3132"/>
      <c r="T42" s="3132"/>
      <c r="U42" s="3017"/>
      <c r="V42" s="3025"/>
    </row>
    <row r="43" spans="1:23" ht="13.15" customHeight="1">
      <c r="A43" s="3029"/>
      <c r="B43" s="3029"/>
      <c r="C43" s="3029"/>
      <c r="D43" s="3029"/>
      <c r="E43" s="3029"/>
      <c r="F43" s="3029"/>
      <c r="I43" s="3012"/>
      <c r="J43" s="3529"/>
      <c r="K43" s="3135"/>
      <c r="L43" s="3136"/>
      <c r="M43" s="3137"/>
      <c r="N43" s="3060"/>
      <c r="O43" s="3060"/>
      <c r="P43" s="3060"/>
      <c r="Q43" s="3124"/>
      <c r="R43" s="3095">
        <f>ROUND(O43*N43*P43*(1-Q43)/10000,0)</f>
        <v>0</v>
      </c>
      <c r="S43" s="3098"/>
      <c r="T43" s="3017"/>
      <c r="V43" s="3175"/>
      <c r="W43" s="3176"/>
    </row>
    <row r="44" spans="1:23" ht="13.15"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1"/>
      <c r="G1" s="1625"/>
      <c r="H1" s="1625"/>
      <c r="I1" s="1625"/>
      <c r="J1" s="1625"/>
      <c r="K1" s="1625"/>
      <c r="L1" s="1625"/>
      <c r="M1" s="1625"/>
      <c r="N1" s="1625"/>
      <c r="O1" s="1625"/>
      <c r="P1" s="1625"/>
      <c r="Q1" s="1625"/>
      <c r="R1" s="1625"/>
      <c r="S1" s="1625"/>
    </row>
    <row r="2" spans="1:22" ht="15.75">
      <c r="A2" s="2006" t="s">
        <v>1907</v>
      </c>
      <c r="B2" s="2007">
        <f ca="1">SUMIF(B6:B13,"&lt;&gt;#ref!",B6:B13)</f>
        <v>1035</v>
      </c>
      <c r="C2" s="2008" t="s">
        <v>2099</v>
      </c>
      <c r="D2" s="2009" t="s">
        <v>2100</v>
      </c>
      <c r="E2" s="2779">
        <f>SUM(E6:E13)</f>
        <v>8275.91</v>
      </c>
      <c r="F2" s="2881"/>
      <c r="G2" s="1625"/>
      <c r="H2" s="1625"/>
      <c r="I2" s="1625"/>
      <c r="J2" s="1625"/>
      <c r="K2" s="1625"/>
      <c r="L2" s="1625"/>
      <c r="M2" s="1625"/>
      <c r="N2" s="1625"/>
      <c r="O2" s="1625"/>
      <c r="P2" s="1625"/>
      <c r="Q2" s="1625"/>
      <c r="R2" s="1625"/>
      <c r="S2" s="1625"/>
    </row>
    <row r="3" spans="1:22" ht="15.75">
      <c r="A3" s="2006" t="s">
        <v>1119</v>
      </c>
      <c r="B3" s="2773">
        <f ca="1">ROUND(B2*10000/E2,0)</f>
        <v>1251</v>
      </c>
      <c r="C3" s="2008" t="s">
        <v>2107</v>
      </c>
      <c r="D3" s="2883"/>
      <c r="E3" s="2885"/>
      <c r="F3" s="2881"/>
      <c r="G3" s="1625"/>
      <c r="H3" s="1625"/>
      <c r="I3" s="1625"/>
      <c r="J3" s="1625"/>
      <c r="K3" s="1625"/>
      <c r="L3" s="1625"/>
      <c r="M3" s="1625"/>
      <c r="N3" s="1625"/>
      <c r="O3" s="1625"/>
      <c r="P3" s="1625"/>
      <c r="Q3" s="1625"/>
      <c r="R3" s="1625"/>
      <c r="S3" s="1625"/>
    </row>
    <row r="4" spans="1:22" ht="15.75">
      <c r="A4" s="2886"/>
      <c r="B4" s="2883"/>
      <c r="C4" s="2883"/>
      <c r="D4" s="2883"/>
      <c r="E4" s="2885"/>
      <c r="F4" s="2881"/>
      <c r="G4" s="1625"/>
      <c r="H4" s="1625"/>
      <c r="I4" s="1625"/>
      <c r="J4" s="1625"/>
      <c r="K4" s="1625"/>
      <c r="L4" s="1625"/>
      <c r="M4" s="1625"/>
      <c r="N4" s="1625"/>
      <c r="O4" s="1625"/>
      <c r="P4" s="1625"/>
      <c r="Q4" s="1625"/>
      <c r="R4" s="1625"/>
      <c r="S4" s="1625"/>
    </row>
    <row r="5" spans="1:22" ht="15">
      <c r="A5" s="2775" t="s">
        <v>2101</v>
      </c>
      <c r="B5" s="3543" t="s">
        <v>2102</v>
      </c>
      <c r="C5" s="3544"/>
      <c r="D5" s="2882"/>
      <c r="E5" s="2010" t="s">
        <v>2103</v>
      </c>
      <c r="F5" s="2011" t="s">
        <v>2104</v>
      </c>
      <c r="G5" s="1625"/>
      <c r="H5" s="1625"/>
      <c r="I5" s="1625"/>
      <c r="J5" s="1625"/>
      <c r="K5" s="1625"/>
      <c r="L5" s="1625"/>
      <c r="M5" s="1625"/>
      <c r="N5" s="1625"/>
      <c r="O5" s="1625"/>
      <c r="P5" s="1625"/>
      <c r="Q5" s="1625"/>
      <c r="R5" s="1625"/>
      <c r="S5" s="1625"/>
    </row>
    <row r="6" spans="1:22">
      <c r="A6" s="2776" t="str">
        <f>'数据-取费表'!AN6</f>
        <v>收益法</v>
      </c>
      <c r="B6" s="2774">
        <f ca="1">IF(F6="是",'数据-取费表'!AO6,0)</f>
        <v>1035</v>
      </c>
      <c r="C6" s="2008" t="s">
        <v>2099</v>
      </c>
      <c r="D6" s="2883"/>
      <c r="E6" s="2778">
        <f>IF(OR(A6=0,F6="否"),0,'数据-取费表'!K6+'数据-取费表'!S6)</f>
        <v>8275.91</v>
      </c>
      <c r="F6" s="2012" t="s">
        <v>2105</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8275.91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5">
      <c r="A4" s="361" t="s">
        <v>2115</v>
      </c>
      <c r="B4" s="362"/>
      <c r="C4" s="3478" t="s">
        <v>2116</v>
      </c>
      <c r="D4" s="3490"/>
      <c r="E4" s="3491" t="s">
        <v>2117</v>
      </c>
      <c r="F4" s="3492"/>
      <c r="G4" s="3478" t="s">
        <v>2118</v>
      </c>
      <c r="H4" s="3490"/>
      <c r="I4" s="3478" t="s">
        <v>2119</v>
      </c>
      <c r="J4" s="3490"/>
      <c r="K4" s="2025" t="s">
        <v>2120</v>
      </c>
      <c r="L4" s="2889"/>
      <c r="M4" s="2890"/>
      <c r="N4" s="2890"/>
      <c r="O4" s="2890"/>
      <c r="P4" s="3493" t="s">
        <v>2121</v>
      </c>
      <c r="Q4" s="3494"/>
      <c r="R4" s="3499" t="s">
        <v>2117</v>
      </c>
      <c r="S4" s="3500"/>
      <c r="T4" s="3499" t="s">
        <v>2118</v>
      </c>
      <c r="U4" s="3500"/>
      <c r="V4" s="3486" t="s">
        <v>2119</v>
      </c>
      <c r="W4" s="3486"/>
      <c r="X4" s="1490"/>
      <c r="Y4" s="3499" t="s">
        <v>2121</v>
      </c>
      <c r="Z4" s="3500"/>
      <c r="AA4" s="3487" t="s">
        <v>2117</v>
      </c>
      <c r="AB4" s="3487" t="s">
        <v>2118</v>
      </c>
      <c r="AC4" s="3487" t="s">
        <v>2119</v>
      </c>
    </row>
    <row r="5" spans="1:29" ht="15">
      <c r="A5" s="364"/>
      <c r="B5" s="365"/>
      <c r="C5" s="3507" t="s">
        <v>2122</v>
      </c>
      <c r="D5" s="3508"/>
      <c r="E5" s="3514" t="s">
        <v>2123</v>
      </c>
      <c r="F5" s="3515"/>
      <c r="G5" s="3507" t="s">
        <v>2124</v>
      </c>
      <c r="H5" s="3508"/>
      <c r="I5" s="3507" t="s">
        <v>2125</v>
      </c>
      <c r="J5" s="3508"/>
      <c r="K5" s="2026"/>
      <c r="L5" s="2889"/>
      <c r="M5" s="2890"/>
      <c r="N5" s="2890"/>
      <c r="O5" s="2890"/>
      <c r="P5" s="3495"/>
      <c r="Q5" s="3496"/>
      <c r="R5" s="3501"/>
      <c r="S5" s="3502"/>
      <c r="T5" s="3501"/>
      <c r="U5" s="3502"/>
      <c r="V5" s="3486"/>
      <c r="W5" s="3486"/>
      <c r="X5" s="1490"/>
      <c r="Y5" s="3501"/>
      <c r="Z5" s="3502"/>
      <c r="AA5" s="3488"/>
      <c r="AB5" s="3488"/>
      <c r="AC5" s="3488"/>
    </row>
    <row r="6" spans="1:29" ht="15.75" thickBot="1">
      <c r="A6" s="366"/>
      <c r="B6" s="367"/>
      <c r="C6" s="3505" t="s">
        <v>2126</v>
      </c>
      <c r="D6" s="3506"/>
      <c r="E6" s="3512" t="s">
        <v>2126</v>
      </c>
      <c r="F6" s="3513"/>
      <c r="G6" s="3505" t="s">
        <v>2126</v>
      </c>
      <c r="H6" s="3506"/>
      <c r="I6" s="3505" t="s">
        <v>2126</v>
      </c>
      <c r="J6" s="3506"/>
      <c r="K6" s="2026" t="s">
        <v>2127</v>
      </c>
      <c r="L6" s="2889"/>
      <c r="M6" s="2890"/>
      <c r="N6" s="2890"/>
      <c r="O6" s="2890"/>
      <c r="P6" s="3497"/>
      <c r="Q6" s="3498"/>
      <c r="R6" s="3501"/>
      <c r="S6" s="3502"/>
      <c r="T6" s="3503"/>
      <c r="U6" s="3504"/>
      <c r="V6" s="3486"/>
      <c r="W6" s="3486"/>
      <c r="X6" s="1490"/>
      <c r="Y6" s="3503"/>
      <c r="Z6" s="3504"/>
      <c r="AA6" s="3489"/>
      <c r="AB6" s="3489"/>
      <c r="AC6" s="3489"/>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509" t="s">
        <v>2129</v>
      </c>
      <c r="Q7" s="3511"/>
      <c r="R7" s="710" t="s">
        <v>23</v>
      </c>
      <c r="S7" s="711">
        <f t="shared" ref="S7:S15" si="0">F7</f>
        <v>0</v>
      </c>
      <c r="T7" s="710" t="s">
        <v>23</v>
      </c>
      <c r="U7" s="711">
        <f t="shared" ref="U7:U15" si="1">H7</f>
        <v>0</v>
      </c>
      <c r="V7" s="710" t="s">
        <v>23</v>
      </c>
      <c r="W7" s="711">
        <f t="shared" ref="W7:W15" si="2">J7</f>
        <v>0</v>
      </c>
      <c r="X7" s="712"/>
      <c r="Y7" s="3509" t="s">
        <v>2129</v>
      </c>
      <c r="Z7" s="3510"/>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509" t="s">
        <v>2132</v>
      </c>
      <c r="Q8" s="3510"/>
      <c r="R8" s="710" t="s">
        <v>23</v>
      </c>
      <c r="S8" s="711">
        <f t="shared" si="0"/>
        <v>0</v>
      </c>
      <c r="T8" s="710" t="s">
        <v>23</v>
      </c>
      <c r="U8" s="711">
        <f t="shared" si="1"/>
        <v>0</v>
      </c>
      <c r="V8" s="710" t="s">
        <v>23</v>
      </c>
      <c r="W8" s="711">
        <f t="shared" si="2"/>
        <v>0</v>
      </c>
      <c r="X8" s="712"/>
      <c r="Y8" s="3509" t="s">
        <v>2132</v>
      </c>
      <c r="Z8" s="351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80" t="s">
        <v>2135</v>
      </c>
      <c r="Q9" s="1478" t="str">
        <f t="shared" ref="Q9:Q15" si="6">B9</f>
        <v>用途</v>
      </c>
      <c r="R9" s="710" t="s">
        <v>17</v>
      </c>
      <c r="S9" s="711">
        <f t="shared" si="0"/>
        <v>100</v>
      </c>
      <c r="T9" s="710" t="s">
        <v>17</v>
      </c>
      <c r="U9" s="711">
        <f t="shared" si="1"/>
        <v>100</v>
      </c>
      <c r="V9" s="710" t="s">
        <v>17</v>
      </c>
      <c r="W9" s="711">
        <f t="shared" si="2"/>
        <v>100</v>
      </c>
      <c r="X9" s="712"/>
      <c r="Y9" s="337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80"/>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80"/>
      <c r="Q11" s="1478"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80"/>
      <c r="Q12" s="1478">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80"/>
      <c r="Q13" s="1478">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80"/>
      <c r="Q14" s="1478">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51" t="s">
        <v>2140</v>
      </c>
      <c r="Q15" s="1487" t="str">
        <f t="shared" si="6"/>
        <v>居住社区成熟度</v>
      </c>
      <c r="R15" s="714" t="s">
        <v>21</v>
      </c>
      <c r="S15" s="715">
        <f t="shared" si="0"/>
        <v>100</v>
      </c>
      <c r="T15" s="714" t="s">
        <v>21</v>
      </c>
      <c r="U15" s="715">
        <f t="shared" si="1"/>
        <v>100</v>
      </c>
      <c r="V15" s="714" t="s">
        <v>21</v>
      </c>
      <c r="W15" s="715">
        <f t="shared" si="2"/>
        <v>100</v>
      </c>
      <c r="X15" s="1490"/>
      <c r="Y15" s="3482"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52"/>
      <c r="Q16" s="1487"/>
      <c r="R16" s="714"/>
      <c r="S16" s="715"/>
      <c r="T16" s="714"/>
      <c r="U16" s="715"/>
      <c r="V16" s="714"/>
      <c r="W16" s="715"/>
      <c r="X16" s="1490"/>
      <c r="Y16" s="3483"/>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52"/>
      <c r="Q17" s="1487" t="str">
        <f>B17</f>
        <v>交通便捷度</v>
      </c>
      <c r="R17" s="714" t="s">
        <v>21</v>
      </c>
      <c r="S17" s="715">
        <f>F17</f>
        <v>100</v>
      </c>
      <c r="T17" s="714" t="s">
        <v>21</v>
      </c>
      <c r="U17" s="715">
        <f>H17</f>
        <v>100</v>
      </c>
      <c r="V17" s="714" t="s">
        <v>21</v>
      </c>
      <c r="W17" s="715">
        <f>J17</f>
        <v>100</v>
      </c>
      <c r="X17" s="1490"/>
      <c r="Y17" s="3483"/>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52"/>
      <c r="Q18" s="1487"/>
      <c r="R18" s="714"/>
      <c r="S18" s="715"/>
      <c r="T18" s="714"/>
      <c r="U18" s="715"/>
      <c r="V18" s="714"/>
      <c r="W18" s="715"/>
      <c r="X18" s="1490"/>
      <c r="Y18" s="3483"/>
      <c r="Z18" s="1491"/>
      <c r="AA18" s="1488">
        <v>1</v>
      </c>
      <c r="AB18" s="1488">
        <v>1</v>
      </c>
      <c r="AC18" s="1488">
        <v>1</v>
      </c>
    </row>
    <row r="19" spans="1:29" ht="71.25">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52"/>
      <c r="Q19" s="1487" t="str">
        <f>B19</f>
        <v>公共配套设施</v>
      </c>
      <c r="R19" s="714" t="s">
        <v>21</v>
      </c>
      <c r="S19" s="715">
        <f>F19</f>
        <v>100</v>
      </c>
      <c r="T19" s="714" t="s">
        <v>21</v>
      </c>
      <c r="U19" s="715">
        <f>H19</f>
        <v>100</v>
      </c>
      <c r="V19" s="714" t="s">
        <v>21</v>
      </c>
      <c r="W19" s="715">
        <f>J19</f>
        <v>100</v>
      </c>
      <c r="X19" s="1490"/>
      <c r="Y19" s="3483"/>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52"/>
      <c r="Q20" s="1487"/>
      <c r="R20" s="714"/>
      <c r="S20" s="715"/>
      <c r="T20" s="714"/>
      <c r="U20" s="715"/>
      <c r="V20" s="714"/>
      <c r="W20" s="715"/>
      <c r="X20" s="1490"/>
      <c r="Y20" s="3483"/>
      <c r="Z20" s="1491"/>
      <c r="AA20" s="1488">
        <v>1</v>
      </c>
      <c r="AB20" s="1488">
        <v>1</v>
      </c>
      <c r="AC20" s="1488">
        <v>1</v>
      </c>
    </row>
    <row r="21" spans="1:29" ht="42.75">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52"/>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52"/>
      <c r="Q22" s="1487"/>
      <c r="R22" s="714"/>
      <c r="S22" s="715"/>
      <c r="T22" s="714"/>
      <c r="U22" s="715"/>
      <c r="V22" s="714"/>
      <c r="W22" s="715"/>
      <c r="X22" s="1490"/>
      <c r="Y22" s="3483"/>
      <c r="Z22" s="1491"/>
      <c r="AA22" s="1488">
        <v>1</v>
      </c>
      <c r="AB22" s="1488">
        <v>1</v>
      </c>
      <c r="AC22" s="1488">
        <v>1</v>
      </c>
    </row>
    <row r="23" spans="1:29" ht="85.5">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52"/>
      <c r="Q23" s="1487" t="str">
        <f>B23</f>
        <v>自然及人文环境</v>
      </c>
      <c r="R23" s="714" t="s">
        <v>21</v>
      </c>
      <c r="S23" s="715">
        <f>F23</f>
        <v>100</v>
      </c>
      <c r="T23" s="714" t="s">
        <v>21</v>
      </c>
      <c r="U23" s="715">
        <f>H23</f>
        <v>100</v>
      </c>
      <c r="V23" s="714" t="s">
        <v>21</v>
      </c>
      <c r="W23" s="715">
        <f>J23</f>
        <v>100</v>
      </c>
      <c r="X23" s="1490"/>
      <c r="Y23" s="3483"/>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52"/>
      <c r="Q24" s="1487"/>
      <c r="R24" s="714"/>
      <c r="S24" s="715"/>
      <c r="T24" s="714"/>
      <c r="U24" s="715"/>
      <c r="V24" s="714"/>
      <c r="W24" s="715"/>
      <c r="X24" s="1490"/>
      <c r="Y24" s="3483"/>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5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52"/>
      <c r="Q26" s="1487" t="str">
        <f t="shared" si="11"/>
        <v>朝向</v>
      </c>
      <c r="R26" s="714" t="s">
        <v>21</v>
      </c>
      <c r="S26" s="715">
        <f t="shared" si="12"/>
        <v>100</v>
      </c>
      <c r="T26" s="714" t="s">
        <v>21</v>
      </c>
      <c r="U26" s="715">
        <f t="shared" si="13"/>
        <v>100</v>
      </c>
      <c r="V26" s="714" t="s">
        <v>21</v>
      </c>
      <c r="W26" s="715">
        <f t="shared" si="14"/>
        <v>100</v>
      </c>
      <c r="X26" s="1490"/>
      <c r="Y26" s="348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52"/>
      <c r="Q27" s="1478">
        <f t="shared" si="11"/>
        <v>111</v>
      </c>
      <c r="R27" s="710" t="s">
        <v>21</v>
      </c>
      <c r="S27" s="711">
        <f t="shared" si="12"/>
        <v>100</v>
      </c>
      <c r="T27" s="710" t="s">
        <v>21</v>
      </c>
      <c r="U27" s="711">
        <f t="shared" si="13"/>
        <v>100</v>
      </c>
      <c r="V27" s="710" t="s">
        <v>21</v>
      </c>
      <c r="W27" s="711">
        <f t="shared" si="14"/>
        <v>100</v>
      </c>
      <c r="X27" s="712"/>
      <c r="Y27" s="348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52"/>
      <c r="Q28" s="1487">
        <f t="shared" si="11"/>
        <v>111</v>
      </c>
      <c r="R28" s="714" t="s">
        <v>21</v>
      </c>
      <c r="S28" s="715">
        <f t="shared" si="12"/>
        <v>100</v>
      </c>
      <c r="T28" s="714" t="s">
        <v>21</v>
      </c>
      <c r="U28" s="715">
        <f t="shared" si="13"/>
        <v>100</v>
      </c>
      <c r="V28" s="714" t="s">
        <v>21</v>
      </c>
      <c r="W28" s="715">
        <f t="shared" si="14"/>
        <v>100</v>
      </c>
      <c r="X28" s="1490"/>
      <c r="Y28" s="348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52"/>
      <c r="Q29" s="1487">
        <f t="shared" si="11"/>
        <v>111</v>
      </c>
      <c r="R29" s="714" t="s">
        <v>21</v>
      </c>
      <c r="S29" s="715">
        <f t="shared" si="12"/>
        <v>100</v>
      </c>
      <c r="T29" s="714" t="s">
        <v>21</v>
      </c>
      <c r="U29" s="715">
        <f t="shared" si="13"/>
        <v>100</v>
      </c>
      <c r="V29" s="714" t="s">
        <v>21</v>
      </c>
      <c r="W29" s="715">
        <f t="shared" si="14"/>
        <v>100</v>
      </c>
      <c r="X29" s="1490"/>
      <c r="Y29" s="348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52"/>
      <c r="Q30" s="1487">
        <f t="shared" si="11"/>
        <v>111</v>
      </c>
      <c r="R30" s="714" t="s">
        <v>21</v>
      </c>
      <c r="S30" s="715">
        <f t="shared" si="12"/>
        <v>100</v>
      </c>
      <c r="T30" s="714" t="s">
        <v>21</v>
      </c>
      <c r="U30" s="715">
        <f t="shared" si="13"/>
        <v>100</v>
      </c>
      <c r="V30" s="714" t="s">
        <v>21</v>
      </c>
      <c r="W30" s="715">
        <f t="shared" si="14"/>
        <v>100</v>
      </c>
      <c r="X30" s="1490"/>
      <c r="Y30" s="348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52"/>
      <c r="Q31" s="1487">
        <f t="shared" si="11"/>
        <v>111</v>
      </c>
      <c r="R31" s="714" t="s">
        <v>21</v>
      </c>
      <c r="S31" s="715">
        <f t="shared" si="12"/>
        <v>100</v>
      </c>
      <c r="T31" s="714" t="s">
        <v>21</v>
      </c>
      <c r="U31" s="715">
        <f t="shared" si="13"/>
        <v>100</v>
      </c>
      <c r="V31" s="714" t="s">
        <v>21</v>
      </c>
      <c r="W31" s="715">
        <f t="shared" si="14"/>
        <v>100</v>
      </c>
      <c r="X31" s="1490"/>
      <c r="Y31" s="3483"/>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47" t="s">
        <v>2145</v>
      </c>
      <c r="Q32" s="1487" t="str">
        <f t="shared" si="11"/>
        <v>建筑类型</v>
      </c>
      <c r="R32" s="714" t="s">
        <v>21</v>
      </c>
      <c r="S32" s="715">
        <f t="shared" si="12"/>
        <v>100</v>
      </c>
      <c r="T32" s="714" t="s">
        <v>21</v>
      </c>
      <c r="U32" s="715">
        <f t="shared" si="13"/>
        <v>100</v>
      </c>
      <c r="V32" s="714" t="s">
        <v>21</v>
      </c>
      <c r="W32" s="715">
        <f t="shared" si="14"/>
        <v>100</v>
      </c>
      <c r="X32" s="1490"/>
      <c r="Y32" s="3485"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48"/>
      <c r="Q33" s="716" t="str">
        <f t="shared" si="11"/>
        <v>项目建筑规模</v>
      </c>
      <c r="R33" s="717" t="s">
        <v>21</v>
      </c>
      <c r="S33" s="718" t="e">
        <f t="shared" si="12"/>
        <v>#N/A</v>
      </c>
      <c r="T33" s="717" t="s">
        <v>21</v>
      </c>
      <c r="U33" s="718" t="e">
        <f t="shared" si="13"/>
        <v>#N/A</v>
      </c>
      <c r="V33" s="717" t="s">
        <v>21</v>
      </c>
      <c r="W33" s="718" t="e">
        <f t="shared" si="14"/>
        <v>#N/A</v>
      </c>
      <c r="X33" s="719"/>
      <c r="Y33" s="3485"/>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48"/>
      <c r="Q34" s="1487" t="str">
        <f t="shared" si="11"/>
        <v>建筑结构</v>
      </c>
      <c r="R34" s="714" t="s">
        <v>21</v>
      </c>
      <c r="S34" s="715">
        <f t="shared" si="12"/>
        <v>100</v>
      </c>
      <c r="T34" s="714" t="s">
        <v>21</v>
      </c>
      <c r="U34" s="715">
        <f t="shared" si="13"/>
        <v>100</v>
      </c>
      <c r="V34" s="714" t="s">
        <v>21</v>
      </c>
      <c r="W34" s="715">
        <f t="shared" si="14"/>
        <v>100</v>
      </c>
      <c r="X34" s="1490"/>
      <c r="Y34" s="3485"/>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48"/>
      <c r="Q35" s="1487" t="str">
        <f t="shared" si="11"/>
        <v>建筑品质</v>
      </c>
      <c r="R35" s="714" t="s">
        <v>21</v>
      </c>
      <c r="S35" s="715">
        <f t="shared" si="12"/>
        <v>100</v>
      </c>
      <c r="T35" s="714" t="s">
        <v>21</v>
      </c>
      <c r="U35" s="715">
        <f t="shared" si="13"/>
        <v>100</v>
      </c>
      <c r="V35" s="714" t="s">
        <v>21</v>
      </c>
      <c r="W35" s="715">
        <f t="shared" si="14"/>
        <v>100</v>
      </c>
      <c r="X35" s="1490"/>
      <c r="Y35" s="3485"/>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48"/>
      <c r="Q36" s="1487" t="str">
        <f t="shared" si="11"/>
        <v>公共部分装修</v>
      </c>
      <c r="R36" s="714" t="s">
        <v>21</v>
      </c>
      <c r="S36" s="715">
        <f t="shared" si="12"/>
        <v>100</v>
      </c>
      <c r="T36" s="714" t="s">
        <v>21</v>
      </c>
      <c r="U36" s="715">
        <f t="shared" si="13"/>
        <v>100</v>
      </c>
      <c r="V36" s="714" t="s">
        <v>21</v>
      </c>
      <c r="W36" s="715">
        <f t="shared" si="14"/>
        <v>100</v>
      </c>
      <c r="X36" s="1490"/>
      <c r="Y36" s="3485"/>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48"/>
      <c r="Q37" s="1478" t="str">
        <f t="shared" si="11"/>
        <v>成新度</v>
      </c>
      <c r="R37" s="710" t="s">
        <v>21</v>
      </c>
      <c r="S37" s="711" t="e">
        <f t="shared" si="12"/>
        <v>#N/A</v>
      </c>
      <c r="T37" s="710" t="s">
        <v>21</v>
      </c>
      <c r="U37" s="711" t="e">
        <f t="shared" si="13"/>
        <v>#N/A</v>
      </c>
      <c r="V37" s="710" t="s">
        <v>21</v>
      </c>
      <c r="W37" s="711" t="e">
        <f t="shared" si="14"/>
        <v>#N/A</v>
      </c>
      <c r="X37" s="712"/>
      <c r="Y37" s="3485"/>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48" t="s">
        <v>2145</v>
      </c>
      <c r="Q38" s="1487" t="str">
        <f t="shared" si="11"/>
        <v>物业管理</v>
      </c>
      <c r="R38" s="714" t="s">
        <v>21</v>
      </c>
      <c r="S38" s="715">
        <f t="shared" si="12"/>
        <v>100</v>
      </c>
      <c r="T38" s="714" t="s">
        <v>21</v>
      </c>
      <c r="U38" s="715">
        <f t="shared" si="13"/>
        <v>100</v>
      </c>
      <c r="V38" s="714" t="s">
        <v>21</v>
      </c>
      <c r="W38" s="715">
        <f t="shared" si="14"/>
        <v>100</v>
      </c>
      <c r="X38" s="1490"/>
      <c r="Y38" s="3485"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48"/>
      <c r="Q39" s="1487" t="str">
        <f t="shared" si="11"/>
        <v>市政基础设施</v>
      </c>
      <c r="R39" s="714" t="s">
        <v>21</v>
      </c>
      <c r="S39" s="715">
        <f t="shared" si="12"/>
        <v>100</v>
      </c>
      <c r="T39" s="714" t="s">
        <v>21</v>
      </c>
      <c r="U39" s="715">
        <f t="shared" si="13"/>
        <v>100</v>
      </c>
      <c r="V39" s="714" t="s">
        <v>21</v>
      </c>
      <c r="W39" s="715">
        <f t="shared" si="14"/>
        <v>100</v>
      </c>
      <c r="X39" s="1490"/>
      <c r="Y39" s="3485"/>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48"/>
      <c r="Q40" s="1487" t="str">
        <f t="shared" si="11"/>
        <v>房型</v>
      </c>
      <c r="R40" s="714" t="s">
        <v>21</v>
      </c>
      <c r="S40" s="715">
        <f t="shared" si="12"/>
        <v>100</v>
      </c>
      <c r="T40" s="714" t="s">
        <v>21</v>
      </c>
      <c r="U40" s="715">
        <f t="shared" si="13"/>
        <v>100</v>
      </c>
      <c r="V40" s="714" t="s">
        <v>21</v>
      </c>
      <c r="W40" s="715">
        <f t="shared" si="14"/>
        <v>100</v>
      </c>
      <c r="X40" s="1490"/>
      <c r="Y40" s="3485"/>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48"/>
      <c r="Q41" s="716" t="str">
        <f t="shared" si="11"/>
        <v>单套/主力户型建筑面积</v>
      </c>
      <c r="R41" s="717" t="s">
        <v>21</v>
      </c>
      <c r="S41" s="718">
        <f t="shared" si="12"/>
        <v>100</v>
      </c>
      <c r="T41" s="717" t="s">
        <v>21</v>
      </c>
      <c r="U41" s="718">
        <f t="shared" si="13"/>
        <v>100</v>
      </c>
      <c r="V41" s="717" t="s">
        <v>21</v>
      </c>
      <c r="W41" s="718">
        <f t="shared" si="14"/>
        <v>100</v>
      </c>
      <c r="X41" s="719"/>
      <c r="Y41" s="3485"/>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48"/>
      <c r="Q42" s="1487" t="str">
        <f t="shared" si="11"/>
        <v>内部装修</v>
      </c>
      <c r="R42" s="714" t="s">
        <v>21</v>
      </c>
      <c r="S42" s="715">
        <f t="shared" si="12"/>
        <v>100</v>
      </c>
      <c r="T42" s="714" t="s">
        <v>21</v>
      </c>
      <c r="U42" s="715">
        <f t="shared" si="13"/>
        <v>100</v>
      </c>
      <c r="V42" s="714" t="s">
        <v>21</v>
      </c>
      <c r="W42" s="715">
        <f t="shared" si="14"/>
        <v>100</v>
      </c>
      <c r="X42" s="1490"/>
      <c r="Y42" s="3485"/>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48"/>
      <c r="Q43" s="1487" t="str">
        <f t="shared" si="11"/>
        <v>内部装修维护情况</v>
      </c>
      <c r="R43" s="714" t="s">
        <v>21</v>
      </c>
      <c r="S43" s="715">
        <f t="shared" si="12"/>
        <v>100</v>
      </c>
      <c r="T43" s="714" t="s">
        <v>21</v>
      </c>
      <c r="U43" s="715">
        <f t="shared" si="13"/>
        <v>100</v>
      </c>
      <c r="V43" s="714" t="s">
        <v>21</v>
      </c>
      <c r="W43" s="715">
        <f t="shared" si="14"/>
        <v>100</v>
      </c>
      <c r="X43" s="1490"/>
      <c r="Y43" s="348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48"/>
      <c r="Q44" s="1478">
        <f t="shared" si="11"/>
        <v>111</v>
      </c>
      <c r="R44" s="710" t="s">
        <v>21</v>
      </c>
      <c r="S44" s="711">
        <f t="shared" si="12"/>
        <v>100</v>
      </c>
      <c r="T44" s="710" t="s">
        <v>21</v>
      </c>
      <c r="U44" s="711">
        <f t="shared" si="13"/>
        <v>100</v>
      </c>
      <c r="V44" s="710" t="s">
        <v>21</v>
      </c>
      <c r="W44" s="711">
        <f t="shared" si="14"/>
        <v>100</v>
      </c>
      <c r="X44" s="712"/>
      <c r="Y44" s="348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48"/>
      <c r="Q45" s="1487">
        <f t="shared" si="11"/>
        <v>111</v>
      </c>
      <c r="R45" s="714" t="s">
        <v>21</v>
      </c>
      <c r="S45" s="715">
        <f t="shared" si="12"/>
        <v>100</v>
      </c>
      <c r="T45" s="714" t="s">
        <v>21</v>
      </c>
      <c r="U45" s="715">
        <f t="shared" si="13"/>
        <v>100</v>
      </c>
      <c r="V45" s="714" t="s">
        <v>21</v>
      </c>
      <c r="W45" s="715">
        <f t="shared" si="14"/>
        <v>100</v>
      </c>
      <c r="X45" s="1490"/>
      <c r="Y45" s="3485"/>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49"/>
      <c r="Q46" s="1487">
        <f t="shared" si="11"/>
        <v>111</v>
      </c>
      <c r="R46" s="714" t="s">
        <v>20</v>
      </c>
      <c r="S46" s="715">
        <f t="shared" si="12"/>
        <v>100</v>
      </c>
      <c r="T46" s="714" t="s">
        <v>20</v>
      </c>
      <c r="U46" s="715">
        <f t="shared" si="13"/>
        <v>100</v>
      </c>
      <c r="V46" s="714" t="s">
        <v>20</v>
      </c>
      <c r="W46" s="715">
        <f t="shared" si="14"/>
        <v>100</v>
      </c>
      <c r="X46" s="1490"/>
      <c r="Y46" s="355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898"/>
      <c r="M47" s="2899"/>
      <c r="N47" s="2890"/>
      <c r="O47" s="2899"/>
      <c r="P47" s="3481" t="str">
        <f>A47</f>
        <v>成交单价（元/平方米）</v>
      </c>
      <c r="Q47" s="3481"/>
      <c r="R47" s="3546">
        <f>E47</f>
        <v>0</v>
      </c>
      <c r="S47" s="3546"/>
      <c r="T47" s="3546">
        <f>G47</f>
        <v>0</v>
      </c>
      <c r="U47" s="3546"/>
      <c r="V47" s="3546">
        <f>I47</f>
        <v>0</v>
      </c>
      <c r="W47" s="3546"/>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81" t="str">
        <f>A48</f>
        <v>比较价值（元/平方米）</v>
      </c>
      <c r="Q48" s="3481"/>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898"/>
      <c r="M49" s="2899"/>
      <c r="N49" s="2899"/>
      <c r="O49" s="2899"/>
      <c r="P49" s="3475" t="str">
        <f>A49</f>
        <v>估价对象XX用房的比较价值（楼面单价，元/平方米）</v>
      </c>
      <c r="Q49" s="3476"/>
      <c r="R49" s="3545" t="e">
        <f>IF(F1="售价",ROUND(IF(D48="简单平均",AVERAGE(R48:V48),R48*F48+T48*H48+V48*J48),0),ROUND(IF(D48="简单平均",AVERAGE(R48:V48),R48*F48+T48*H48+V48*J48),1))</f>
        <v>#DIV/0!</v>
      </c>
      <c r="S49" s="3545"/>
      <c r="T49" s="3545"/>
      <c r="U49" s="3545"/>
      <c r="V49" s="3545"/>
      <c r="W49" s="3545"/>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受贵公司委托，我公司对北京市香河第一城德胜门高尔夫房地产市场价值进行了预评估。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估价对象为北京市香河第一城德胜门高尔夫房地产，为所有。根据《国有土地使用证》[]，估价对象（分摊）出让国有建设用地使用权面积为47032平方米，建筑面积为8275.91平方米。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德胜门高尔夫房地产,为开发建设的，该项目尚在开发建设中。根据《国有土地使用证》[]，估价对象（分摊）出让国有建设用地使用权面积为47032平方米，规划建筑面积为8275.91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2022年11月11日（评估专业人员实地查勘之日）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8275.91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5">
      <c r="A4" s="361" t="s">
        <v>2225</v>
      </c>
      <c r="B4" s="362"/>
      <c r="C4" s="3478" t="s">
        <v>2226</v>
      </c>
      <c r="D4" s="3490"/>
      <c r="E4" s="3491" t="s">
        <v>2227</v>
      </c>
      <c r="F4" s="3492"/>
      <c r="G4" s="3478" t="s">
        <v>2228</v>
      </c>
      <c r="H4" s="3490"/>
      <c r="I4" s="3478" t="s">
        <v>2229</v>
      </c>
      <c r="J4" s="3490"/>
      <c r="K4" s="567" t="s">
        <v>2230</v>
      </c>
      <c r="L4" s="2889"/>
      <c r="M4" s="2890"/>
      <c r="N4" s="2890"/>
      <c r="O4" s="2890"/>
      <c r="P4" s="3493" t="s">
        <v>2231</v>
      </c>
      <c r="Q4" s="3494"/>
      <c r="R4" s="3499" t="s">
        <v>2227</v>
      </c>
      <c r="S4" s="3500"/>
      <c r="T4" s="3499" t="s">
        <v>2228</v>
      </c>
      <c r="U4" s="3500"/>
      <c r="V4" s="3486" t="s">
        <v>2229</v>
      </c>
      <c r="W4" s="3486"/>
      <c r="X4" s="1490"/>
      <c r="Y4" s="3499" t="s">
        <v>2231</v>
      </c>
      <c r="Z4" s="3500"/>
      <c r="AA4" s="3487" t="s">
        <v>2227</v>
      </c>
      <c r="AB4" s="3486" t="s">
        <v>2228</v>
      </c>
      <c r="AC4" s="3487" t="s">
        <v>2229</v>
      </c>
    </row>
    <row r="5" spans="1:29" ht="15">
      <c r="A5" s="364"/>
      <c r="B5" s="365"/>
      <c r="C5" s="3507" t="s">
        <v>2122</v>
      </c>
      <c r="D5" s="3508"/>
      <c r="E5" s="3514" t="s">
        <v>2123</v>
      </c>
      <c r="F5" s="3515"/>
      <c r="G5" s="3507" t="s">
        <v>2124</v>
      </c>
      <c r="H5" s="3508"/>
      <c r="I5" s="3507" t="s">
        <v>2125</v>
      </c>
      <c r="J5" s="3508"/>
      <c r="K5" s="567"/>
      <c r="L5" s="2889"/>
      <c r="M5" s="2890"/>
      <c r="N5" s="2890"/>
      <c r="O5" s="2890"/>
      <c r="P5" s="3495"/>
      <c r="Q5" s="3496"/>
      <c r="R5" s="3501"/>
      <c r="S5" s="3502"/>
      <c r="T5" s="3501"/>
      <c r="U5" s="3502"/>
      <c r="V5" s="3486"/>
      <c r="W5" s="3486"/>
      <c r="X5" s="1490"/>
      <c r="Y5" s="3501"/>
      <c r="Z5" s="3502"/>
      <c r="AA5" s="3488"/>
      <c r="AB5" s="3486"/>
      <c r="AC5" s="3488"/>
    </row>
    <row r="6" spans="1:29" ht="15.75" thickBot="1">
      <c r="A6" s="366"/>
      <c r="B6" s="367"/>
      <c r="C6" s="3505" t="s">
        <v>2126</v>
      </c>
      <c r="D6" s="3506"/>
      <c r="E6" s="3512" t="s">
        <v>2126</v>
      </c>
      <c r="F6" s="3513"/>
      <c r="G6" s="3505" t="s">
        <v>2126</v>
      </c>
      <c r="H6" s="3506"/>
      <c r="I6" s="3505" t="s">
        <v>2126</v>
      </c>
      <c r="J6" s="3506"/>
      <c r="K6" s="567" t="s">
        <v>2127</v>
      </c>
      <c r="L6" s="2889"/>
      <c r="M6" s="2890"/>
      <c r="N6" s="2890"/>
      <c r="O6" s="2890"/>
      <c r="P6" s="3497"/>
      <c r="Q6" s="3498"/>
      <c r="R6" s="3501"/>
      <c r="S6" s="3502"/>
      <c r="T6" s="3503"/>
      <c r="U6" s="3504"/>
      <c r="V6" s="3486"/>
      <c r="W6" s="3486"/>
      <c r="X6" s="1490"/>
      <c r="Y6" s="3503"/>
      <c r="Z6" s="3504"/>
      <c r="AA6" s="3489"/>
      <c r="AB6" s="3486"/>
      <c r="AC6" s="3489"/>
    </row>
    <row r="7" spans="1:29" s="113" customFormat="1" ht="15.7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509" t="s">
        <v>2129</v>
      </c>
      <c r="Q7" s="3511"/>
      <c r="R7" s="710" t="s">
        <v>17</v>
      </c>
      <c r="S7" s="711">
        <f t="shared" ref="S7:S15" si="0">F7</f>
        <v>0</v>
      </c>
      <c r="T7" s="710" t="s">
        <v>17</v>
      </c>
      <c r="U7" s="711">
        <f t="shared" ref="U7:U15" si="1">H7</f>
        <v>0</v>
      </c>
      <c r="V7" s="710" t="s">
        <v>17</v>
      </c>
      <c r="W7" s="711">
        <f t="shared" ref="W7:W15" si="2">J7</f>
        <v>0</v>
      </c>
      <c r="X7" s="712"/>
      <c r="Y7" s="3509" t="s">
        <v>2129</v>
      </c>
      <c r="Z7" s="351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509" t="s">
        <v>2132</v>
      </c>
      <c r="Q8" s="3510"/>
      <c r="R8" s="710" t="s">
        <v>17</v>
      </c>
      <c r="S8" s="711">
        <f t="shared" si="0"/>
        <v>0</v>
      </c>
      <c r="T8" s="710" t="s">
        <v>17</v>
      </c>
      <c r="U8" s="711">
        <f t="shared" si="1"/>
        <v>0</v>
      </c>
      <c r="V8" s="710" t="s">
        <v>17</v>
      </c>
      <c r="W8" s="711">
        <f t="shared" si="2"/>
        <v>0</v>
      </c>
      <c r="X8" s="712"/>
      <c r="Y8" s="3509" t="s">
        <v>2132</v>
      </c>
      <c r="Z8" s="351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80" t="s">
        <v>2135</v>
      </c>
      <c r="Q9" s="1478" t="str">
        <f t="shared" ref="Q9:Q15" si="6">B9</f>
        <v>用途</v>
      </c>
      <c r="R9" s="710" t="s">
        <v>17</v>
      </c>
      <c r="S9" s="711">
        <f t="shared" si="0"/>
        <v>100</v>
      </c>
      <c r="T9" s="710" t="s">
        <v>17</v>
      </c>
      <c r="U9" s="711">
        <f t="shared" si="1"/>
        <v>100</v>
      </c>
      <c r="V9" s="710" t="s">
        <v>17</v>
      </c>
      <c r="W9" s="711">
        <f t="shared" si="2"/>
        <v>100</v>
      </c>
      <c r="X9" s="712"/>
      <c r="Y9" s="337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80"/>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80"/>
      <c r="Q11" s="1478"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80"/>
      <c r="Q12" s="1478">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80"/>
      <c r="Q13" s="1478">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80"/>
      <c r="Q14" s="1478">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85.5">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51" t="s">
        <v>2140</v>
      </c>
      <c r="Q15" s="1487" t="str">
        <f t="shared" si="6"/>
        <v>商业繁华度</v>
      </c>
      <c r="R15" s="714" t="s">
        <v>17</v>
      </c>
      <c r="S15" s="715">
        <f t="shared" si="0"/>
        <v>100</v>
      </c>
      <c r="T15" s="714" t="s">
        <v>17</v>
      </c>
      <c r="U15" s="715">
        <f t="shared" si="1"/>
        <v>100</v>
      </c>
      <c r="V15" s="714" t="s">
        <v>17</v>
      </c>
      <c r="W15" s="715">
        <f t="shared" si="2"/>
        <v>100</v>
      </c>
      <c r="X15" s="1490"/>
      <c r="Y15" s="348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52"/>
      <c r="Q16" s="1487"/>
      <c r="R16" s="714"/>
      <c r="S16" s="715"/>
      <c r="T16" s="714"/>
      <c r="U16" s="715"/>
      <c r="V16" s="714"/>
      <c r="W16" s="715"/>
      <c r="X16" s="1490"/>
      <c r="Y16" s="3483"/>
      <c r="Z16" s="1491"/>
      <c r="AA16" s="1488">
        <v>1</v>
      </c>
      <c r="AB16" s="1488">
        <v>1</v>
      </c>
      <c r="AC16" s="1488">
        <v>1</v>
      </c>
    </row>
    <row r="17" spans="1:29" ht="142.5">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52"/>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52"/>
      <c r="Q18" s="1487"/>
      <c r="R18" s="714"/>
      <c r="S18" s="715"/>
      <c r="T18" s="714"/>
      <c r="U18" s="715"/>
      <c r="V18" s="714"/>
      <c r="W18" s="715"/>
      <c r="X18" s="1490"/>
      <c r="Y18" s="3483"/>
      <c r="Z18" s="1491"/>
      <c r="AA18" s="1488">
        <v>1</v>
      </c>
      <c r="AB18" s="1488">
        <v>1</v>
      </c>
      <c r="AC18" s="1488">
        <v>1</v>
      </c>
    </row>
    <row r="19" spans="1:29" ht="71.25">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52"/>
      <c r="Q19" s="1487" t="str">
        <f>B19</f>
        <v>公共配套设施</v>
      </c>
      <c r="R19" s="714" t="s">
        <v>17</v>
      </c>
      <c r="S19" s="715">
        <f>F19</f>
        <v>100</v>
      </c>
      <c r="T19" s="714" t="s">
        <v>17</v>
      </c>
      <c r="U19" s="715">
        <f>H19</f>
        <v>100</v>
      </c>
      <c r="V19" s="714" t="s">
        <v>17</v>
      </c>
      <c r="W19" s="715">
        <f>J19</f>
        <v>100</v>
      </c>
      <c r="X19" s="1490"/>
      <c r="Y19" s="3483"/>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52"/>
      <c r="Q20" s="1487"/>
      <c r="R20" s="714"/>
      <c r="S20" s="715"/>
      <c r="T20" s="714"/>
      <c r="U20" s="715"/>
      <c r="V20" s="714"/>
      <c r="W20" s="715"/>
      <c r="X20" s="1490"/>
      <c r="Y20" s="3483"/>
      <c r="Z20" s="1491"/>
      <c r="AA20" s="1488">
        <v>1</v>
      </c>
      <c r="AB20" s="1488">
        <v>1</v>
      </c>
      <c r="AC20" s="1488">
        <v>1</v>
      </c>
    </row>
    <row r="21" spans="1:29" ht="42.75">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52"/>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52"/>
      <c r="Q22" s="1487"/>
      <c r="R22" s="714"/>
      <c r="S22" s="715"/>
      <c r="T22" s="714"/>
      <c r="U22" s="715"/>
      <c r="V22" s="714"/>
      <c r="W22" s="715"/>
      <c r="X22" s="1490"/>
      <c r="Y22" s="3483"/>
      <c r="Z22" s="1491"/>
      <c r="AA22" s="1488">
        <v>1</v>
      </c>
      <c r="AB22" s="1488">
        <v>1</v>
      </c>
      <c r="AC22" s="1488">
        <v>1</v>
      </c>
    </row>
    <row r="23" spans="1:29" ht="85.5">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52"/>
      <c r="Q23" s="1487" t="str">
        <f>B23</f>
        <v>自然及人文环境</v>
      </c>
      <c r="R23" s="714" t="s">
        <v>17</v>
      </c>
      <c r="S23" s="715">
        <f>F23</f>
        <v>100</v>
      </c>
      <c r="T23" s="714" t="s">
        <v>17</v>
      </c>
      <c r="U23" s="715">
        <f>H23</f>
        <v>100</v>
      </c>
      <c r="V23" s="714" t="s">
        <v>17</v>
      </c>
      <c r="W23" s="715">
        <f>J23</f>
        <v>100</v>
      </c>
      <c r="X23" s="1490"/>
      <c r="Y23" s="3483"/>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52"/>
      <c r="Q24" s="1487"/>
      <c r="R24" s="714"/>
      <c r="S24" s="715"/>
      <c r="T24" s="714"/>
      <c r="U24" s="715"/>
      <c r="V24" s="714"/>
      <c r="W24" s="715"/>
      <c r="X24" s="1490"/>
      <c r="Y24" s="348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52"/>
      <c r="Q25" s="1487" t="str">
        <f t="shared" ref="Q25:Q46" si="11">B25</f>
        <v>临街状况</v>
      </c>
      <c r="R25" s="714" t="s">
        <v>17</v>
      </c>
      <c r="S25" s="715">
        <f>F25</f>
        <v>100</v>
      </c>
      <c r="T25" s="714" t="s">
        <v>17</v>
      </c>
      <c r="U25" s="715">
        <f>H25</f>
        <v>100</v>
      </c>
      <c r="V25" s="714" t="s">
        <v>17</v>
      </c>
      <c r="W25" s="715">
        <f>J25</f>
        <v>100</v>
      </c>
      <c r="X25" s="1490"/>
      <c r="Y25" s="348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52"/>
      <c r="Q26" s="1487" t="str">
        <f t="shared" si="11"/>
        <v>平面位置/可视性</v>
      </c>
      <c r="R26" s="714" t="s">
        <v>17</v>
      </c>
      <c r="S26" s="715">
        <f>F26</f>
        <v>100</v>
      </c>
      <c r="T26" s="714" t="s">
        <v>17</v>
      </c>
      <c r="U26" s="715">
        <f>H26</f>
        <v>100</v>
      </c>
      <c r="V26" s="714" t="s">
        <v>17</v>
      </c>
      <c r="W26" s="715">
        <f>J26</f>
        <v>100</v>
      </c>
      <c r="X26" s="1490"/>
      <c r="Y26" s="3483"/>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52"/>
      <c r="Q27" s="1478" t="str">
        <f t="shared" si="11"/>
        <v>人流量</v>
      </c>
      <c r="R27" s="710" t="s">
        <v>17</v>
      </c>
      <c r="S27" s="711">
        <f>F27</f>
        <v>100</v>
      </c>
      <c r="T27" s="710" t="s">
        <v>17</v>
      </c>
      <c r="U27" s="711">
        <f>H27</f>
        <v>100</v>
      </c>
      <c r="V27" s="710" t="s">
        <v>17</v>
      </c>
      <c r="W27" s="711">
        <f>J27</f>
        <v>100</v>
      </c>
      <c r="X27" s="712"/>
      <c r="Y27" s="348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5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52"/>
      <c r="Q29" s="1487">
        <f t="shared" si="11"/>
        <v>111</v>
      </c>
      <c r="R29" s="714" t="s">
        <v>17</v>
      </c>
      <c r="S29" s="715">
        <f t="shared" si="12"/>
        <v>100</v>
      </c>
      <c r="T29" s="714" t="s">
        <v>17</v>
      </c>
      <c r="U29" s="715">
        <f t="shared" si="13"/>
        <v>100</v>
      </c>
      <c r="V29" s="714" t="s">
        <v>17</v>
      </c>
      <c r="W29" s="715">
        <f t="shared" si="14"/>
        <v>100</v>
      </c>
      <c r="X29" s="1490"/>
      <c r="Y29" s="348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52"/>
      <c r="Q30" s="1487">
        <f t="shared" si="11"/>
        <v>111</v>
      </c>
      <c r="R30" s="714" t="s">
        <v>17</v>
      </c>
      <c r="S30" s="715">
        <f t="shared" si="12"/>
        <v>100</v>
      </c>
      <c r="T30" s="714" t="s">
        <v>17</v>
      </c>
      <c r="U30" s="715">
        <f t="shared" si="13"/>
        <v>100</v>
      </c>
      <c r="V30" s="714" t="s">
        <v>17</v>
      </c>
      <c r="W30" s="715">
        <f t="shared" si="14"/>
        <v>100</v>
      </c>
      <c r="X30" s="1490"/>
      <c r="Y30" s="348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52"/>
      <c r="Q31" s="1487">
        <f t="shared" si="11"/>
        <v>111</v>
      </c>
      <c r="R31" s="714" t="s">
        <v>17</v>
      </c>
      <c r="S31" s="715">
        <f t="shared" si="12"/>
        <v>100</v>
      </c>
      <c r="T31" s="714" t="s">
        <v>17</v>
      </c>
      <c r="U31" s="715">
        <f t="shared" si="13"/>
        <v>100</v>
      </c>
      <c r="V31" s="714" t="s">
        <v>17</v>
      </c>
      <c r="W31" s="715">
        <f t="shared" si="14"/>
        <v>100</v>
      </c>
      <c r="X31" s="1490"/>
      <c r="Y31" s="3483"/>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47" t="s">
        <v>2145</v>
      </c>
      <c r="Q32" s="1487" t="str">
        <f t="shared" si="11"/>
        <v>商业类型</v>
      </c>
      <c r="R32" s="714" t="s">
        <v>17</v>
      </c>
      <c r="S32" s="715">
        <f t="shared" si="12"/>
        <v>100</v>
      </c>
      <c r="T32" s="714" t="s">
        <v>17</v>
      </c>
      <c r="U32" s="715">
        <f t="shared" si="13"/>
        <v>100</v>
      </c>
      <c r="V32" s="714" t="s">
        <v>17</v>
      </c>
      <c r="W32" s="715">
        <f t="shared" si="14"/>
        <v>100</v>
      </c>
      <c r="X32" s="1490"/>
      <c r="Y32" s="3485"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48"/>
      <c r="Q33" s="716" t="str">
        <f t="shared" si="11"/>
        <v>项目建筑规模</v>
      </c>
      <c r="R33" s="717" t="s">
        <v>17</v>
      </c>
      <c r="S33" s="718" t="e">
        <f t="shared" si="12"/>
        <v>#N/A</v>
      </c>
      <c r="T33" s="717" t="s">
        <v>17</v>
      </c>
      <c r="U33" s="718" t="e">
        <f t="shared" si="13"/>
        <v>#N/A</v>
      </c>
      <c r="V33" s="717" t="s">
        <v>17</v>
      </c>
      <c r="W33" s="718" t="e">
        <f t="shared" si="14"/>
        <v>#N/A</v>
      </c>
      <c r="X33" s="719"/>
      <c r="Y33" s="3485"/>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48"/>
      <c r="Q34" s="1487" t="str">
        <f t="shared" si="11"/>
        <v>建筑结构</v>
      </c>
      <c r="R34" s="714" t="s">
        <v>17</v>
      </c>
      <c r="S34" s="715">
        <f t="shared" si="12"/>
        <v>100</v>
      </c>
      <c r="T34" s="714" t="s">
        <v>17</v>
      </c>
      <c r="U34" s="715">
        <f t="shared" si="13"/>
        <v>100</v>
      </c>
      <c r="V34" s="714" t="s">
        <v>17</v>
      </c>
      <c r="W34" s="715">
        <f t="shared" si="14"/>
        <v>100</v>
      </c>
      <c r="X34" s="1490"/>
      <c r="Y34" s="3485"/>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48"/>
      <c r="Q35" s="1487" t="str">
        <f t="shared" si="11"/>
        <v>公共部分装修</v>
      </c>
      <c r="R35" s="714" t="s">
        <v>17</v>
      </c>
      <c r="S35" s="715">
        <f t="shared" si="12"/>
        <v>100</v>
      </c>
      <c r="T35" s="714" t="s">
        <v>17</v>
      </c>
      <c r="U35" s="715">
        <f t="shared" si="13"/>
        <v>100</v>
      </c>
      <c r="V35" s="714" t="s">
        <v>17</v>
      </c>
      <c r="W35" s="715">
        <f t="shared" si="14"/>
        <v>100</v>
      </c>
      <c r="X35" s="1490"/>
      <c r="Y35" s="3485"/>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48"/>
      <c r="Q36" s="1487" t="str">
        <f t="shared" si="11"/>
        <v>成新度</v>
      </c>
      <c r="R36" s="714" t="s">
        <v>17</v>
      </c>
      <c r="S36" s="715" t="e">
        <f t="shared" si="12"/>
        <v>#N/A</v>
      </c>
      <c r="T36" s="714" t="s">
        <v>17</v>
      </c>
      <c r="U36" s="715" t="e">
        <f t="shared" si="13"/>
        <v>#N/A</v>
      </c>
      <c r="V36" s="714" t="s">
        <v>17</v>
      </c>
      <c r="W36" s="715" t="e">
        <f t="shared" si="14"/>
        <v>#N/A</v>
      </c>
      <c r="X36" s="1490"/>
      <c r="Y36" s="3485"/>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48"/>
      <c r="Q37" s="1478" t="str">
        <f t="shared" si="11"/>
        <v>市政基础设施</v>
      </c>
      <c r="R37" s="710" t="s">
        <v>17</v>
      </c>
      <c r="S37" s="711">
        <f t="shared" si="12"/>
        <v>100</v>
      </c>
      <c r="T37" s="710" t="s">
        <v>17</v>
      </c>
      <c r="U37" s="711">
        <f t="shared" si="13"/>
        <v>100</v>
      </c>
      <c r="V37" s="710" t="s">
        <v>17</v>
      </c>
      <c r="W37" s="711">
        <f t="shared" si="14"/>
        <v>100</v>
      </c>
      <c r="X37" s="712"/>
      <c r="Y37" s="3485"/>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48" t="s">
        <v>2145</v>
      </c>
      <c r="Q38" s="1487" t="str">
        <f t="shared" si="11"/>
        <v>业态</v>
      </c>
      <c r="R38" s="714" t="s">
        <v>17</v>
      </c>
      <c r="S38" s="715">
        <f t="shared" si="12"/>
        <v>100</v>
      </c>
      <c r="T38" s="714" t="s">
        <v>17</v>
      </c>
      <c r="U38" s="715">
        <f t="shared" si="13"/>
        <v>100</v>
      </c>
      <c r="V38" s="714" t="s">
        <v>17</v>
      </c>
      <c r="W38" s="715">
        <f t="shared" si="14"/>
        <v>100</v>
      </c>
      <c r="X38" s="1490"/>
      <c r="Y38" s="3485"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48"/>
      <c r="Q39" s="1487" t="str">
        <f t="shared" si="11"/>
        <v>层高</v>
      </c>
      <c r="R39" s="714" t="s">
        <v>17</v>
      </c>
      <c r="S39" s="715">
        <f t="shared" si="12"/>
        <v>100</v>
      </c>
      <c r="T39" s="714" t="s">
        <v>17</v>
      </c>
      <c r="U39" s="715">
        <f t="shared" si="13"/>
        <v>100</v>
      </c>
      <c r="V39" s="714" t="s">
        <v>17</v>
      </c>
      <c r="W39" s="715">
        <f t="shared" si="14"/>
        <v>100</v>
      </c>
      <c r="X39" s="1490"/>
      <c r="Y39" s="3485"/>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48"/>
      <c r="Q40" s="1487" t="str">
        <f t="shared" si="11"/>
        <v>单套建筑面积</v>
      </c>
      <c r="R40" s="714" t="s">
        <v>17</v>
      </c>
      <c r="S40" s="715">
        <f t="shared" si="12"/>
        <v>100</v>
      </c>
      <c r="T40" s="714" t="s">
        <v>17</v>
      </c>
      <c r="U40" s="715">
        <f t="shared" si="13"/>
        <v>100</v>
      </c>
      <c r="V40" s="714" t="s">
        <v>17</v>
      </c>
      <c r="W40" s="715">
        <f t="shared" si="14"/>
        <v>100</v>
      </c>
      <c r="X40" s="1490"/>
      <c r="Y40" s="3485"/>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48"/>
      <c r="Q41" s="716" t="str">
        <f t="shared" si="11"/>
        <v>进深比</v>
      </c>
      <c r="R41" s="717" t="s">
        <v>17</v>
      </c>
      <c r="S41" s="718">
        <f t="shared" si="12"/>
        <v>100</v>
      </c>
      <c r="T41" s="717" t="s">
        <v>17</v>
      </c>
      <c r="U41" s="718">
        <f t="shared" si="13"/>
        <v>100</v>
      </c>
      <c r="V41" s="717" t="s">
        <v>17</v>
      </c>
      <c r="W41" s="718">
        <f t="shared" si="14"/>
        <v>100</v>
      </c>
      <c r="X41" s="719"/>
      <c r="Y41" s="3485"/>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48"/>
      <c r="Q42" s="1487" t="str">
        <f t="shared" si="11"/>
        <v>内部装修</v>
      </c>
      <c r="R42" s="714" t="s">
        <v>17</v>
      </c>
      <c r="S42" s="715">
        <f t="shared" si="12"/>
        <v>100</v>
      </c>
      <c r="T42" s="714" t="s">
        <v>17</v>
      </c>
      <c r="U42" s="715">
        <f t="shared" si="13"/>
        <v>100</v>
      </c>
      <c r="V42" s="714" t="s">
        <v>17</v>
      </c>
      <c r="W42" s="715">
        <f t="shared" si="14"/>
        <v>100</v>
      </c>
      <c r="X42" s="1490"/>
      <c r="Y42" s="3485"/>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48"/>
      <c r="Q43" s="1487" t="str">
        <f t="shared" si="11"/>
        <v>内部装修维护情况</v>
      </c>
      <c r="R43" s="714" t="s">
        <v>17</v>
      </c>
      <c r="S43" s="715">
        <f t="shared" si="12"/>
        <v>100</v>
      </c>
      <c r="T43" s="714" t="s">
        <v>17</v>
      </c>
      <c r="U43" s="715">
        <f t="shared" si="13"/>
        <v>100</v>
      </c>
      <c r="V43" s="714" t="s">
        <v>17</v>
      </c>
      <c r="W43" s="715">
        <f t="shared" si="14"/>
        <v>100</v>
      </c>
      <c r="X43" s="1490"/>
      <c r="Y43" s="348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48"/>
      <c r="Q44" s="1478">
        <f t="shared" si="11"/>
        <v>111</v>
      </c>
      <c r="R44" s="710" t="s">
        <v>17</v>
      </c>
      <c r="S44" s="711">
        <f t="shared" si="12"/>
        <v>100</v>
      </c>
      <c r="T44" s="710" t="s">
        <v>17</v>
      </c>
      <c r="U44" s="711">
        <f t="shared" si="13"/>
        <v>100</v>
      </c>
      <c r="V44" s="710" t="s">
        <v>17</v>
      </c>
      <c r="W44" s="711">
        <f t="shared" si="14"/>
        <v>100</v>
      </c>
      <c r="X44" s="712"/>
      <c r="Y44" s="348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48"/>
      <c r="Q45" s="1487">
        <f t="shared" si="11"/>
        <v>111</v>
      </c>
      <c r="R45" s="714" t="s">
        <v>17</v>
      </c>
      <c r="S45" s="715">
        <f t="shared" si="12"/>
        <v>100</v>
      </c>
      <c r="T45" s="714" t="s">
        <v>17</v>
      </c>
      <c r="U45" s="715">
        <f t="shared" si="13"/>
        <v>100</v>
      </c>
      <c r="V45" s="714" t="s">
        <v>17</v>
      </c>
      <c r="W45" s="715">
        <f t="shared" si="14"/>
        <v>100</v>
      </c>
      <c r="X45" s="1490"/>
      <c r="Y45" s="3485"/>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49"/>
      <c r="Q46" s="1487">
        <f t="shared" si="11"/>
        <v>111</v>
      </c>
      <c r="R46" s="714" t="s">
        <v>17</v>
      </c>
      <c r="S46" s="715">
        <f t="shared" si="12"/>
        <v>100</v>
      </c>
      <c r="T46" s="714" t="s">
        <v>17</v>
      </c>
      <c r="U46" s="715">
        <f t="shared" si="13"/>
        <v>100</v>
      </c>
      <c r="V46" s="714" t="s">
        <v>17</v>
      </c>
      <c r="W46" s="715">
        <f t="shared" si="14"/>
        <v>100</v>
      </c>
      <c r="X46" s="1490"/>
      <c r="Y46" s="355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8"/>
      <c r="M47" s="2899"/>
      <c r="N47" s="2890"/>
      <c r="O47" s="2899"/>
      <c r="P47" s="3481" t="str">
        <f>A47</f>
        <v>成交单价（元/平方米）</v>
      </c>
      <c r="Q47" s="3481"/>
      <c r="R47" s="3486">
        <f>E47</f>
        <v>0</v>
      </c>
      <c r="S47" s="3486"/>
      <c r="T47" s="3486">
        <f>G47</f>
        <v>0</v>
      </c>
      <c r="U47" s="3486"/>
      <c r="V47" s="3486">
        <f>I47</f>
        <v>0</v>
      </c>
      <c r="W47" s="3486"/>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81" t="str">
        <f>A48</f>
        <v>比较价值（元/平方米）</v>
      </c>
      <c r="Q48" s="3481"/>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8"/>
      <c r="M49" s="2899"/>
      <c r="N49" s="2890"/>
      <c r="O49" s="2899"/>
      <c r="P49" s="3475" t="str">
        <f>A49</f>
        <v>估价对象XX用房的比较价值（楼面单价，元/平方米）</v>
      </c>
      <c r="Q49" s="3476"/>
      <c r="R49" s="3545" t="e">
        <f>IF(F1="售价",ROUND(IF(D48="简单平均",AVERAGE(R48:V48),R48*F48+T48*H48+V48*J48),0),ROUND(IF(D48="简单平均",AVERAGE(R48:V48),R48*F48+T48*H48+V48*J48),1))</f>
        <v>#DIV/0!</v>
      </c>
      <c r="S49" s="3545"/>
      <c r="T49" s="3545"/>
      <c r="U49" s="3545"/>
      <c r="V49" s="3545"/>
      <c r="W49" s="3545"/>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ht="15">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8275.91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5">
      <c r="A4" s="361" t="s">
        <v>2225</v>
      </c>
      <c r="B4" s="362"/>
      <c r="C4" s="3478" t="s">
        <v>2226</v>
      </c>
      <c r="D4" s="3490"/>
      <c r="E4" s="3491" t="s">
        <v>2227</v>
      </c>
      <c r="F4" s="3492"/>
      <c r="G4" s="3478" t="s">
        <v>2228</v>
      </c>
      <c r="H4" s="3490"/>
      <c r="I4" s="3478" t="s">
        <v>2229</v>
      </c>
      <c r="J4" s="3490"/>
      <c r="K4" s="567" t="s">
        <v>2230</v>
      </c>
      <c r="L4" s="2889"/>
      <c r="M4" s="2890"/>
      <c r="N4" s="2890"/>
      <c r="O4" s="2890"/>
      <c r="P4" s="3559" t="s">
        <v>2231</v>
      </c>
      <c r="Q4" s="3560"/>
      <c r="R4" s="3563" t="s">
        <v>2227</v>
      </c>
      <c r="S4" s="3564"/>
      <c r="T4" s="3563" t="s">
        <v>2228</v>
      </c>
      <c r="U4" s="3564"/>
      <c r="V4" s="3565" t="s">
        <v>2229</v>
      </c>
      <c r="W4" s="3565"/>
      <c r="X4" s="2094"/>
      <c r="Y4" s="3563" t="s">
        <v>2231</v>
      </c>
      <c r="Z4" s="3564"/>
      <c r="AA4" s="3567" t="s">
        <v>2227</v>
      </c>
      <c r="AB4" s="3567" t="s">
        <v>2228</v>
      </c>
      <c r="AC4" s="3556" t="s">
        <v>2229</v>
      </c>
    </row>
    <row r="5" spans="1:29" ht="15">
      <c r="A5" s="364"/>
      <c r="B5" s="365"/>
      <c r="C5" s="3507" t="s">
        <v>2122</v>
      </c>
      <c r="D5" s="3508"/>
      <c r="E5" s="3514" t="s">
        <v>2123</v>
      </c>
      <c r="F5" s="3515"/>
      <c r="G5" s="3507" t="s">
        <v>2124</v>
      </c>
      <c r="H5" s="3508"/>
      <c r="I5" s="3507" t="s">
        <v>2125</v>
      </c>
      <c r="J5" s="3508"/>
      <c r="K5" s="567"/>
      <c r="L5" s="2889"/>
      <c r="M5" s="2890"/>
      <c r="N5" s="2890"/>
      <c r="O5" s="2890"/>
      <c r="P5" s="3561"/>
      <c r="Q5" s="3496"/>
      <c r="R5" s="3501"/>
      <c r="S5" s="3502"/>
      <c r="T5" s="3501"/>
      <c r="U5" s="3502"/>
      <c r="V5" s="3486"/>
      <c r="W5" s="3486"/>
      <c r="X5" s="1490"/>
      <c r="Y5" s="3501"/>
      <c r="Z5" s="3502"/>
      <c r="AA5" s="3488"/>
      <c r="AB5" s="3488"/>
      <c r="AC5" s="3557"/>
    </row>
    <row r="6" spans="1:29" ht="15.75" thickBot="1">
      <c r="A6" s="366"/>
      <c r="B6" s="367"/>
      <c r="C6" s="3505" t="s">
        <v>2126</v>
      </c>
      <c r="D6" s="3506"/>
      <c r="E6" s="3512" t="s">
        <v>2126</v>
      </c>
      <c r="F6" s="3513"/>
      <c r="G6" s="3505" t="s">
        <v>2126</v>
      </c>
      <c r="H6" s="3506"/>
      <c r="I6" s="3505" t="s">
        <v>2126</v>
      </c>
      <c r="J6" s="3506"/>
      <c r="K6" s="567" t="s">
        <v>2127</v>
      </c>
      <c r="L6" s="2889"/>
      <c r="M6" s="2890"/>
      <c r="N6" s="2890"/>
      <c r="O6" s="2890"/>
      <c r="P6" s="3562"/>
      <c r="Q6" s="3498"/>
      <c r="R6" s="3501"/>
      <c r="S6" s="3502"/>
      <c r="T6" s="3503"/>
      <c r="U6" s="3504"/>
      <c r="V6" s="3486"/>
      <c r="W6" s="3486"/>
      <c r="X6" s="1490"/>
      <c r="Y6" s="3503"/>
      <c r="Z6" s="3504"/>
      <c r="AA6" s="3489"/>
      <c r="AB6" s="3489"/>
      <c r="AC6" s="3558"/>
    </row>
    <row r="7" spans="1:29" s="113" customFormat="1" ht="15.7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66" t="s">
        <v>2129</v>
      </c>
      <c r="Q7" s="3511"/>
      <c r="R7" s="710" t="s">
        <v>17</v>
      </c>
      <c r="S7" s="711">
        <f t="shared" ref="S7:S15" si="0">F7</f>
        <v>0</v>
      </c>
      <c r="T7" s="710" t="s">
        <v>17</v>
      </c>
      <c r="U7" s="711">
        <f t="shared" ref="U7:U15" si="1">H7</f>
        <v>0</v>
      </c>
      <c r="V7" s="710" t="s">
        <v>17</v>
      </c>
      <c r="W7" s="711">
        <f t="shared" ref="W7:W15" si="2">J7</f>
        <v>0</v>
      </c>
      <c r="X7" s="712"/>
      <c r="Y7" s="3509" t="s">
        <v>2129</v>
      </c>
      <c r="Z7" s="3510"/>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66" t="s">
        <v>2132</v>
      </c>
      <c r="Q8" s="3510"/>
      <c r="R8" s="710" t="s">
        <v>17</v>
      </c>
      <c r="S8" s="711">
        <f t="shared" si="0"/>
        <v>0</v>
      </c>
      <c r="T8" s="710" t="s">
        <v>17</v>
      </c>
      <c r="U8" s="711">
        <f t="shared" si="1"/>
        <v>0</v>
      </c>
      <c r="V8" s="710" t="s">
        <v>17</v>
      </c>
      <c r="W8" s="711">
        <f t="shared" si="2"/>
        <v>0</v>
      </c>
      <c r="X8" s="712"/>
      <c r="Y8" s="3509" t="s">
        <v>2132</v>
      </c>
      <c r="Z8" s="3510"/>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80" t="s">
        <v>2135</v>
      </c>
      <c r="Q9" s="1478" t="str">
        <f t="shared" ref="Q9:Q15" si="6">B9</f>
        <v>用途</v>
      </c>
      <c r="R9" s="710" t="s">
        <v>17</v>
      </c>
      <c r="S9" s="711">
        <f t="shared" si="0"/>
        <v>100</v>
      </c>
      <c r="T9" s="710" t="s">
        <v>17</v>
      </c>
      <c r="U9" s="711">
        <f t="shared" si="1"/>
        <v>100</v>
      </c>
      <c r="V9" s="710" t="s">
        <v>17</v>
      </c>
      <c r="W9" s="711">
        <f t="shared" si="2"/>
        <v>100</v>
      </c>
      <c r="X9" s="712"/>
      <c r="Y9" s="3378"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80"/>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80"/>
      <c r="Q11" s="1478"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80"/>
      <c r="Q12" s="1478">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80"/>
      <c r="Q13" s="1478">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80"/>
      <c r="Q14" s="1478">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51" t="s">
        <v>2140</v>
      </c>
      <c r="Q15" s="1487" t="str">
        <f t="shared" si="6"/>
        <v>办公集聚程度</v>
      </c>
      <c r="R15" s="714" t="s">
        <v>17</v>
      </c>
      <c r="S15" s="715">
        <f t="shared" si="0"/>
        <v>100</v>
      </c>
      <c r="T15" s="714" t="s">
        <v>17</v>
      </c>
      <c r="U15" s="715">
        <f t="shared" si="1"/>
        <v>100</v>
      </c>
      <c r="V15" s="714" t="s">
        <v>17</v>
      </c>
      <c r="W15" s="715">
        <f t="shared" si="2"/>
        <v>100</v>
      </c>
      <c r="X15" s="1490"/>
      <c r="Y15" s="3482"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52"/>
      <c r="Q16" s="1487"/>
      <c r="R16" s="714"/>
      <c r="S16" s="715"/>
      <c r="T16" s="714"/>
      <c r="U16" s="715"/>
      <c r="V16" s="714"/>
      <c r="W16" s="715"/>
      <c r="X16" s="1490"/>
      <c r="Y16" s="3483"/>
      <c r="Z16" s="1491"/>
      <c r="AA16" s="1488">
        <v>1</v>
      </c>
      <c r="AB16" s="1488">
        <v>1</v>
      </c>
      <c r="AC16" s="2098">
        <v>1</v>
      </c>
    </row>
    <row r="17" spans="1:29" ht="128.25">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52"/>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52"/>
      <c r="Q18" s="1487"/>
      <c r="R18" s="714"/>
      <c r="S18" s="715"/>
      <c r="T18" s="714"/>
      <c r="U18" s="715"/>
      <c r="V18" s="714"/>
      <c r="W18" s="715"/>
      <c r="X18" s="1490"/>
      <c r="Y18" s="3483"/>
      <c r="Z18" s="1491"/>
      <c r="AA18" s="1488">
        <v>1</v>
      </c>
      <c r="AB18" s="1488">
        <v>1</v>
      </c>
      <c r="AC18" s="2098">
        <v>1</v>
      </c>
    </row>
    <row r="19" spans="1:29" ht="57">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52"/>
      <c r="Q19" s="1487" t="str">
        <f>B19</f>
        <v>公共配套设施</v>
      </c>
      <c r="R19" s="714" t="s">
        <v>17</v>
      </c>
      <c r="S19" s="715">
        <f>F19</f>
        <v>100</v>
      </c>
      <c r="T19" s="714" t="s">
        <v>17</v>
      </c>
      <c r="U19" s="715">
        <f>H19</f>
        <v>100</v>
      </c>
      <c r="V19" s="714" t="s">
        <v>17</v>
      </c>
      <c r="W19" s="715">
        <f>J19</f>
        <v>100</v>
      </c>
      <c r="X19" s="1490"/>
      <c r="Y19" s="3483"/>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52"/>
      <c r="Q20" s="1487"/>
      <c r="R20" s="714"/>
      <c r="S20" s="715"/>
      <c r="T20" s="714"/>
      <c r="U20" s="715"/>
      <c r="V20" s="714"/>
      <c r="W20" s="715"/>
      <c r="X20" s="1490"/>
      <c r="Y20" s="3483"/>
      <c r="Z20" s="1491"/>
      <c r="AA20" s="1488">
        <v>1</v>
      </c>
      <c r="AB20" s="1488">
        <v>1</v>
      </c>
      <c r="AC20" s="2098">
        <v>1</v>
      </c>
    </row>
    <row r="21" spans="1:29" ht="42.75">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52"/>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52"/>
      <c r="Q22" s="1487"/>
      <c r="R22" s="714"/>
      <c r="S22" s="715"/>
      <c r="T22" s="714"/>
      <c r="U22" s="715"/>
      <c r="V22" s="714"/>
      <c r="W22" s="715"/>
      <c r="X22" s="1490"/>
      <c r="Y22" s="3483"/>
      <c r="Z22" s="1491"/>
      <c r="AA22" s="1488">
        <v>1</v>
      </c>
      <c r="AB22" s="1488">
        <v>1</v>
      </c>
      <c r="AC22" s="2098">
        <v>1</v>
      </c>
    </row>
    <row r="23" spans="1:29" ht="71.25">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52"/>
      <c r="Q23" s="1487" t="str">
        <f>B23</f>
        <v>环境质量</v>
      </c>
      <c r="R23" s="714" t="s">
        <v>17</v>
      </c>
      <c r="S23" s="715">
        <f>F23</f>
        <v>100</v>
      </c>
      <c r="T23" s="714" t="s">
        <v>17</v>
      </c>
      <c r="U23" s="715">
        <f>H23</f>
        <v>100</v>
      </c>
      <c r="V23" s="714" t="s">
        <v>17</v>
      </c>
      <c r="W23" s="715">
        <f>J23</f>
        <v>100</v>
      </c>
      <c r="X23" s="1490"/>
      <c r="Y23" s="3483"/>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52"/>
      <c r="Q24" s="1487"/>
      <c r="R24" s="714"/>
      <c r="S24" s="715"/>
      <c r="T24" s="714"/>
      <c r="U24" s="715"/>
      <c r="V24" s="714"/>
      <c r="W24" s="715"/>
      <c r="X24" s="1490"/>
      <c r="Y24" s="3483"/>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52"/>
      <c r="Q25" s="1487" t="str">
        <f>B25</f>
        <v>毗邻道路的类型与等级</v>
      </c>
      <c r="R25" s="714" t="s">
        <v>17</v>
      </c>
      <c r="S25" s="715">
        <f>F25</f>
        <v>100</v>
      </c>
      <c r="T25" s="714" t="s">
        <v>17</v>
      </c>
      <c r="U25" s="715">
        <f>H25</f>
        <v>100</v>
      </c>
      <c r="V25" s="714" t="s">
        <v>17</v>
      </c>
      <c r="W25" s="715">
        <f>J25</f>
        <v>100</v>
      </c>
      <c r="X25" s="1490"/>
      <c r="Y25" s="3483"/>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52"/>
      <c r="Q26" s="1487"/>
      <c r="R26" s="714"/>
      <c r="S26" s="715"/>
      <c r="T26" s="714"/>
      <c r="U26" s="715"/>
      <c r="V26" s="714"/>
      <c r="W26" s="715"/>
      <c r="X26" s="1490"/>
      <c r="Y26" s="3483"/>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52"/>
      <c r="Q27" s="1487" t="str">
        <f t="shared" ref="Q27:Q47" si="11">B27</f>
        <v>楼层</v>
      </c>
      <c r="R27" s="714" t="s">
        <v>17</v>
      </c>
      <c r="S27" s="715">
        <f>F27</f>
        <v>100</v>
      </c>
      <c r="T27" s="714" t="s">
        <v>17</v>
      </c>
      <c r="U27" s="715">
        <f>H27</f>
        <v>100</v>
      </c>
      <c r="V27" s="714" t="s">
        <v>17</v>
      </c>
      <c r="W27" s="715">
        <f>J27</f>
        <v>100</v>
      </c>
      <c r="X27" s="1490"/>
      <c r="Y27" s="3483"/>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52"/>
      <c r="Q28" s="1478" t="str">
        <f t="shared" si="11"/>
        <v>朝向</v>
      </c>
      <c r="R28" s="710" t="s">
        <v>17</v>
      </c>
      <c r="S28" s="711">
        <f>F28</f>
        <v>100</v>
      </c>
      <c r="T28" s="710" t="s">
        <v>17</v>
      </c>
      <c r="U28" s="711">
        <f>H28</f>
        <v>100</v>
      </c>
      <c r="V28" s="710" t="s">
        <v>17</v>
      </c>
      <c r="W28" s="711">
        <f>J28</f>
        <v>100</v>
      </c>
      <c r="X28" s="712"/>
      <c r="Y28" s="3483"/>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52"/>
      <c r="Q29" s="1487">
        <f t="shared" si="11"/>
        <v>111</v>
      </c>
      <c r="R29" s="714" t="s">
        <v>17</v>
      </c>
      <c r="S29" s="715">
        <f t="shared" ref="S29:S47" si="12">F29</f>
        <v>100</v>
      </c>
      <c r="T29" s="714" t="s">
        <v>17</v>
      </c>
      <c r="U29" s="715">
        <f t="shared" ref="U29:U47" si="13">H29</f>
        <v>100</v>
      </c>
      <c r="V29" s="714" t="s">
        <v>17</v>
      </c>
      <c r="W29" s="715">
        <f t="shared" ref="W29:W47" si="14">J29</f>
        <v>100</v>
      </c>
      <c r="X29" s="1490"/>
      <c r="Y29" s="3483"/>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52"/>
      <c r="Q30" s="1487">
        <f t="shared" si="11"/>
        <v>111</v>
      </c>
      <c r="R30" s="714" t="s">
        <v>17</v>
      </c>
      <c r="S30" s="715">
        <f t="shared" si="12"/>
        <v>100</v>
      </c>
      <c r="T30" s="714" t="s">
        <v>17</v>
      </c>
      <c r="U30" s="715">
        <f t="shared" si="13"/>
        <v>100</v>
      </c>
      <c r="V30" s="714" t="s">
        <v>17</v>
      </c>
      <c r="W30" s="715">
        <f t="shared" si="14"/>
        <v>100</v>
      </c>
      <c r="X30" s="1490"/>
      <c r="Y30" s="3483"/>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52"/>
      <c r="Q31" s="1487">
        <f t="shared" si="11"/>
        <v>111</v>
      </c>
      <c r="R31" s="714" t="s">
        <v>17</v>
      </c>
      <c r="S31" s="715">
        <f t="shared" si="12"/>
        <v>100</v>
      </c>
      <c r="T31" s="714" t="s">
        <v>17</v>
      </c>
      <c r="U31" s="715">
        <f t="shared" si="13"/>
        <v>100</v>
      </c>
      <c r="V31" s="714" t="s">
        <v>17</v>
      </c>
      <c r="W31" s="715">
        <f t="shared" si="14"/>
        <v>100</v>
      </c>
      <c r="X31" s="1490"/>
      <c r="Y31" s="3483"/>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52"/>
      <c r="Q32" s="1487">
        <f t="shared" si="11"/>
        <v>111</v>
      </c>
      <c r="R32" s="714" t="s">
        <v>17</v>
      </c>
      <c r="S32" s="715">
        <f t="shared" si="12"/>
        <v>100</v>
      </c>
      <c r="T32" s="714" t="s">
        <v>17</v>
      </c>
      <c r="U32" s="715">
        <f t="shared" si="13"/>
        <v>100</v>
      </c>
      <c r="V32" s="714" t="s">
        <v>17</v>
      </c>
      <c r="W32" s="715">
        <f t="shared" si="14"/>
        <v>100</v>
      </c>
      <c r="X32" s="1490"/>
      <c r="Y32" s="3483"/>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47" t="s">
        <v>2145</v>
      </c>
      <c r="Q33" s="1487" t="str">
        <f t="shared" si="11"/>
        <v>建筑类型</v>
      </c>
      <c r="R33" s="714" t="s">
        <v>17</v>
      </c>
      <c r="S33" s="715">
        <f t="shared" si="12"/>
        <v>100</v>
      </c>
      <c r="T33" s="714" t="s">
        <v>17</v>
      </c>
      <c r="U33" s="715">
        <f t="shared" si="13"/>
        <v>100</v>
      </c>
      <c r="V33" s="714" t="s">
        <v>17</v>
      </c>
      <c r="W33" s="715">
        <f t="shared" si="14"/>
        <v>100</v>
      </c>
      <c r="X33" s="1490"/>
      <c r="Y33" s="3485"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48"/>
      <c r="Q34" s="716" t="str">
        <f t="shared" si="11"/>
        <v>项目建筑规模</v>
      </c>
      <c r="R34" s="717" t="s">
        <v>17</v>
      </c>
      <c r="S34" s="718" t="e">
        <f t="shared" si="12"/>
        <v>#N/A</v>
      </c>
      <c r="T34" s="717" t="s">
        <v>17</v>
      </c>
      <c r="U34" s="718" t="e">
        <f t="shared" si="13"/>
        <v>#N/A</v>
      </c>
      <c r="V34" s="717" t="s">
        <v>17</v>
      </c>
      <c r="W34" s="718" t="e">
        <f t="shared" si="14"/>
        <v>#N/A</v>
      </c>
      <c r="X34" s="719"/>
      <c r="Y34" s="3485"/>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48"/>
      <c r="Q35" s="1487" t="str">
        <f t="shared" si="11"/>
        <v>建筑结构</v>
      </c>
      <c r="R35" s="714" t="s">
        <v>17</v>
      </c>
      <c r="S35" s="715">
        <f t="shared" si="12"/>
        <v>100</v>
      </c>
      <c r="T35" s="714" t="s">
        <v>17</v>
      </c>
      <c r="U35" s="715">
        <f t="shared" si="13"/>
        <v>100</v>
      </c>
      <c r="V35" s="714" t="s">
        <v>17</v>
      </c>
      <c r="W35" s="715">
        <f t="shared" si="14"/>
        <v>100</v>
      </c>
      <c r="X35" s="1490"/>
      <c r="Y35" s="3485"/>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48"/>
      <c r="Q36" s="1487" t="str">
        <f t="shared" si="11"/>
        <v>公共部分装修</v>
      </c>
      <c r="R36" s="714" t="s">
        <v>17</v>
      </c>
      <c r="S36" s="715">
        <f t="shared" si="12"/>
        <v>100</v>
      </c>
      <c r="T36" s="714" t="s">
        <v>17</v>
      </c>
      <c r="U36" s="715">
        <f t="shared" si="13"/>
        <v>100</v>
      </c>
      <c r="V36" s="714" t="s">
        <v>17</v>
      </c>
      <c r="W36" s="715">
        <f t="shared" si="14"/>
        <v>100</v>
      </c>
      <c r="X36" s="1490"/>
      <c r="Y36" s="3485"/>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48"/>
      <c r="Q37" s="1487" t="str">
        <f t="shared" si="11"/>
        <v>成新度</v>
      </c>
      <c r="R37" s="714" t="s">
        <v>17</v>
      </c>
      <c r="S37" s="715" t="e">
        <f t="shared" si="12"/>
        <v>#N/A</v>
      </c>
      <c r="T37" s="714" t="s">
        <v>17</v>
      </c>
      <c r="U37" s="715" t="e">
        <f t="shared" si="13"/>
        <v>#N/A</v>
      </c>
      <c r="V37" s="714" t="s">
        <v>17</v>
      </c>
      <c r="W37" s="715" t="e">
        <f t="shared" si="14"/>
        <v>#N/A</v>
      </c>
      <c r="X37" s="1490"/>
      <c r="Y37" s="3485"/>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48"/>
      <c r="Q38" s="1478" t="str">
        <f t="shared" si="11"/>
        <v>写字楼等级</v>
      </c>
      <c r="R38" s="710" t="s">
        <v>17</v>
      </c>
      <c r="S38" s="711">
        <f t="shared" si="12"/>
        <v>100</v>
      </c>
      <c r="T38" s="710" t="s">
        <v>17</v>
      </c>
      <c r="U38" s="711">
        <f t="shared" si="13"/>
        <v>100</v>
      </c>
      <c r="V38" s="710" t="s">
        <v>17</v>
      </c>
      <c r="W38" s="711">
        <f t="shared" si="14"/>
        <v>100</v>
      </c>
      <c r="X38" s="712"/>
      <c r="Y38" s="3485"/>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48" t="s">
        <v>2145</v>
      </c>
      <c r="Q39" s="1487" t="str">
        <f t="shared" si="11"/>
        <v>物业管理</v>
      </c>
      <c r="R39" s="714" t="s">
        <v>17</v>
      </c>
      <c r="S39" s="715">
        <f t="shared" si="12"/>
        <v>100</v>
      </c>
      <c r="T39" s="714" t="s">
        <v>17</v>
      </c>
      <c r="U39" s="715">
        <f t="shared" si="13"/>
        <v>100</v>
      </c>
      <c r="V39" s="714" t="s">
        <v>17</v>
      </c>
      <c r="W39" s="715">
        <f t="shared" si="14"/>
        <v>100</v>
      </c>
      <c r="X39" s="1490"/>
      <c r="Y39" s="3485"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48"/>
      <c r="Q40" s="1487" t="str">
        <f t="shared" si="11"/>
        <v>市政基础设施</v>
      </c>
      <c r="R40" s="714" t="s">
        <v>17</v>
      </c>
      <c r="S40" s="715">
        <f t="shared" si="12"/>
        <v>100</v>
      </c>
      <c r="T40" s="714" t="s">
        <v>17</v>
      </c>
      <c r="U40" s="715">
        <f t="shared" si="13"/>
        <v>100</v>
      </c>
      <c r="V40" s="714" t="s">
        <v>17</v>
      </c>
      <c r="W40" s="715">
        <f t="shared" si="14"/>
        <v>100</v>
      </c>
      <c r="X40" s="1490"/>
      <c r="Y40" s="3485"/>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48"/>
      <c r="Q41" s="1487" t="str">
        <f t="shared" si="11"/>
        <v>层高</v>
      </c>
      <c r="R41" s="714" t="s">
        <v>17</v>
      </c>
      <c r="S41" s="715">
        <f t="shared" si="12"/>
        <v>100</v>
      </c>
      <c r="T41" s="714" t="s">
        <v>17</v>
      </c>
      <c r="U41" s="715">
        <f t="shared" si="13"/>
        <v>100</v>
      </c>
      <c r="V41" s="714" t="s">
        <v>17</v>
      </c>
      <c r="W41" s="715">
        <f t="shared" si="14"/>
        <v>100</v>
      </c>
      <c r="X41" s="1490"/>
      <c r="Y41" s="3485"/>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48"/>
      <c r="Q42" s="716" t="str">
        <f t="shared" si="11"/>
        <v>单套建筑面积</v>
      </c>
      <c r="R42" s="717" t="s">
        <v>17</v>
      </c>
      <c r="S42" s="718">
        <f t="shared" si="12"/>
        <v>100</v>
      </c>
      <c r="T42" s="717" t="s">
        <v>17</v>
      </c>
      <c r="U42" s="718">
        <f t="shared" si="13"/>
        <v>100</v>
      </c>
      <c r="V42" s="717" t="s">
        <v>17</v>
      </c>
      <c r="W42" s="718">
        <f t="shared" si="14"/>
        <v>100</v>
      </c>
      <c r="X42" s="719"/>
      <c r="Y42" s="3485"/>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48"/>
      <c r="Q43" s="1487" t="str">
        <f t="shared" si="11"/>
        <v>内部装修</v>
      </c>
      <c r="R43" s="714" t="s">
        <v>17</v>
      </c>
      <c r="S43" s="715">
        <f t="shared" si="12"/>
        <v>100</v>
      </c>
      <c r="T43" s="714" t="s">
        <v>17</v>
      </c>
      <c r="U43" s="715">
        <f t="shared" si="13"/>
        <v>100</v>
      </c>
      <c r="V43" s="714" t="s">
        <v>17</v>
      </c>
      <c r="W43" s="715">
        <f t="shared" si="14"/>
        <v>100</v>
      </c>
      <c r="X43" s="1490"/>
      <c r="Y43" s="3485"/>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48"/>
      <c r="Q44" s="1487" t="str">
        <f t="shared" si="11"/>
        <v>内部装修维护情况</v>
      </c>
      <c r="R44" s="714" t="s">
        <v>17</v>
      </c>
      <c r="S44" s="715">
        <f t="shared" si="12"/>
        <v>100</v>
      </c>
      <c r="T44" s="714" t="s">
        <v>17</v>
      </c>
      <c r="U44" s="715">
        <f t="shared" si="13"/>
        <v>100</v>
      </c>
      <c r="V44" s="714" t="s">
        <v>17</v>
      </c>
      <c r="W44" s="715">
        <f t="shared" si="14"/>
        <v>100</v>
      </c>
      <c r="X44" s="1490"/>
      <c r="Y44" s="3485"/>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48"/>
      <c r="Q45" s="1478">
        <f t="shared" si="11"/>
        <v>111</v>
      </c>
      <c r="R45" s="710" t="s">
        <v>17</v>
      </c>
      <c r="S45" s="711">
        <f t="shared" si="12"/>
        <v>100</v>
      </c>
      <c r="T45" s="710" t="s">
        <v>17</v>
      </c>
      <c r="U45" s="711">
        <f t="shared" si="13"/>
        <v>100</v>
      </c>
      <c r="V45" s="710" t="s">
        <v>17</v>
      </c>
      <c r="W45" s="711">
        <f t="shared" si="14"/>
        <v>100</v>
      </c>
      <c r="X45" s="712"/>
      <c r="Y45" s="3485"/>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48"/>
      <c r="Q46" s="1487">
        <f t="shared" si="11"/>
        <v>111</v>
      </c>
      <c r="R46" s="714" t="s">
        <v>17</v>
      </c>
      <c r="S46" s="715">
        <f t="shared" si="12"/>
        <v>100</v>
      </c>
      <c r="T46" s="714" t="s">
        <v>17</v>
      </c>
      <c r="U46" s="715">
        <f t="shared" si="13"/>
        <v>100</v>
      </c>
      <c r="V46" s="714" t="s">
        <v>17</v>
      </c>
      <c r="W46" s="715">
        <f t="shared" si="14"/>
        <v>100</v>
      </c>
      <c r="X46" s="1490"/>
      <c r="Y46" s="3485"/>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49"/>
      <c r="Q47" s="1487">
        <f t="shared" si="11"/>
        <v>111</v>
      </c>
      <c r="R47" s="714" t="s">
        <v>17</v>
      </c>
      <c r="S47" s="715">
        <f t="shared" si="12"/>
        <v>100</v>
      </c>
      <c r="T47" s="714" t="s">
        <v>17</v>
      </c>
      <c r="U47" s="715">
        <f t="shared" si="13"/>
        <v>100</v>
      </c>
      <c r="V47" s="714" t="s">
        <v>17</v>
      </c>
      <c r="W47" s="715">
        <f t="shared" si="14"/>
        <v>100</v>
      </c>
      <c r="X47" s="1490"/>
      <c r="Y47" s="3550"/>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898"/>
      <c r="M48" s="2890"/>
      <c r="N48" s="2890"/>
      <c r="O48" s="2890"/>
      <c r="P48" s="3480" t="str">
        <f>A48</f>
        <v>成交单价（元/平方米）</v>
      </c>
      <c r="Q48" s="3481"/>
      <c r="R48" s="3546">
        <f>E48</f>
        <v>0</v>
      </c>
      <c r="S48" s="3546"/>
      <c r="T48" s="3546">
        <f>G48</f>
        <v>0</v>
      </c>
      <c r="U48" s="3546"/>
      <c r="V48" s="3546">
        <f>I48</f>
        <v>0</v>
      </c>
      <c r="W48" s="3546"/>
      <c r="X48" s="405"/>
      <c r="Y48" s="721"/>
      <c r="Z48" s="405"/>
      <c r="AA48" s="405"/>
      <c r="AB48" s="405"/>
      <c r="AC48" s="586"/>
    </row>
    <row r="49" spans="1:29" ht="15.7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480" t="str">
        <f>A49</f>
        <v>比较价值（元/平方米）</v>
      </c>
      <c r="Q49" s="3481"/>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8"/>
      <c r="M50" s="2890"/>
      <c r="N50" s="2890"/>
      <c r="O50" s="2890"/>
      <c r="P50" s="3553" t="str">
        <f>A50</f>
        <v>估价对象XX用房的比较价值（楼面单价，元/平方米）</v>
      </c>
      <c r="Q50" s="3554"/>
      <c r="R50" s="3555" t="e">
        <f>IF(F1="售价",ROUND(IF(D49="简单平均",AVERAGE(R49:V49),R49*F49+T49*H49+V49*J49),0),ROUND(IF(D49="简单平均",AVERAGE(R49:V49),R49*F49+T49*H49+V49*J49),1))</f>
        <v>#DIV/0!</v>
      </c>
      <c r="S50" s="3555"/>
      <c r="T50" s="3555"/>
      <c r="U50" s="3555"/>
      <c r="V50" s="3555"/>
      <c r="W50" s="3555"/>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ht="15">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8275.91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8" t="s">
        <v>2226</v>
      </c>
      <c r="D4" s="3490"/>
      <c r="E4" s="3491" t="s">
        <v>2227</v>
      </c>
      <c r="F4" s="3492"/>
      <c r="G4" s="3478" t="s">
        <v>2228</v>
      </c>
      <c r="H4" s="3490"/>
      <c r="I4" s="3478" t="s">
        <v>2229</v>
      </c>
      <c r="J4" s="3490"/>
      <c r="K4" s="567" t="s">
        <v>2230</v>
      </c>
      <c r="L4" s="1025"/>
      <c r="M4" s="1026"/>
      <c r="N4" s="1026"/>
      <c r="O4" s="1026"/>
      <c r="P4" s="3493" t="s">
        <v>2231</v>
      </c>
      <c r="Q4" s="3494"/>
      <c r="R4" s="3499" t="s">
        <v>2227</v>
      </c>
      <c r="S4" s="3500"/>
      <c r="T4" s="3499" t="s">
        <v>2228</v>
      </c>
      <c r="U4" s="3500"/>
      <c r="V4" s="3486" t="s">
        <v>2229</v>
      </c>
      <c r="W4" s="3486"/>
      <c r="X4" s="1490"/>
      <c r="Y4" s="3499" t="s">
        <v>2231</v>
      </c>
      <c r="Z4" s="3500"/>
      <c r="AA4" s="3487" t="s">
        <v>2227</v>
      </c>
      <c r="AB4" s="3488" t="s">
        <v>2228</v>
      </c>
      <c r="AC4" s="3487" t="s">
        <v>2229</v>
      </c>
    </row>
    <row r="5" spans="1:29" ht="15">
      <c r="A5" s="364"/>
      <c r="B5" s="365"/>
      <c r="C5" s="3507" t="s">
        <v>2122</v>
      </c>
      <c r="D5" s="3508"/>
      <c r="E5" s="3514" t="s">
        <v>2123</v>
      </c>
      <c r="F5" s="3515"/>
      <c r="G5" s="3507" t="s">
        <v>2124</v>
      </c>
      <c r="H5" s="3508"/>
      <c r="I5" s="3507" t="s">
        <v>2125</v>
      </c>
      <c r="J5" s="3508"/>
      <c r="K5" s="567"/>
      <c r="L5" s="1025"/>
      <c r="M5" s="1026"/>
      <c r="N5" s="1026"/>
      <c r="O5" s="1026"/>
      <c r="P5" s="3495"/>
      <c r="Q5" s="3496"/>
      <c r="R5" s="3501"/>
      <c r="S5" s="3502"/>
      <c r="T5" s="3501"/>
      <c r="U5" s="3502"/>
      <c r="V5" s="3486"/>
      <c r="W5" s="3486"/>
      <c r="X5" s="1490"/>
      <c r="Y5" s="3501"/>
      <c r="Z5" s="3502"/>
      <c r="AA5" s="3488"/>
      <c r="AB5" s="3488"/>
      <c r="AC5" s="3488"/>
    </row>
    <row r="6" spans="1:29" ht="15.75" thickBot="1">
      <c r="A6" s="366"/>
      <c r="B6" s="367"/>
      <c r="C6" s="3505" t="s">
        <v>2126</v>
      </c>
      <c r="D6" s="3506"/>
      <c r="E6" s="3512" t="s">
        <v>2126</v>
      </c>
      <c r="F6" s="3513"/>
      <c r="G6" s="3505" t="s">
        <v>2126</v>
      </c>
      <c r="H6" s="3506"/>
      <c r="I6" s="3505" t="s">
        <v>2126</v>
      </c>
      <c r="J6" s="3506"/>
      <c r="K6" s="567" t="s">
        <v>2127</v>
      </c>
      <c r="L6" s="1025"/>
      <c r="M6" s="1026"/>
      <c r="N6" s="1026"/>
      <c r="O6" s="1026"/>
      <c r="P6" s="3497"/>
      <c r="Q6" s="3498"/>
      <c r="R6" s="3501"/>
      <c r="S6" s="3502"/>
      <c r="T6" s="3503"/>
      <c r="U6" s="3504"/>
      <c r="V6" s="3486"/>
      <c r="W6" s="3486"/>
      <c r="X6" s="1490"/>
      <c r="Y6" s="3503"/>
      <c r="Z6" s="3504"/>
      <c r="AA6" s="3489"/>
      <c r="AB6" s="3489"/>
      <c r="AC6" s="3489"/>
    </row>
    <row r="7" spans="1:29" s="113" customFormat="1" ht="15.7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9" t="s">
        <v>2129</v>
      </c>
      <c r="Q7" s="3511"/>
      <c r="R7" s="710" t="s">
        <v>17</v>
      </c>
      <c r="S7" s="711">
        <f t="shared" ref="S7:S15" si="0">F7</f>
        <v>0</v>
      </c>
      <c r="T7" s="710" t="s">
        <v>17</v>
      </c>
      <c r="U7" s="711">
        <f t="shared" ref="U7:U15" si="1">H7</f>
        <v>0</v>
      </c>
      <c r="V7" s="710" t="s">
        <v>17</v>
      </c>
      <c r="W7" s="711">
        <f t="shared" ref="W7:W15" si="2">J7</f>
        <v>0</v>
      </c>
      <c r="X7" s="712"/>
      <c r="Y7" s="3509" t="s">
        <v>2129</v>
      </c>
      <c r="Z7" s="351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9" t="s">
        <v>2132</v>
      </c>
      <c r="Q8" s="3510"/>
      <c r="R8" s="710" t="s">
        <v>17</v>
      </c>
      <c r="S8" s="711">
        <f t="shared" si="0"/>
        <v>0</v>
      </c>
      <c r="T8" s="710" t="s">
        <v>17</v>
      </c>
      <c r="U8" s="711">
        <f t="shared" si="1"/>
        <v>0</v>
      </c>
      <c r="V8" s="710" t="s">
        <v>17</v>
      </c>
      <c r="W8" s="711">
        <f t="shared" si="2"/>
        <v>0</v>
      </c>
      <c r="X8" s="712"/>
      <c r="Y8" s="3509" t="s">
        <v>2132</v>
      </c>
      <c r="Z8" s="351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1" t="s">
        <v>2135</v>
      </c>
      <c r="Q9" s="1478" t="str">
        <f t="shared" ref="Q9:Q15" si="6">B9</f>
        <v>用途</v>
      </c>
      <c r="R9" s="710" t="s">
        <v>17</v>
      </c>
      <c r="S9" s="711">
        <f t="shared" si="0"/>
        <v>100</v>
      </c>
      <c r="T9" s="710" t="s">
        <v>17</v>
      </c>
      <c r="U9" s="711">
        <f t="shared" si="1"/>
        <v>100</v>
      </c>
      <c r="V9" s="710" t="s">
        <v>17</v>
      </c>
      <c r="W9" s="711">
        <f t="shared" si="2"/>
        <v>100</v>
      </c>
      <c r="X9" s="712"/>
      <c r="Y9" s="337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1"/>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1"/>
      <c r="Q11" s="1478"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81"/>
      <c r="Q12" s="1478">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81"/>
      <c r="Q13" s="1478">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81"/>
      <c r="Q14" s="1478">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2" t="s">
        <v>2140</v>
      </c>
      <c r="Q15" s="1487" t="str">
        <f t="shared" si="6"/>
        <v>产业集聚程度</v>
      </c>
      <c r="R15" s="714" t="s">
        <v>17</v>
      </c>
      <c r="S15" s="715">
        <f t="shared" si="0"/>
        <v>100</v>
      </c>
      <c r="T15" s="714" t="s">
        <v>17</v>
      </c>
      <c r="U15" s="715">
        <f t="shared" si="1"/>
        <v>100</v>
      </c>
      <c r="V15" s="714" t="s">
        <v>17</v>
      </c>
      <c r="W15" s="715">
        <f t="shared" si="2"/>
        <v>100</v>
      </c>
      <c r="X15" s="1490"/>
      <c r="Y15" s="348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3"/>
      <c r="Q16" s="1487"/>
      <c r="R16" s="714"/>
      <c r="S16" s="715"/>
      <c r="T16" s="714"/>
      <c r="U16" s="715"/>
      <c r="V16" s="714"/>
      <c r="W16" s="715"/>
      <c r="X16" s="1490"/>
      <c r="Y16" s="3483"/>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3"/>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83"/>
      <c r="Q18" s="1487"/>
      <c r="R18" s="714"/>
      <c r="S18" s="715"/>
      <c r="T18" s="714"/>
      <c r="U18" s="715"/>
      <c r="V18" s="714"/>
      <c r="W18" s="715"/>
      <c r="X18" s="1490"/>
      <c r="Y18" s="3483"/>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3"/>
      <c r="Q19" s="1487" t="str">
        <f>B19</f>
        <v>公共配套设施</v>
      </c>
      <c r="R19" s="714" t="s">
        <v>17</v>
      </c>
      <c r="S19" s="715">
        <f>F19</f>
        <v>100</v>
      </c>
      <c r="T19" s="714" t="s">
        <v>17</v>
      </c>
      <c r="U19" s="715">
        <f>H19</f>
        <v>100</v>
      </c>
      <c r="V19" s="714" t="s">
        <v>17</v>
      </c>
      <c r="W19" s="715">
        <f>J19</f>
        <v>100</v>
      </c>
      <c r="X19" s="1490"/>
      <c r="Y19" s="3483"/>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83"/>
      <c r="Q20" s="1487"/>
      <c r="R20" s="714"/>
      <c r="S20" s="715"/>
      <c r="T20" s="714"/>
      <c r="U20" s="715"/>
      <c r="V20" s="714"/>
      <c r="W20" s="715"/>
      <c r="X20" s="1490"/>
      <c r="Y20" s="3483"/>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3"/>
      <c r="Q21" s="1487" t="str">
        <f>B21</f>
        <v>基础设施水平</v>
      </c>
      <c r="R21" s="714" t="s">
        <v>17</v>
      </c>
      <c r="S21" s="715">
        <f>F21</f>
        <v>100</v>
      </c>
      <c r="T21" s="714" t="s">
        <v>17</v>
      </c>
      <c r="U21" s="715">
        <f>H21</f>
        <v>100</v>
      </c>
      <c r="V21" s="714" t="s">
        <v>17</v>
      </c>
      <c r="W21" s="715">
        <f>J21</f>
        <v>100</v>
      </c>
      <c r="X21" s="1490"/>
      <c r="Y21" s="3483"/>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83"/>
      <c r="Q22" s="1487"/>
      <c r="R22" s="714"/>
      <c r="S22" s="715"/>
      <c r="T22" s="714"/>
      <c r="U22" s="715"/>
      <c r="V22" s="714"/>
      <c r="W22" s="715"/>
      <c r="X22" s="1490"/>
      <c r="Y22" s="3483"/>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3"/>
      <c r="Q23" s="1487" t="str">
        <f>B23</f>
        <v>环境质量</v>
      </c>
      <c r="R23" s="714" t="s">
        <v>17</v>
      </c>
      <c r="S23" s="715">
        <f>F23</f>
        <v>100</v>
      </c>
      <c r="T23" s="714" t="s">
        <v>17</v>
      </c>
      <c r="U23" s="715">
        <f>H23</f>
        <v>100</v>
      </c>
      <c r="V23" s="714" t="s">
        <v>17</v>
      </c>
      <c r="W23" s="715">
        <f>J23</f>
        <v>100</v>
      </c>
      <c r="X23" s="1490"/>
      <c r="Y23" s="3483"/>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83"/>
      <c r="Q24" s="1487"/>
      <c r="R24" s="714"/>
      <c r="S24" s="715"/>
      <c r="T24" s="714"/>
      <c r="U24" s="715"/>
      <c r="V24" s="714"/>
      <c r="W24" s="715"/>
      <c r="X24" s="1490"/>
      <c r="Y24" s="348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3"/>
      <c r="Q25" s="1487">
        <f>B25</f>
        <v>111</v>
      </c>
      <c r="R25" s="714" t="s">
        <v>17</v>
      </c>
      <c r="S25" s="715">
        <f>F25</f>
        <v>100</v>
      </c>
      <c r="T25" s="714" t="s">
        <v>17</v>
      </c>
      <c r="U25" s="715">
        <f>H25</f>
        <v>100</v>
      </c>
      <c r="V25" s="714" t="s">
        <v>17</v>
      </c>
      <c r="W25" s="715">
        <f>J25</f>
        <v>100</v>
      </c>
      <c r="X25" s="1490"/>
      <c r="Y25" s="348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3"/>
      <c r="Q26" s="1487">
        <f t="shared" ref="Q26:Q40" si="11">B26</f>
        <v>111</v>
      </c>
      <c r="R26" s="714" t="s">
        <v>17</v>
      </c>
      <c r="S26" s="715">
        <f>F26</f>
        <v>100</v>
      </c>
      <c r="T26" s="714" t="s">
        <v>17</v>
      </c>
      <c r="U26" s="715">
        <f>H26</f>
        <v>100</v>
      </c>
      <c r="V26" s="714" t="s">
        <v>17</v>
      </c>
      <c r="W26" s="715">
        <f>J26</f>
        <v>100</v>
      </c>
      <c r="X26" s="1490"/>
      <c r="Y26" s="348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3"/>
      <c r="Q27" s="1478">
        <f t="shared" si="11"/>
        <v>111</v>
      </c>
      <c r="R27" s="710" t="s">
        <v>17</v>
      </c>
      <c r="S27" s="711">
        <f>F27</f>
        <v>100</v>
      </c>
      <c r="T27" s="710" t="s">
        <v>17</v>
      </c>
      <c r="U27" s="711">
        <f>H27</f>
        <v>100</v>
      </c>
      <c r="V27" s="710" t="s">
        <v>17</v>
      </c>
      <c r="W27" s="711">
        <f>J27</f>
        <v>100</v>
      </c>
      <c r="X27" s="712"/>
      <c r="Y27" s="348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3"/>
      <c r="Q28" s="1487">
        <f t="shared" si="11"/>
        <v>111</v>
      </c>
      <c r="R28" s="714" t="s">
        <v>17</v>
      </c>
      <c r="S28" s="715">
        <f t="shared" ref="S28:S40" si="12">F28</f>
        <v>100</v>
      </c>
      <c r="T28" s="714" t="s">
        <v>17</v>
      </c>
      <c r="U28" s="715">
        <f t="shared" ref="U28:U40" si="13">H28</f>
        <v>100</v>
      </c>
      <c r="V28" s="714" t="s">
        <v>17</v>
      </c>
      <c r="W28" s="715">
        <f t="shared" ref="W28:W40" si="14">J28</f>
        <v>100</v>
      </c>
      <c r="X28" s="1490"/>
      <c r="Y28" s="3483"/>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84" t="s">
        <v>2145</v>
      </c>
      <c r="Q29" s="1487" t="str">
        <f t="shared" si="11"/>
        <v>建筑类型</v>
      </c>
      <c r="R29" s="714" t="s">
        <v>17</v>
      </c>
      <c r="S29" s="715">
        <f t="shared" si="12"/>
        <v>100</v>
      </c>
      <c r="T29" s="714" t="s">
        <v>17</v>
      </c>
      <c r="U29" s="715">
        <f t="shared" si="13"/>
        <v>100</v>
      </c>
      <c r="V29" s="714" t="s">
        <v>17</v>
      </c>
      <c r="W29" s="715">
        <f t="shared" si="14"/>
        <v>100</v>
      </c>
      <c r="X29" s="1490"/>
      <c r="Y29" s="3485"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5"/>
      <c r="Q30" s="716" t="str">
        <f t="shared" si="11"/>
        <v>项目建筑规模</v>
      </c>
      <c r="R30" s="717" t="s">
        <v>17</v>
      </c>
      <c r="S30" s="718" t="e">
        <f t="shared" si="12"/>
        <v>#N/A</v>
      </c>
      <c r="T30" s="717" t="s">
        <v>17</v>
      </c>
      <c r="U30" s="718" t="e">
        <f t="shared" si="13"/>
        <v>#N/A</v>
      </c>
      <c r="V30" s="717" t="s">
        <v>17</v>
      </c>
      <c r="W30" s="718" t="e">
        <f t="shared" si="14"/>
        <v>#N/A</v>
      </c>
      <c r="X30" s="719"/>
      <c r="Y30" s="3485"/>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5"/>
      <c r="Q31" s="1487" t="str">
        <f t="shared" si="11"/>
        <v>建筑结构</v>
      </c>
      <c r="R31" s="714" t="s">
        <v>17</v>
      </c>
      <c r="S31" s="715">
        <f t="shared" si="12"/>
        <v>100</v>
      </c>
      <c r="T31" s="714" t="s">
        <v>17</v>
      </c>
      <c r="U31" s="715">
        <f t="shared" si="13"/>
        <v>100</v>
      </c>
      <c r="V31" s="714" t="s">
        <v>17</v>
      </c>
      <c r="W31" s="715">
        <f t="shared" si="14"/>
        <v>100</v>
      </c>
      <c r="X31" s="1490"/>
      <c r="Y31" s="3485"/>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5"/>
      <c r="Q32" s="1487" t="str">
        <f t="shared" si="11"/>
        <v>公共部分装修</v>
      </c>
      <c r="R32" s="714" t="s">
        <v>17</v>
      </c>
      <c r="S32" s="715">
        <f t="shared" si="12"/>
        <v>100</v>
      </c>
      <c r="T32" s="714" t="s">
        <v>17</v>
      </c>
      <c r="U32" s="715">
        <f t="shared" si="13"/>
        <v>100</v>
      </c>
      <c r="V32" s="714" t="s">
        <v>17</v>
      </c>
      <c r="W32" s="715">
        <f t="shared" si="14"/>
        <v>100</v>
      </c>
      <c r="X32" s="1490"/>
      <c r="Y32" s="3485"/>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5"/>
      <c r="Q33" s="1487" t="str">
        <f t="shared" si="11"/>
        <v>成新度</v>
      </c>
      <c r="R33" s="714" t="s">
        <v>17</v>
      </c>
      <c r="S33" s="715" t="e">
        <f t="shared" si="12"/>
        <v>#N/A</v>
      </c>
      <c r="T33" s="714" t="s">
        <v>17</v>
      </c>
      <c r="U33" s="715" t="e">
        <f t="shared" si="13"/>
        <v>#N/A</v>
      </c>
      <c r="V33" s="714" t="s">
        <v>17</v>
      </c>
      <c r="W33" s="715" t="e">
        <f t="shared" si="14"/>
        <v>#N/A</v>
      </c>
      <c r="X33" s="1490"/>
      <c r="Y33" s="3485"/>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5"/>
      <c r="Q34" s="1478" t="str">
        <f t="shared" si="11"/>
        <v>物业管理</v>
      </c>
      <c r="R34" s="710" t="s">
        <v>17</v>
      </c>
      <c r="S34" s="711">
        <f t="shared" si="12"/>
        <v>100</v>
      </c>
      <c r="T34" s="710" t="s">
        <v>17</v>
      </c>
      <c r="U34" s="711">
        <f t="shared" si="13"/>
        <v>100</v>
      </c>
      <c r="V34" s="710" t="s">
        <v>17</v>
      </c>
      <c r="W34" s="711">
        <f t="shared" si="14"/>
        <v>100</v>
      </c>
      <c r="X34" s="712"/>
      <c r="Y34" s="348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5" t="s">
        <v>2145</v>
      </c>
      <c r="Q35" s="1487" t="str">
        <f t="shared" si="11"/>
        <v>市政基础设施</v>
      </c>
      <c r="R35" s="714" t="s">
        <v>17</v>
      </c>
      <c r="S35" s="715">
        <f t="shared" si="12"/>
        <v>100</v>
      </c>
      <c r="T35" s="714" t="s">
        <v>17</v>
      </c>
      <c r="U35" s="715">
        <f t="shared" si="13"/>
        <v>100</v>
      </c>
      <c r="V35" s="714" t="s">
        <v>17</v>
      </c>
      <c r="W35" s="715">
        <f t="shared" si="14"/>
        <v>100</v>
      </c>
      <c r="X35" s="1490"/>
      <c r="Y35" s="3485"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5"/>
      <c r="Q36" s="1487" t="str">
        <f t="shared" si="11"/>
        <v>内部装修</v>
      </c>
      <c r="R36" s="714" t="s">
        <v>17</v>
      </c>
      <c r="S36" s="715">
        <f t="shared" si="12"/>
        <v>100</v>
      </c>
      <c r="T36" s="714" t="s">
        <v>17</v>
      </c>
      <c r="U36" s="715">
        <f t="shared" si="13"/>
        <v>100</v>
      </c>
      <c r="V36" s="714" t="s">
        <v>17</v>
      </c>
      <c r="W36" s="715">
        <f t="shared" si="14"/>
        <v>100</v>
      </c>
      <c r="X36" s="1490"/>
      <c r="Y36" s="3485"/>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5"/>
      <c r="Q37" s="1487" t="str">
        <f t="shared" si="11"/>
        <v>内部装修状况</v>
      </c>
      <c r="R37" s="714" t="s">
        <v>17</v>
      </c>
      <c r="S37" s="715">
        <f t="shared" si="12"/>
        <v>100</v>
      </c>
      <c r="T37" s="714" t="s">
        <v>17</v>
      </c>
      <c r="U37" s="715">
        <f t="shared" si="13"/>
        <v>100</v>
      </c>
      <c r="V37" s="714" t="s">
        <v>17</v>
      </c>
      <c r="W37" s="715">
        <f t="shared" si="14"/>
        <v>100</v>
      </c>
      <c r="X37" s="1490"/>
      <c r="Y37" s="348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5"/>
      <c r="Q38" s="716">
        <f t="shared" si="11"/>
        <v>111</v>
      </c>
      <c r="R38" s="717" t="s">
        <v>17</v>
      </c>
      <c r="S38" s="718">
        <f t="shared" si="12"/>
        <v>100</v>
      </c>
      <c r="T38" s="717" t="s">
        <v>17</v>
      </c>
      <c r="U38" s="718">
        <f t="shared" si="13"/>
        <v>100</v>
      </c>
      <c r="V38" s="717" t="s">
        <v>17</v>
      </c>
      <c r="W38" s="718">
        <f t="shared" si="14"/>
        <v>100</v>
      </c>
      <c r="X38" s="719"/>
      <c r="Y38" s="348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5"/>
      <c r="Q39" s="1487">
        <f t="shared" si="11"/>
        <v>111</v>
      </c>
      <c r="R39" s="714" t="s">
        <v>17</v>
      </c>
      <c r="S39" s="715">
        <f t="shared" si="12"/>
        <v>100</v>
      </c>
      <c r="T39" s="714" t="s">
        <v>17</v>
      </c>
      <c r="U39" s="715">
        <f t="shared" si="13"/>
        <v>100</v>
      </c>
      <c r="V39" s="714" t="s">
        <v>17</v>
      </c>
      <c r="W39" s="715">
        <f t="shared" si="14"/>
        <v>100</v>
      </c>
      <c r="X39" s="1490"/>
      <c r="Y39" s="3485"/>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50"/>
      <c r="Q40" s="1487">
        <f t="shared" si="11"/>
        <v>111</v>
      </c>
      <c r="R40" s="714" t="s">
        <v>17</v>
      </c>
      <c r="S40" s="715">
        <f t="shared" si="12"/>
        <v>100</v>
      </c>
      <c r="T40" s="714" t="s">
        <v>17</v>
      </c>
      <c r="U40" s="715">
        <f t="shared" si="13"/>
        <v>100</v>
      </c>
      <c r="V40" s="714" t="s">
        <v>17</v>
      </c>
      <c r="W40" s="715">
        <f t="shared" si="14"/>
        <v>100</v>
      </c>
      <c r="X40" s="1490"/>
      <c r="Y40" s="355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1" t="str">
        <f>A41</f>
        <v>成交单价（元/平方米）</v>
      </c>
      <c r="Q41" s="3481"/>
      <c r="R41" s="3546">
        <f>E41</f>
        <v>0</v>
      </c>
      <c r="S41" s="3546"/>
      <c r="T41" s="3546">
        <f>G41</f>
        <v>0</v>
      </c>
      <c r="U41" s="3546"/>
      <c r="V41" s="3546">
        <f>I41</f>
        <v>0</v>
      </c>
      <c r="W41" s="3546"/>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81" t="str">
        <f>A42</f>
        <v>比较价值（元/平方米）</v>
      </c>
      <c r="Q42" s="3481"/>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5" t="str">
        <f>A43</f>
        <v>估价对象XX用房的比较价值（楼面单价，元/平方米）</v>
      </c>
      <c r="Q43" s="3476"/>
      <c r="R43" s="3545" t="e">
        <f>IF(F1="售价",ROUND(IF(D42="简单平均",AVERAGE(R42:V42),R42*F42+T42*H42+V42*J42),0),ROUND(IF(D42="简单平均",AVERAGE(R42:V42),R42*F42+T42*H42+V42*J42),1))</f>
        <v>#DIV/0!</v>
      </c>
      <c r="S43" s="3545"/>
      <c r="T43" s="3545"/>
      <c r="U43" s="3545"/>
      <c r="V43" s="3545"/>
      <c r="W43" s="3545"/>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5">
      <c r="A4" s="361" t="s">
        <v>2225</v>
      </c>
      <c r="B4" s="362"/>
      <c r="C4" s="3478" t="s">
        <v>2226</v>
      </c>
      <c r="D4" s="3490"/>
      <c r="E4" s="3491" t="s">
        <v>2227</v>
      </c>
      <c r="F4" s="3492"/>
      <c r="G4" s="3478" t="s">
        <v>2228</v>
      </c>
      <c r="H4" s="3490"/>
      <c r="I4" s="3478" t="s">
        <v>2229</v>
      </c>
      <c r="J4" s="3490"/>
      <c r="K4" s="567" t="s">
        <v>2230</v>
      </c>
      <c r="L4" s="2889"/>
      <c r="M4" s="2890"/>
      <c r="N4" s="2890"/>
      <c r="O4" s="2890"/>
      <c r="P4" s="3493" t="s">
        <v>2231</v>
      </c>
      <c r="Q4" s="3494"/>
      <c r="R4" s="3499" t="s">
        <v>2227</v>
      </c>
      <c r="S4" s="3500"/>
      <c r="T4" s="3499" t="s">
        <v>2228</v>
      </c>
      <c r="U4" s="3500"/>
      <c r="V4" s="3486" t="s">
        <v>2229</v>
      </c>
      <c r="W4" s="3486"/>
      <c r="X4" s="1490"/>
      <c r="Y4" s="3499" t="s">
        <v>2231</v>
      </c>
      <c r="Z4" s="3500"/>
      <c r="AA4" s="3487" t="s">
        <v>2227</v>
      </c>
      <c r="AB4" s="3488" t="s">
        <v>2228</v>
      </c>
      <c r="AC4" s="3487" t="s">
        <v>2229</v>
      </c>
    </row>
    <row r="5" spans="1:29" ht="15">
      <c r="A5" s="364"/>
      <c r="B5" s="365"/>
      <c r="C5" s="3507" t="s">
        <v>2122</v>
      </c>
      <c r="D5" s="3508"/>
      <c r="E5" s="3514" t="s">
        <v>2123</v>
      </c>
      <c r="F5" s="3515"/>
      <c r="G5" s="3507" t="s">
        <v>2124</v>
      </c>
      <c r="H5" s="3508"/>
      <c r="I5" s="3507" t="s">
        <v>2125</v>
      </c>
      <c r="J5" s="3508"/>
      <c r="K5" s="567"/>
      <c r="L5" s="2889"/>
      <c r="M5" s="2890"/>
      <c r="N5" s="2890"/>
      <c r="O5" s="2890"/>
      <c r="P5" s="3495"/>
      <c r="Q5" s="3496"/>
      <c r="R5" s="3501"/>
      <c r="S5" s="3502"/>
      <c r="T5" s="3501"/>
      <c r="U5" s="3502"/>
      <c r="V5" s="3486"/>
      <c r="W5" s="3486"/>
      <c r="X5" s="1490"/>
      <c r="Y5" s="3501"/>
      <c r="Z5" s="3502"/>
      <c r="AA5" s="3488"/>
      <c r="AB5" s="3488"/>
      <c r="AC5" s="3488"/>
    </row>
    <row r="6" spans="1:29" ht="15.75" thickBot="1">
      <c r="A6" s="366"/>
      <c r="B6" s="367"/>
      <c r="C6" s="3505" t="s">
        <v>2126</v>
      </c>
      <c r="D6" s="3506"/>
      <c r="E6" s="3512" t="s">
        <v>2126</v>
      </c>
      <c r="F6" s="3513"/>
      <c r="G6" s="3505" t="s">
        <v>2126</v>
      </c>
      <c r="H6" s="3506"/>
      <c r="I6" s="3505" t="s">
        <v>2126</v>
      </c>
      <c r="J6" s="3506"/>
      <c r="K6" s="567" t="s">
        <v>2127</v>
      </c>
      <c r="L6" s="2889"/>
      <c r="M6" s="2890"/>
      <c r="N6" s="2890"/>
      <c r="O6" s="2890"/>
      <c r="P6" s="3497"/>
      <c r="Q6" s="3498"/>
      <c r="R6" s="3501"/>
      <c r="S6" s="3502"/>
      <c r="T6" s="3503"/>
      <c r="U6" s="3504"/>
      <c r="V6" s="3486"/>
      <c r="W6" s="3486"/>
      <c r="X6" s="1490"/>
      <c r="Y6" s="3503"/>
      <c r="Z6" s="3504"/>
      <c r="AA6" s="3489"/>
      <c r="AB6" s="3489"/>
      <c r="AC6" s="3489"/>
    </row>
    <row r="7" spans="1:29" s="113" customFormat="1" ht="15.7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09" t="s">
        <v>2129</v>
      </c>
      <c r="Q7" s="3511"/>
      <c r="R7" s="710" t="s">
        <v>17</v>
      </c>
      <c r="S7" s="711">
        <f t="shared" ref="S7:S14" si="0">F7</f>
        <v>0</v>
      </c>
      <c r="T7" s="710" t="s">
        <v>17</v>
      </c>
      <c r="U7" s="711">
        <f t="shared" ref="U7:U14" si="1">H7</f>
        <v>0</v>
      </c>
      <c r="V7" s="710" t="s">
        <v>17</v>
      </c>
      <c r="W7" s="711">
        <f t="shared" ref="W7:W14" si="2">J7</f>
        <v>0</v>
      </c>
      <c r="X7" s="712"/>
      <c r="Y7" s="3509" t="s">
        <v>2129</v>
      </c>
      <c r="Z7" s="351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09" t="s">
        <v>2132</v>
      </c>
      <c r="Q8" s="3510"/>
      <c r="R8" s="710" t="s">
        <v>17</v>
      </c>
      <c r="S8" s="711">
        <f t="shared" si="0"/>
        <v>0</v>
      </c>
      <c r="T8" s="710" t="s">
        <v>17</v>
      </c>
      <c r="U8" s="711">
        <f t="shared" si="1"/>
        <v>0</v>
      </c>
      <c r="V8" s="710" t="s">
        <v>17</v>
      </c>
      <c r="W8" s="711">
        <f t="shared" si="2"/>
        <v>0</v>
      </c>
      <c r="X8" s="712"/>
      <c r="Y8" s="3509" t="s">
        <v>2132</v>
      </c>
      <c r="Z8" s="351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81" t="s">
        <v>2135</v>
      </c>
      <c r="Q9" s="1478" t="str">
        <f t="shared" ref="Q9:Q14" si="6">B9</f>
        <v>用途</v>
      </c>
      <c r="R9" s="710" t="s">
        <v>17</v>
      </c>
      <c r="S9" s="711">
        <f t="shared" si="0"/>
        <v>100</v>
      </c>
      <c r="T9" s="710" t="s">
        <v>17</v>
      </c>
      <c r="U9" s="711">
        <f t="shared" si="1"/>
        <v>100</v>
      </c>
      <c r="V9" s="710" t="s">
        <v>17</v>
      </c>
      <c r="W9" s="711">
        <f t="shared" si="2"/>
        <v>100</v>
      </c>
      <c r="X9" s="712"/>
      <c r="Y9" s="337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81"/>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81"/>
      <c r="Q11" s="1478">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81"/>
      <c r="Q12" s="1478">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81"/>
      <c r="Q13" s="1478">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42.5">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82" t="s">
        <v>2140</v>
      </c>
      <c r="Q14" s="1487" t="str">
        <f t="shared" si="6"/>
        <v>交通便捷度</v>
      </c>
      <c r="R14" s="714" t="s">
        <v>17</v>
      </c>
      <c r="S14" s="715">
        <f t="shared" si="0"/>
        <v>100</v>
      </c>
      <c r="T14" s="714" t="s">
        <v>17</v>
      </c>
      <c r="U14" s="715">
        <f t="shared" si="1"/>
        <v>100</v>
      </c>
      <c r="V14" s="714" t="s">
        <v>17</v>
      </c>
      <c r="W14" s="715">
        <f t="shared" si="2"/>
        <v>100</v>
      </c>
      <c r="X14" s="1490"/>
      <c r="Y14" s="348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483"/>
      <c r="Q15" s="1487"/>
      <c r="R15" s="714"/>
      <c r="S15" s="715"/>
      <c r="T15" s="714"/>
      <c r="U15" s="715"/>
      <c r="V15" s="714"/>
      <c r="W15" s="715"/>
      <c r="X15" s="1490"/>
      <c r="Y15" s="3483"/>
      <c r="Z15" s="1491"/>
      <c r="AA15" s="1488">
        <v>1</v>
      </c>
      <c r="AB15" s="1488">
        <v>1</v>
      </c>
      <c r="AC15" s="1488">
        <v>1</v>
      </c>
    </row>
    <row r="16" spans="1:29" ht="71.25">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83"/>
      <c r="Q16" s="1487" t="str">
        <f>B16</f>
        <v>公共配套设施</v>
      </c>
      <c r="R16" s="714" t="s">
        <v>17</v>
      </c>
      <c r="S16" s="715">
        <f>F16</f>
        <v>100</v>
      </c>
      <c r="T16" s="714" t="s">
        <v>17</v>
      </c>
      <c r="U16" s="715">
        <f>H16</f>
        <v>100</v>
      </c>
      <c r="V16" s="714" t="s">
        <v>17</v>
      </c>
      <c r="W16" s="715">
        <f>J16</f>
        <v>100</v>
      </c>
      <c r="X16" s="1490"/>
      <c r="Y16" s="3483"/>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483"/>
      <c r="Q17" s="1487"/>
      <c r="R17" s="714"/>
      <c r="S17" s="715"/>
      <c r="T17" s="714"/>
      <c r="U17" s="715"/>
      <c r="V17" s="714"/>
      <c r="W17" s="715"/>
      <c r="X17" s="1490"/>
      <c r="Y17" s="3483"/>
      <c r="Z17" s="1491"/>
      <c r="AA17" s="1488">
        <v>1</v>
      </c>
      <c r="AB17" s="1488">
        <v>1</v>
      </c>
      <c r="AC17" s="1488">
        <v>1</v>
      </c>
    </row>
    <row r="18" spans="1:29" ht="42.75">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83"/>
      <c r="Q18" s="1487" t="str">
        <f>B18</f>
        <v>基础设施水平</v>
      </c>
      <c r="R18" s="714" t="s">
        <v>17</v>
      </c>
      <c r="S18" s="715">
        <f>F18</f>
        <v>100</v>
      </c>
      <c r="T18" s="714" t="s">
        <v>17</v>
      </c>
      <c r="U18" s="715">
        <f>H18</f>
        <v>100</v>
      </c>
      <c r="V18" s="714" t="s">
        <v>17</v>
      </c>
      <c r="W18" s="715">
        <f>J18</f>
        <v>100</v>
      </c>
      <c r="X18" s="1490"/>
      <c r="Y18" s="3483"/>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483"/>
      <c r="Q19" s="1487"/>
      <c r="R19" s="714"/>
      <c r="S19" s="715"/>
      <c r="T19" s="714"/>
      <c r="U19" s="715"/>
      <c r="V19" s="714"/>
      <c r="W19" s="715"/>
      <c r="X19" s="1490"/>
      <c r="Y19" s="3483"/>
      <c r="Z19" s="1491"/>
      <c r="AA19" s="1488">
        <v>1</v>
      </c>
      <c r="AB19" s="1488">
        <v>1</v>
      </c>
      <c r="AC19" s="1488">
        <v>1</v>
      </c>
    </row>
    <row r="20" spans="1:29" ht="85.5">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83"/>
      <c r="Q20" s="1487" t="str">
        <f>B20</f>
        <v>自然及人文环境</v>
      </c>
      <c r="R20" s="714" t="s">
        <v>17</v>
      </c>
      <c r="S20" s="715">
        <f>F20</f>
        <v>100</v>
      </c>
      <c r="T20" s="714" t="s">
        <v>17</v>
      </c>
      <c r="U20" s="715">
        <f>H20</f>
        <v>100</v>
      </c>
      <c r="V20" s="714" t="s">
        <v>17</v>
      </c>
      <c r="W20" s="715">
        <f>J20</f>
        <v>100</v>
      </c>
      <c r="X20" s="1490"/>
      <c r="Y20" s="348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483"/>
      <c r="Q21" s="1487"/>
      <c r="R21" s="714"/>
      <c r="S21" s="715"/>
      <c r="T21" s="714"/>
      <c r="U21" s="715"/>
      <c r="V21" s="714"/>
      <c r="W21" s="715"/>
      <c r="X21" s="1490"/>
      <c r="Y21" s="348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83"/>
      <c r="Q22" s="1487" t="str">
        <f>B22</f>
        <v>楼层</v>
      </c>
      <c r="R22" s="714" t="s">
        <v>17</v>
      </c>
      <c r="S22" s="715">
        <f>F22</f>
        <v>100</v>
      </c>
      <c r="T22" s="714" t="s">
        <v>17</v>
      </c>
      <c r="U22" s="715">
        <f>H22</f>
        <v>100</v>
      </c>
      <c r="V22" s="714" t="s">
        <v>17</v>
      </c>
      <c r="W22" s="715">
        <f>J22</f>
        <v>100</v>
      </c>
      <c r="X22" s="1490"/>
      <c r="Y22" s="348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83"/>
      <c r="Q23" s="1487">
        <f>B23</f>
        <v>111</v>
      </c>
      <c r="R23" s="714" t="s">
        <v>17</v>
      </c>
      <c r="S23" s="715">
        <f>F23</f>
        <v>100</v>
      </c>
      <c r="T23" s="714" t="s">
        <v>17</v>
      </c>
      <c r="U23" s="715">
        <f>H23</f>
        <v>100</v>
      </c>
      <c r="V23" s="714" t="s">
        <v>17</v>
      </c>
      <c r="W23" s="715">
        <f>J23</f>
        <v>100</v>
      </c>
      <c r="X23" s="1490"/>
      <c r="Y23" s="348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83"/>
      <c r="Q24" s="1487">
        <f t="shared" ref="Q24:Q36" si="11">B24</f>
        <v>111</v>
      </c>
      <c r="R24" s="714" t="s">
        <v>17</v>
      </c>
      <c r="S24" s="715">
        <f>F24</f>
        <v>100</v>
      </c>
      <c r="T24" s="714" t="s">
        <v>17</v>
      </c>
      <c r="U24" s="715">
        <f>H24</f>
        <v>100</v>
      </c>
      <c r="V24" s="714" t="s">
        <v>17</v>
      </c>
      <c r="W24" s="715">
        <f>J24</f>
        <v>100</v>
      </c>
      <c r="X24" s="1490"/>
      <c r="Y24" s="348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83"/>
      <c r="Q25" s="1478">
        <f t="shared" si="11"/>
        <v>111</v>
      </c>
      <c r="R25" s="710" t="s">
        <v>17</v>
      </c>
      <c r="S25" s="711">
        <f>F25</f>
        <v>100</v>
      </c>
      <c r="T25" s="710" t="s">
        <v>17</v>
      </c>
      <c r="U25" s="711">
        <f>H25</f>
        <v>100</v>
      </c>
      <c r="V25" s="710" t="s">
        <v>17</v>
      </c>
      <c r="W25" s="711">
        <f>J25</f>
        <v>100</v>
      </c>
      <c r="X25" s="712"/>
      <c r="Y25" s="3483"/>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84"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5"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85"/>
      <c r="Q27" s="716" t="str">
        <f t="shared" si="11"/>
        <v>项目停车位配比</v>
      </c>
      <c r="R27" s="717" t="s">
        <v>17</v>
      </c>
      <c r="S27" s="718">
        <f t="shared" si="12"/>
        <v>100</v>
      </c>
      <c r="T27" s="717" t="s">
        <v>17</v>
      </c>
      <c r="U27" s="718">
        <f t="shared" si="13"/>
        <v>100</v>
      </c>
      <c r="V27" s="717" t="s">
        <v>17</v>
      </c>
      <c r="W27" s="718">
        <f t="shared" si="14"/>
        <v>100</v>
      </c>
      <c r="X27" s="719"/>
      <c r="Y27" s="3485"/>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5"/>
      <c r="Q28" s="1487" t="str">
        <f t="shared" si="11"/>
        <v>公共部分装修</v>
      </c>
      <c r="R28" s="714" t="s">
        <v>17</v>
      </c>
      <c r="S28" s="715">
        <f t="shared" si="12"/>
        <v>100</v>
      </c>
      <c r="T28" s="714" t="s">
        <v>17</v>
      </c>
      <c r="U28" s="715">
        <f t="shared" si="13"/>
        <v>100</v>
      </c>
      <c r="V28" s="714" t="s">
        <v>17</v>
      </c>
      <c r="W28" s="715">
        <f t="shared" si="14"/>
        <v>100</v>
      </c>
      <c r="X28" s="1490"/>
      <c r="Y28" s="3485"/>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5"/>
      <c r="Q29" s="1487" t="str">
        <f t="shared" si="11"/>
        <v>成新率</v>
      </c>
      <c r="R29" s="714" t="s">
        <v>17</v>
      </c>
      <c r="S29" s="715" t="e">
        <f t="shared" si="12"/>
        <v>#N/A</v>
      </c>
      <c r="T29" s="714" t="s">
        <v>17</v>
      </c>
      <c r="U29" s="715" t="e">
        <f t="shared" si="13"/>
        <v>#N/A</v>
      </c>
      <c r="V29" s="714" t="s">
        <v>17</v>
      </c>
      <c r="W29" s="715" t="e">
        <f t="shared" si="14"/>
        <v>#N/A</v>
      </c>
      <c r="X29" s="1490"/>
      <c r="Y29" s="3485"/>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85"/>
      <c r="Q30" s="1487" t="str">
        <f t="shared" si="11"/>
        <v>物业等级</v>
      </c>
      <c r="R30" s="714" t="s">
        <v>17</v>
      </c>
      <c r="S30" s="715">
        <f t="shared" si="12"/>
        <v>100</v>
      </c>
      <c r="T30" s="714" t="s">
        <v>17</v>
      </c>
      <c r="U30" s="715">
        <f t="shared" si="13"/>
        <v>100</v>
      </c>
      <c r="V30" s="714" t="s">
        <v>17</v>
      </c>
      <c r="W30" s="715">
        <f t="shared" si="14"/>
        <v>100</v>
      </c>
      <c r="X30" s="1490"/>
      <c r="Y30" s="3485"/>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5"/>
      <c r="Q31" s="1478" t="str">
        <f t="shared" si="11"/>
        <v>停车位面积</v>
      </c>
      <c r="R31" s="710" t="s">
        <v>17</v>
      </c>
      <c r="S31" s="711" t="e">
        <f t="shared" si="12"/>
        <v>#N/A</v>
      </c>
      <c r="T31" s="710" t="s">
        <v>17</v>
      </c>
      <c r="U31" s="711" t="e">
        <f t="shared" si="13"/>
        <v>#N/A</v>
      </c>
      <c r="V31" s="710" t="s">
        <v>17</v>
      </c>
      <c r="W31" s="711" t="e">
        <f t="shared" si="14"/>
        <v>#N/A</v>
      </c>
      <c r="X31" s="712"/>
      <c r="Y31" s="348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5" t="s">
        <v>2145</v>
      </c>
      <c r="Q32" s="1487" t="str">
        <f t="shared" si="11"/>
        <v>车位类型</v>
      </c>
      <c r="R32" s="714" t="s">
        <v>17</v>
      </c>
      <c r="S32" s="715">
        <f t="shared" si="12"/>
        <v>100</v>
      </c>
      <c r="T32" s="714" t="s">
        <v>17</v>
      </c>
      <c r="U32" s="715">
        <f t="shared" si="13"/>
        <v>100</v>
      </c>
      <c r="V32" s="714" t="s">
        <v>17</v>
      </c>
      <c r="W32" s="715">
        <f t="shared" si="14"/>
        <v>100</v>
      </c>
      <c r="X32" s="1490"/>
      <c r="Y32" s="3485"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5"/>
      <c r="Q33" s="1487" t="str">
        <f t="shared" si="11"/>
        <v>是否直接入户</v>
      </c>
      <c r="R33" s="714" t="s">
        <v>17</v>
      </c>
      <c r="S33" s="715">
        <f t="shared" si="12"/>
        <v>100</v>
      </c>
      <c r="T33" s="714" t="s">
        <v>17</v>
      </c>
      <c r="U33" s="715">
        <f t="shared" si="13"/>
        <v>100</v>
      </c>
      <c r="V33" s="714" t="s">
        <v>17</v>
      </c>
      <c r="W33" s="715">
        <f t="shared" si="14"/>
        <v>100</v>
      </c>
      <c r="X33" s="1490"/>
      <c r="Y33" s="348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5"/>
      <c r="Q34" s="1487">
        <f t="shared" si="11"/>
        <v>111</v>
      </c>
      <c r="R34" s="714" t="s">
        <v>17</v>
      </c>
      <c r="S34" s="715">
        <f t="shared" si="12"/>
        <v>100</v>
      </c>
      <c r="T34" s="714" t="s">
        <v>17</v>
      </c>
      <c r="U34" s="715">
        <f t="shared" si="13"/>
        <v>100</v>
      </c>
      <c r="V34" s="714" t="s">
        <v>17</v>
      </c>
      <c r="W34" s="715">
        <f t="shared" si="14"/>
        <v>100</v>
      </c>
      <c r="X34" s="1490"/>
      <c r="Y34" s="348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5"/>
      <c r="Q35" s="716">
        <f t="shared" si="11"/>
        <v>111</v>
      </c>
      <c r="R35" s="717" t="s">
        <v>17</v>
      </c>
      <c r="S35" s="718">
        <f t="shared" si="12"/>
        <v>100</v>
      </c>
      <c r="T35" s="717" t="s">
        <v>17</v>
      </c>
      <c r="U35" s="718">
        <f t="shared" si="13"/>
        <v>100</v>
      </c>
      <c r="V35" s="717" t="s">
        <v>17</v>
      </c>
      <c r="W35" s="718">
        <f t="shared" si="14"/>
        <v>100</v>
      </c>
      <c r="X35" s="719"/>
      <c r="Y35" s="348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5"/>
      <c r="Q36" s="1487">
        <f t="shared" si="11"/>
        <v>111</v>
      </c>
      <c r="R36" s="714" t="s">
        <v>17</v>
      </c>
      <c r="S36" s="715">
        <f t="shared" si="12"/>
        <v>100</v>
      </c>
      <c r="T36" s="714" t="s">
        <v>17</v>
      </c>
      <c r="U36" s="715">
        <f t="shared" si="13"/>
        <v>100</v>
      </c>
      <c r="V36" s="714" t="s">
        <v>17</v>
      </c>
      <c r="W36" s="715">
        <f t="shared" si="14"/>
        <v>100</v>
      </c>
      <c r="X36" s="1490"/>
      <c r="Y36" s="3485"/>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898"/>
      <c r="M37" s="2899"/>
      <c r="N37" s="2890"/>
      <c r="O37" s="2899"/>
      <c r="P37" s="3481" t="str">
        <f>A37</f>
        <v>成交单价</v>
      </c>
      <c r="Q37" s="3481"/>
      <c r="R37" s="3546">
        <f>E37</f>
        <v>0</v>
      </c>
      <c r="S37" s="3546"/>
      <c r="T37" s="3546">
        <f>G37</f>
        <v>0</v>
      </c>
      <c r="U37" s="3546"/>
      <c r="V37" s="3546">
        <f>I37</f>
        <v>0</v>
      </c>
      <c r="W37" s="3546"/>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81" t="str">
        <f>A38</f>
        <v>比较价值（元/平方米）</v>
      </c>
      <c r="Q38" s="3481"/>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8"/>
      <c r="M39" s="2899"/>
      <c r="N39" s="2899"/>
      <c r="O39" s="2899"/>
      <c r="P39" s="3475" t="str">
        <f>A39</f>
        <v>估价对象XX用房的比较价值（楼面单价，元/平方米）</v>
      </c>
      <c r="Q39" s="3476"/>
      <c r="R39" s="3568" t="e">
        <f>IF(F1="售价",ROUND(IF(D38="简单平均",AVERAGE(R38:W38),R38*F38+T38*H38+V38*J38),0),ROUND(IF(D38="简单平均",AVERAGE(R38:V38),R38*F38+T38*H38+V38*J38),1))</f>
        <v>#DIV/0!</v>
      </c>
      <c r="S39" s="3568"/>
      <c r="T39" s="3568"/>
      <c r="U39" s="3568"/>
      <c r="V39" s="3568"/>
      <c r="W39" s="3568"/>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ht="15">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78" t="s">
        <v>2226</v>
      </c>
      <c r="D4" s="3490"/>
      <c r="E4" s="3491" t="s">
        <v>2227</v>
      </c>
      <c r="F4" s="3492"/>
      <c r="G4" s="3478" t="s">
        <v>2228</v>
      </c>
      <c r="H4" s="3490"/>
      <c r="I4" s="3478" t="s">
        <v>2229</v>
      </c>
      <c r="J4" s="3490"/>
      <c r="K4" s="567" t="s">
        <v>2230</v>
      </c>
      <c r="L4" s="2889"/>
      <c r="M4" s="2890"/>
      <c r="N4" s="2890"/>
      <c r="O4" s="2890"/>
      <c r="P4" s="3493" t="s">
        <v>2231</v>
      </c>
      <c r="Q4" s="3494"/>
      <c r="R4" s="3499" t="s">
        <v>2227</v>
      </c>
      <c r="S4" s="3500"/>
      <c r="T4" s="3499" t="s">
        <v>2228</v>
      </c>
      <c r="U4" s="3500"/>
      <c r="V4" s="3486" t="s">
        <v>2229</v>
      </c>
      <c r="W4" s="3486"/>
      <c r="X4" s="1490"/>
      <c r="Y4" s="3499" t="s">
        <v>2231</v>
      </c>
      <c r="Z4" s="3500"/>
      <c r="AA4" s="3487" t="s">
        <v>2227</v>
      </c>
      <c r="AB4" s="3488" t="s">
        <v>2228</v>
      </c>
      <c r="AC4" s="3487" t="s">
        <v>2229</v>
      </c>
    </row>
    <row r="5" spans="1:29" ht="15">
      <c r="A5" s="364"/>
      <c r="B5" s="365"/>
      <c r="C5" s="3507" t="s">
        <v>2122</v>
      </c>
      <c r="D5" s="3508"/>
      <c r="E5" s="3514" t="s">
        <v>2123</v>
      </c>
      <c r="F5" s="3515"/>
      <c r="G5" s="3507" t="s">
        <v>2124</v>
      </c>
      <c r="H5" s="3508"/>
      <c r="I5" s="3507" t="s">
        <v>2125</v>
      </c>
      <c r="J5" s="3508"/>
      <c r="K5" s="567"/>
      <c r="L5" s="2889"/>
      <c r="M5" s="2890"/>
      <c r="N5" s="2890"/>
      <c r="O5" s="2890"/>
      <c r="P5" s="3495"/>
      <c r="Q5" s="3496"/>
      <c r="R5" s="3501"/>
      <c r="S5" s="3502"/>
      <c r="T5" s="3501"/>
      <c r="U5" s="3502"/>
      <c r="V5" s="3486"/>
      <c r="W5" s="3486"/>
      <c r="X5" s="1490"/>
      <c r="Y5" s="3501"/>
      <c r="Z5" s="3502"/>
      <c r="AA5" s="3488"/>
      <c r="AB5" s="3488"/>
      <c r="AC5" s="3488"/>
    </row>
    <row r="6" spans="1:29" ht="15.75" thickBot="1">
      <c r="A6" s="366"/>
      <c r="B6" s="367"/>
      <c r="C6" s="3505" t="s">
        <v>2126</v>
      </c>
      <c r="D6" s="3506"/>
      <c r="E6" s="3512" t="s">
        <v>2126</v>
      </c>
      <c r="F6" s="3513"/>
      <c r="G6" s="3505" t="s">
        <v>2126</v>
      </c>
      <c r="H6" s="3506"/>
      <c r="I6" s="3505" t="s">
        <v>2126</v>
      </c>
      <c r="J6" s="3506"/>
      <c r="K6" s="567" t="s">
        <v>2127</v>
      </c>
      <c r="L6" s="2889"/>
      <c r="M6" s="2890"/>
      <c r="N6" s="2890"/>
      <c r="O6" s="2890"/>
      <c r="P6" s="3497"/>
      <c r="Q6" s="3498"/>
      <c r="R6" s="3501"/>
      <c r="S6" s="3502"/>
      <c r="T6" s="3503"/>
      <c r="U6" s="3504"/>
      <c r="V6" s="3486"/>
      <c r="W6" s="3486"/>
      <c r="X6" s="1490"/>
      <c r="Y6" s="3503"/>
      <c r="Z6" s="3504"/>
      <c r="AA6" s="3489"/>
      <c r="AB6" s="3489"/>
      <c r="AC6" s="3489"/>
    </row>
    <row r="7" spans="1:29" s="113" customFormat="1" ht="15.7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509" t="s">
        <v>2129</v>
      </c>
      <c r="Q7" s="3511"/>
      <c r="R7" s="710" t="s">
        <v>17</v>
      </c>
      <c r="S7" s="711">
        <f t="shared" ref="S7:S14" si="0">F7</f>
        <v>0</v>
      </c>
      <c r="T7" s="710" t="s">
        <v>17</v>
      </c>
      <c r="U7" s="711">
        <f t="shared" ref="U7:U14" si="1">H7</f>
        <v>0</v>
      </c>
      <c r="V7" s="710" t="s">
        <v>17</v>
      </c>
      <c r="W7" s="711">
        <f t="shared" ref="W7:W14" si="2">J7</f>
        <v>0</v>
      </c>
      <c r="X7" s="712"/>
      <c r="Y7" s="3509" t="s">
        <v>2129</v>
      </c>
      <c r="Z7" s="351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09" t="s">
        <v>2132</v>
      </c>
      <c r="Q8" s="3510"/>
      <c r="R8" s="710" t="s">
        <v>17</v>
      </c>
      <c r="S8" s="711">
        <f t="shared" si="0"/>
        <v>0</v>
      </c>
      <c r="T8" s="710" t="s">
        <v>17</v>
      </c>
      <c r="U8" s="711">
        <f t="shared" si="1"/>
        <v>0</v>
      </c>
      <c r="V8" s="710" t="s">
        <v>17</v>
      </c>
      <c r="W8" s="711">
        <f t="shared" si="2"/>
        <v>0</v>
      </c>
      <c r="X8" s="712"/>
      <c r="Y8" s="3509" t="s">
        <v>2132</v>
      </c>
      <c r="Z8" s="351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81" t="s">
        <v>2135</v>
      </c>
      <c r="Q9" s="1478" t="str">
        <f t="shared" ref="Q9:Q14" si="6">B9</f>
        <v>用途</v>
      </c>
      <c r="R9" s="710" t="s">
        <v>17</v>
      </c>
      <c r="S9" s="711">
        <f t="shared" si="0"/>
        <v>100</v>
      </c>
      <c r="T9" s="710" t="s">
        <v>17</v>
      </c>
      <c r="U9" s="711">
        <f t="shared" si="1"/>
        <v>100</v>
      </c>
      <c r="V9" s="710" t="s">
        <v>17</v>
      </c>
      <c r="W9" s="711">
        <f t="shared" si="2"/>
        <v>100</v>
      </c>
      <c r="X9" s="712"/>
      <c r="Y9" s="337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81"/>
      <c r="Q10" s="1478"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81"/>
      <c r="Q11" s="1478">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81"/>
      <c r="Q12" s="1478">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81"/>
      <c r="Q13" s="1478">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42.5">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82" t="s">
        <v>2140</v>
      </c>
      <c r="Q14" s="1487" t="str">
        <f t="shared" si="6"/>
        <v>交通便捷度</v>
      </c>
      <c r="R14" s="714" t="s">
        <v>17</v>
      </c>
      <c r="S14" s="715">
        <f t="shared" si="0"/>
        <v>100</v>
      </c>
      <c r="T14" s="714" t="s">
        <v>17</v>
      </c>
      <c r="U14" s="715">
        <f t="shared" si="1"/>
        <v>100</v>
      </c>
      <c r="V14" s="714" t="s">
        <v>17</v>
      </c>
      <c r="W14" s="715">
        <f t="shared" si="2"/>
        <v>100</v>
      </c>
      <c r="X14" s="1490"/>
      <c r="Y14" s="348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483"/>
      <c r="Q15" s="1487"/>
      <c r="R15" s="714"/>
      <c r="S15" s="715"/>
      <c r="T15" s="714"/>
      <c r="U15" s="715"/>
      <c r="V15" s="714"/>
      <c r="W15" s="715"/>
      <c r="X15" s="1490"/>
      <c r="Y15" s="3483"/>
      <c r="Z15" s="1491"/>
      <c r="AA15" s="1488">
        <v>1</v>
      </c>
      <c r="AB15" s="1488">
        <v>1</v>
      </c>
      <c r="AC15" s="1488">
        <v>1</v>
      </c>
    </row>
    <row r="16" spans="1:29" ht="71.25">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83"/>
      <c r="Q16" s="1487" t="str">
        <f>B16</f>
        <v>公共配套设施</v>
      </c>
      <c r="R16" s="714" t="s">
        <v>17</v>
      </c>
      <c r="S16" s="715">
        <f>F16</f>
        <v>100</v>
      </c>
      <c r="T16" s="714" t="s">
        <v>17</v>
      </c>
      <c r="U16" s="715">
        <f>H16</f>
        <v>100</v>
      </c>
      <c r="V16" s="714" t="s">
        <v>17</v>
      </c>
      <c r="W16" s="715">
        <f>J16</f>
        <v>100</v>
      </c>
      <c r="X16" s="1490"/>
      <c r="Y16" s="3483"/>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483"/>
      <c r="Q17" s="1487"/>
      <c r="R17" s="714"/>
      <c r="S17" s="715"/>
      <c r="T17" s="714"/>
      <c r="U17" s="715"/>
      <c r="V17" s="714"/>
      <c r="W17" s="715"/>
      <c r="X17" s="1490"/>
      <c r="Y17" s="3483"/>
      <c r="Z17" s="1491"/>
      <c r="AA17" s="1488">
        <v>1</v>
      </c>
      <c r="AB17" s="1488">
        <v>1</v>
      </c>
      <c r="AC17" s="1488">
        <v>1</v>
      </c>
    </row>
    <row r="18" spans="1:29" ht="42.75">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83"/>
      <c r="Q18" s="1487" t="str">
        <f>B18</f>
        <v>基础设施水平</v>
      </c>
      <c r="R18" s="714" t="s">
        <v>17</v>
      </c>
      <c r="S18" s="715">
        <f>F18</f>
        <v>100</v>
      </c>
      <c r="T18" s="714" t="s">
        <v>17</v>
      </c>
      <c r="U18" s="715">
        <f>H18</f>
        <v>100</v>
      </c>
      <c r="V18" s="714" t="s">
        <v>17</v>
      </c>
      <c r="W18" s="715">
        <f>J18</f>
        <v>100</v>
      </c>
      <c r="X18" s="1490"/>
      <c r="Y18" s="3483"/>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483"/>
      <c r="Q19" s="1487"/>
      <c r="R19" s="714"/>
      <c r="S19" s="715"/>
      <c r="T19" s="714"/>
      <c r="U19" s="715"/>
      <c r="V19" s="714"/>
      <c r="W19" s="715"/>
      <c r="X19" s="1490"/>
      <c r="Y19" s="3483"/>
      <c r="Z19" s="1491"/>
      <c r="AA19" s="1488">
        <v>1</v>
      </c>
      <c r="AB19" s="1488">
        <v>1</v>
      </c>
      <c r="AC19" s="1488">
        <v>1</v>
      </c>
    </row>
    <row r="20" spans="1:29" ht="85.5">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83"/>
      <c r="Q20" s="1487" t="str">
        <f>B20</f>
        <v>自然及人文环境</v>
      </c>
      <c r="R20" s="714" t="s">
        <v>17</v>
      </c>
      <c r="S20" s="715">
        <f>F20</f>
        <v>100</v>
      </c>
      <c r="T20" s="714" t="s">
        <v>17</v>
      </c>
      <c r="U20" s="715">
        <f>H20</f>
        <v>100</v>
      </c>
      <c r="V20" s="714" t="s">
        <v>17</v>
      </c>
      <c r="W20" s="715">
        <f>J20</f>
        <v>100</v>
      </c>
      <c r="X20" s="1490"/>
      <c r="Y20" s="348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483"/>
      <c r="Q21" s="1487"/>
      <c r="R21" s="714"/>
      <c r="S21" s="715"/>
      <c r="T21" s="714"/>
      <c r="U21" s="715"/>
      <c r="V21" s="714"/>
      <c r="W21" s="715"/>
      <c r="X21" s="1490"/>
      <c r="Y21" s="348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83"/>
      <c r="Q22" s="1487" t="str">
        <f>B22</f>
        <v>楼层</v>
      </c>
      <c r="R22" s="714" t="s">
        <v>17</v>
      </c>
      <c r="S22" s="715">
        <f>F22</f>
        <v>100</v>
      </c>
      <c r="T22" s="714" t="s">
        <v>17</v>
      </c>
      <c r="U22" s="715">
        <f>H22</f>
        <v>100</v>
      </c>
      <c r="V22" s="714" t="s">
        <v>17</v>
      </c>
      <c r="W22" s="715">
        <f>J22</f>
        <v>100</v>
      </c>
      <c r="X22" s="1490"/>
      <c r="Y22" s="3483"/>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83"/>
      <c r="Q23" s="1487">
        <f>B23</f>
        <v>111</v>
      </c>
      <c r="R23" s="714" t="s">
        <v>17</v>
      </c>
      <c r="S23" s="715">
        <f>F23</f>
        <v>100</v>
      </c>
      <c r="T23" s="714" t="s">
        <v>17</v>
      </c>
      <c r="U23" s="715">
        <f>H23</f>
        <v>100</v>
      </c>
      <c r="V23" s="714" t="s">
        <v>17</v>
      </c>
      <c r="W23" s="715">
        <f>J23</f>
        <v>100</v>
      </c>
      <c r="X23" s="1490"/>
      <c r="Y23" s="3483"/>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83"/>
      <c r="Q24" s="1487">
        <f t="shared" ref="Q24:Q34" si="11">B24</f>
        <v>111</v>
      </c>
      <c r="R24" s="714" t="s">
        <v>17</v>
      </c>
      <c r="S24" s="715">
        <f>F24</f>
        <v>100</v>
      </c>
      <c r="T24" s="714" t="s">
        <v>17</v>
      </c>
      <c r="U24" s="715">
        <f>H24</f>
        <v>100</v>
      </c>
      <c r="V24" s="714" t="s">
        <v>17</v>
      </c>
      <c r="W24" s="715">
        <f>J24</f>
        <v>100</v>
      </c>
      <c r="X24" s="1490"/>
      <c r="Y24" s="3483"/>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83"/>
      <c r="Q25" s="1478">
        <f t="shared" si="11"/>
        <v>111</v>
      </c>
      <c r="R25" s="710" t="s">
        <v>17</v>
      </c>
      <c r="S25" s="711">
        <f>F25</f>
        <v>100</v>
      </c>
      <c r="T25" s="710" t="s">
        <v>17</v>
      </c>
      <c r="U25" s="711">
        <f>H25</f>
        <v>100</v>
      </c>
      <c r="V25" s="710" t="s">
        <v>17</v>
      </c>
      <c r="W25" s="711">
        <f>J25</f>
        <v>100</v>
      </c>
      <c r="X25" s="712"/>
      <c r="Y25" s="3483"/>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84"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5"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5"/>
      <c r="Q27" s="716" t="str">
        <f t="shared" si="11"/>
        <v>成新率</v>
      </c>
      <c r="R27" s="717" t="s">
        <v>17</v>
      </c>
      <c r="S27" s="718" t="e">
        <f t="shared" si="12"/>
        <v>#N/A</v>
      </c>
      <c r="T27" s="717" t="s">
        <v>17</v>
      </c>
      <c r="U27" s="718" t="e">
        <f t="shared" si="13"/>
        <v>#N/A</v>
      </c>
      <c r="V27" s="717" t="s">
        <v>17</v>
      </c>
      <c r="W27" s="718" t="e">
        <f t="shared" si="14"/>
        <v>#N/A</v>
      </c>
      <c r="X27" s="719"/>
      <c r="Y27" s="3485"/>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5"/>
      <c r="Q28" s="1487" t="str">
        <f t="shared" si="11"/>
        <v>物业等级</v>
      </c>
      <c r="R28" s="714" t="s">
        <v>17</v>
      </c>
      <c r="S28" s="715">
        <f t="shared" si="12"/>
        <v>100</v>
      </c>
      <c r="T28" s="714" t="s">
        <v>17</v>
      </c>
      <c r="U28" s="715">
        <f t="shared" si="13"/>
        <v>100</v>
      </c>
      <c r="V28" s="714" t="s">
        <v>17</v>
      </c>
      <c r="W28" s="715">
        <f t="shared" si="14"/>
        <v>100</v>
      </c>
      <c r="X28" s="1490"/>
      <c r="Y28" s="3485"/>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85"/>
      <c r="Q29" s="1487" t="str">
        <f t="shared" si="11"/>
        <v>有无电梯</v>
      </c>
      <c r="R29" s="714" t="s">
        <v>17</v>
      </c>
      <c r="S29" s="715">
        <f t="shared" si="12"/>
        <v>100</v>
      </c>
      <c r="T29" s="714" t="s">
        <v>17</v>
      </c>
      <c r="U29" s="715">
        <f t="shared" si="13"/>
        <v>100</v>
      </c>
      <c r="V29" s="714" t="s">
        <v>17</v>
      </c>
      <c r="W29" s="715">
        <f t="shared" si="14"/>
        <v>100</v>
      </c>
      <c r="X29" s="1490"/>
      <c r="Y29" s="3485"/>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5"/>
      <c r="Q30" s="1487" t="str">
        <f t="shared" si="11"/>
        <v>建筑面积</v>
      </c>
      <c r="R30" s="714" t="s">
        <v>17</v>
      </c>
      <c r="S30" s="715" t="e">
        <f t="shared" si="12"/>
        <v>#N/A</v>
      </c>
      <c r="T30" s="714" t="s">
        <v>17</v>
      </c>
      <c r="U30" s="715" t="e">
        <f t="shared" si="13"/>
        <v>#N/A</v>
      </c>
      <c r="V30" s="714" t="s">
        <v>17</v>
      </c>
      <c r="W30" s="715" t="e">
        <f t="shared" si="14"/>
        <v>#N/A</v>
      </c>
      <c r="X30" s="1490"/>
      <c r="Y30" s="3485"/>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85"/>
      <c r="Q31" s="1478" t="str">
        <f t="shared" si="11"/>
        <v>是否封闭</v>
      </c>
      <c r="R31" s="710" t="s">
        <v>17</v>
      </c>
      <c r="S31" s="711">
        <f t="shared" si="12"/>
        <v>100</v>
      </c>
      <c r="T31" s="710" t="s">
        <v>17</v>
      </c>
      <c r="U31" s="711">
        <f t="shared" si="13"/>
        <v>100</v>
      </c>
      <c r="V31" s="710" t="s">
        <v>17</v>
      </c>
      <c r="W31" s="711">
        <f t="shared" si="14"/>
        <v>100</v>
      </c>
      <c r="X31" s="712"/>
      <c r="Y31" s="348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5" t="s">
        <v>2145</v>
      </c>
      <c r="Q32" s="1487">
        <f t="shared" si="11"/>
        <v>111</v>
      </c>
      <c r="R32" s="714" t="s">
        <v>17</v>
      </c>
      <c r="S32" s="715">
        <f t="shared" si="12"/>
        <v>100</v>
      </c>
      <c r="T32" s="714" t="s">
        <v>17</v>
      </c>
      <c r="U32" s="715">
        <f t="shared" si="13"/>
        <v>100</v>
      </c>
      <c r="V32" s="714" t="s">
        <v>17</v>
      </c>
      <c r="W32" s="715">
        <f t="shared" si="14"/>
        <v>100</v>
      </c>
      <c r="X32" s="1490"/>
      <c r="Y32" s="3485"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5"/>
      <c r="Q33" s="1487">
        <f t="shared" si="11"/>
        <v>111</v>
      </c>
      <c r="R33" s="714" t="s">
        <v>17</v>
      </c>
      <c r="S33" s="715">
        <f t="shared" si="12"/>
        <v>100</v>
      </c>
      <c r="T33" s="714" t="s">
        <v>17</v>
      </c>
      <c r="U33" s="715">
        <f t="shared" si="13"/>
        <v>100</v>
      </c>
      <c r="V33" s="714" t="s">
        <v>17</v>
      </c>
      <c r="W33" s="715">
        <f t="shared" si="14"/>
        <v>100</v>
      </c>
      <c r="X33" s="1490"/>
      <c r="Y33" s="3485"/>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85"/>
      <c r="Q34" s="1487">
        <f t="shared" si="11"/>
        <v>111</v>
      </c>
      <c r="R34" s="714" t="s">
        <v>17</v>
      </c>
      <c r="S34" s="715">
        <f t="shared" si="12"/>
        <v>100</v>
      </c>
      <c r="T34" s="714" t="s">
        <v>17</v>
      </c>
      <c r="U34" s="715">
        <f t="shared" si="13"/>
        <v>100</v>
      </c>
      <c r="V34" s="714" t="s">
        <v>17</v>
      </c>
      <c r="W34" s="715">
        <f t="shared" si="14"/>
        <v>100</v>
      </c>
      <c r="X34" s="1490"/>
      <c r="Y34" s="3485"/>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8"/>
      <c r="M35" s="2899"/>
      <c r="N35" s="2890"/>
      <c r="O35" s="2899"/>
      <c r="P35" s="3481" t="str">
        <f>A35</f>
        <v>成交单价（元/平方米）</v>
      </c>
      <c r="Q35" s="3481"/>
      <c r="R35" s="3546">
        <f>E35</f>
        <v>0</v>
      </c>
      <c r="S35" s="3546"/>
      <c r="T35" s="3546">
        <f>G35</f>
        <v>0</v>
      </c>
      <c r="U35" s="3546"/>
      <c r="V35" s="3546">
        <f>I35</f>
        <v>0</v>
      </c>
      <c r="W35" s="3546"/>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81" t="str">
        <f>A36</f>
        <v>比较价值（元/平方米）</v>
      </c>
      <c r="Q36" s="3481"/>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8"/>
      <c r="M37" s="2899"/>
      <c r="N37" s="2899"/>
      <c r="O37" s="2899"/>
      <c r="P37" s="3475" t="str">
        <f>A37</f>
        <v>估价对象XX用房的比较价值（楼面单价，元/平方米）</v>
      </c>
      <c r="Q37" s="3476"/>
      <c r="R37" s="3568" t="e">
        <f>IF(F1="售价",ROUND(IF(D36="简单平均",AVERAGE(R36:W36),R36*F36+T36*H36+V36*J36),0),ROUND(IF(D36="简单平均",AVERAGE(R36:V36),R36*F36+T36*H36+V36*J36),1))</f>
        <v>#DIV/0!</v>
      </c>
      <c r="S37" s="3568"/>
      <c r="T37" s="3568"/>
      <c r="U37" s="3568"/>
      <c r="V37" s="3568"/>
      <c r="W37" s="3568"/>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5">
      <c r="A4" s="361" t="s">
        <v>2225</v>
      </c>
      <c r="B4" s="362"/>
      <c r="C4" s="3478" t="s">
        <v>2226</v>
      </c>
      <c r="D4" s="3490"/>
      <c r="E4" s="3491" t="s">
        <v>2227</v>
      </c>
      <c r="F4" s="3492"/>
      <c r="G4" s="3478" t="s">
        <v>2228</v>
      </c>
      <c r="H4" s="3490"/>
      <c r="I4" s="3478" t="s">
        <v>2229</v>
      </c>
      <c r="J4" s="3490"/>
      <c r="K4" s="567" t="s">
        <v>2230</v>
      </c>
      <c r="L4" s="2889"/>
      <c r="M4" s="2890"/>
      <c r="N4" s="2890"/>
      <c r="O4" s="2890"/>
      <c r="P4" s="3493" t="s">
        <v>2231</v>
      </c>
      <c r="Q4" s="3494"/>
      <c r="R4" s="3499" t="s">
        <v>2227</v>
      </c>
      <c r="S4" s="3500"/>
      <c r="T4" s="3499" t="s">
        <v>2228</v>
      </c>
      <c r="U4" s="3500"/>
      <c r="V4" s="3486" t="s">
        <v>2229</v>
      </c>
      <c r="W4" s="3486"/>
      <c r="X4" s="1490"/>
      <c r="Y4" s="3499" t="s">
        <v>2231</v>
      </c>
      <c r="Z4" s="3500"/>
      <c r="AA4" s="3487" t="s">
        <v>2227</v>
      </c>
      <c r="AB4" s="3488" t="s">
        <v>2228</v>
      </c>
      <c r="AC4" s="3487" t="s">
        <v>2229</v>
      </c>
    </row>
    <row r="5" spans="1:29" ht="15">
      <c r="A5" s="364"/>
      <c r="B5" s="365"/>
      <c r="C5" s="3507" t="s">
        <v>2122</v>
      </c>
      <c r="D5" s="3508"/>
      <c r="E5" s="3514" t="s">
        <v>2123</v>
      </c>
      <c r="F5" s="3515"/>
      <c r="G5" s="3507" t="s">
        <v>2124</v>
      </c>
      <c r="H5" s="3508"/>
      <c r="I5" s="3507" t="s">
        <v>2125</v>
      </c>
      <c r="J5" s="3508"/>
      <c r="K5" s="567"/>
      <c r="L5" s="2889"/>
      <c r="M5" s="2890"/>
      <c r="N5" s="2890"/>
      <c r="O5" s="2890"/>
      <c r="P5" s="3495"/>
      <c r="Q5" s="3496"/>
      <c r="R5" s="3501"/>
      <c r="S5" s="3502"/>
      <c r="T5" s="3501"/>
      <c r="U5" s="3502"/>
      <c r="V5" s="3486"/>
      <c r="W5" s="3486"/>
      <c r="X5" s="1490"/>
      <c r="Y5" s="3501"/>
      <c r="Z5" s="3502"/>
      <c r="AA5" s="3488"/>
      <c r="AB5" s="3488"/>
      <c r="AC5" s="3488"/>
    </row>
    <row r="6" spans="1:29" ht="15.75" thickBot="1">
      <c r="A6" s="366"/>
      <c r="B6" s="367"/>
      <c r="C6" s="3569" t="s">
        <v>2376</v>
      </c>
      <c r="D6" s="3570"/>
      <c r="E6" s="3571" t="s">
        <v>2376</v>
      </c>
      <c r="F6" s="3572"/>
      <c r="G6" s="3569" t="s">
        <v>2376</v>
      </c>
      <c r="H6" s="3570"/>
      <c r="I6" s="3569" t="s">
        <v>2376</v>
      </c>
      <c r="J6" s="3570"/>
      <c r="K6" s="567" t="s">
        <v>2127</v>
      </c>
      <c r="L6" s="2889"/>
      <c r="M6" s="2890"/>
      <c r="N6" s="2890"/>
      <c r="O6" s="2890"/>
      <c r="P6" s="3497"/>
      <c r="Q6" s="3498"/>
      <c r="R6" s="3501"/>
      <c r="S6" s="3502"/>
      <c r="T6" s="3503"/>
      <c r="U6" s="3504"/>
      <c r="V6" s="3486"/>
      <c r="W6" s="3486"/>
      <c r="X6" s="1490"/>
      <c r="Y6" s="3503"/>
      <c r="Z6" s="3504"/>
      <c r="AA6" s="3489"/>
      <c r="AB6" s="3489"/>
      <c r="AC6" s="3489"/>
    </row>
    <row r="7" spans="1:29" s="113" customFormat="1" ht="15.7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509" t="s">
        <v>2129</v>
      </c>
      <c r="Q7" s="3511"/>
      <c r="R7" s="710" t="s">
        <v>17</v>
      </c>
      <c r="S7" s="711">
        <f t="shared" ref="S7:S15" si="0">F7</f>
        <v>0</v>
      </c>
      <c r="T7" s="710" t="s">
        <v>17</v>
      </c>
      <c r="U7" s="711">
        <f t="shared" ref="U7:U15" si="1">H7</f>
        <v>0</v>
      </c>
      <c r="V7" s="710" t="s">
        <v>17</v>
      </c>
      <c r="W7" s="711">
        <f t="shared" ref="W7:W15" si="2">J7</f>
        <v>0</v>
      </c>
      <c r="X7" s="712"/>
      <c r="Y7" s="3509" t="s">
        <v>2129</v>
      </c>
      <c r="Z7" s="351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09" t="s">
        <v>2132</v>
      </c>
      <c r="Q8" s="3510"/>
      <c r="R8" s="710" t="s">
        <v>17</v>
      </c>
      <c r="S8" s="711">
        <f t="shared" si="0"/>
        <v>0</v>
      </c>
      <c r="T8" s="710" t="s">
        <v>17</v>
      </c>
      <c r="U8" s="711">
        <f t="shared" si="1"/>
        <v>0</v>
      </c>
      <c r="V8" s="710" t="s">
        <v>17</v>
      </c>
      <c r="W8" s="711">
        <f t="shared" si="2"/>
        <v>0</v>
      </c>
      <c r="X8" s="712"/>
      <c r="Y8" s="3509" t="s">
        <v>2132</v>
      </c>
      <c r="Z8" s="3510"/>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81" t="s">
        <v>2135</v>
      </c>
      <c r="Q9" s="1478" t="str">
        <f t="shared" ref="Q9:Q15" si="6">B9</f>
        <v>用途</v>
      </c>
      <c r="R9" s="710" t="s">
        <v>17</v>
      </c>
      <c r="S9" s="711">
        <f t="shared" si="0"/>
        <v>100</v>
      </c>
      <c r="T9" s="710" t="s">
        <v>17</v>
      </c>
      <c r="U9" s="711">
        <f t="shared" si="1"/>
        <v>100</v>
      </c>
      <c r="V9" s="710" t="s">
        <v>17</v>
      </c>
      <c r="W9" s="711">
        <f t="shared" si="2"/>
        <v>100</v>
      </c>
      <c r="X9" s="712"/>
      <c r="Y9" s="337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132</v>
      </c>
      <c r="G10" s="391"/>
      <c r="H10" s="132">
        <f>ROUND(100/'数据-取费表'!G16,0)</f>
        <v>132</v>
      </c>
      <c r="I10" s="391"/>
      <c r="J10" s="132">
        <f>ROUND(100/'数据-取费表'!G16,0)</f>
        <v>132</v>
      </c>
      <c r="K10" s="628"/>
      <c r="L10" s="2893"/>
      <c r="M10" s="2894"/>
      <c r="N10" s="2894"/>
      <c r="O10" s="2947"/>
      <c r="P10" s="3481"/>
      <c r="Q10" s="1478" t="str">
        <f t="shared" si="6"/>
        <v>土地使用年限（年）</v>
      </c>
      <c r="R10" s="710" t="s">
        <v>17</v>
      </c>
      <c r="S10" s="711">
        <f t="shared" si="0"/>
        <v>132</v>
      </c>
      <c r="T10" s="710" t="s">
        <v>17</v>
      </c>
      <c r="U10" s="711">
        <f t="shared" si="1"/>
        <v>132</v>
      </c>
      <c r="V10" s="710" t="s">
        <v>17</v>
      </c>
      <c r="W10" s="711">
        <f t="shared" si="2"/>
        <v>132</v>
      </c>
      <c r="X10" s="712"/>
      <c r="Y10" s="3378"/>
      <c r="Z10" s="55" t="str">
        <f t="shared" si="7"/>
        <v>土地使用年限（年）</v>
      </c>
      <c r="AA10" s="713">
        <f t="shared" si="3"/>
        <v>0.75757575757575757</v>
      </c>
      <c r="AB10" s="713">
        <f t="shared" si="4"/>
        <v>0.75757575757575757</v>
      </c>
      <c r="AC10" s="713">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81"/>
      <c r="Q11" s="1478"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81"/>
      <c r="Q12" s="1478">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81"/>
      <c r="Q13" s="1478">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81"/>
      <c r="Q14" s="1478">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82" t="s">
        <v>2140</v>
      </c>
      <c r="Q15" s="1487" t="str">
        <f t="shared" si="6"/>
        <v>产业集聚程度</v>
      </c>
      <c r="R15" s="714" t="s">
        <v>17</v>
      </c>
      <c r="S15" s="715">
        <f t="shared" si="0"/>
        <v>100</v>
      </c>
      <c r="T15" s="714" t="s">
        <v>17</v>
      </c>
      <c r="U15" s="715">
        <f t="shared" si="1"/>
        <v>100</v>
      </c>
      <c r="V15" s="714" t="s">
        <v>17</v>
      </c>
      <c r="W15" s="715">
        <f t="shared" si="2"/>
        <v>100</v>
      </c>
      <c r="X15" s="1490"/>
      <c r="Y15" s="3482"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483"/>
      <c r="Q16" s="1487"/>
      <c r="R16" s="714"/>
      <c r="S16" s="715"/>
      <c r="T16" s="714"/>
      <c r="U16" s="715"/>
      <c r="V16" s="714"/>
      <c r="W16" s="715"/>
      <c r="X16" s="1490"/>
      <c r="Y16" s="3483"/>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83"/>
      <c r="Q17" s="1487" t="str">
        <f>B17</f>
        <v>交通便捷度</v>
      </c>
      <c r="R17" s="714" t="s">
        <v>17</v>
      </c>
      <c r="S17" s="715">
        <f>F17</f>
        <v>100</v>
      </c>
      <c r="T17" s="714" t="s">
        <v>17</v>
      </c>
      <c r="U17" s="715">
        <f>H17</f>
        <v>100</v>
      </c>
      <c r="V17" s="714" t="s">
        <v>17</v>
      </c>
      <c r="W17" s="715">
        <f>J17</f>
        <v>100</v>
      </c>
      <c r="X17" s="1490"/>
      <c r="Y17" s="3483"/>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483"/>
      <c r="Q18" s="1487"/>
      <c r="R18" s="714"/>
      <c r="S18" s="715"/>
      <c r="T18" s="714"/>
      <c r="U18" s="715"/>
      <c r="V18" s="714"/>
      <c r="W18" s="715"/>
      <c r="X18" s="1490"/>
      <c r="Y18" s="3483"/>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83"/>
      <c r="Q19" s="1487" t="str">
        <f t="shared" ref="Q19:Q33" si="8">B19</f>
        <v>区域土地利用方向</v>
      </c>
      <c r="R19" s="714" t="s">
        <v>17</v>
      </c>
      <c r="S19" s="715">
        <f>F19</f>
        <v>100</v>
      </c>
      <c r="T19" s="714" t="s">
        <v>17</v>
      </c>
      <c r="U19" s="715">
        <f>H19</f>
        <v>100</v>
      </c>
      <c r="V19" s="714" t="s">
        <v>17</v>
      </c>
      <c r="W19" s="715">
        <f>J19</f>
        <v>100</v>
      </c>
      <c r="X19" s="1490"/>
      <c r="Y19" s="3483"/>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483"/>
      <c r="Q20" s="1487"/>
      <c r="R20" s="714"/>
      <c r="S20" s="715"/>
      <c r="T20" s="714"/>
      <c r="U20" s="715"/>
      <c r="V20" s="714"/>
      <c r="W20" s="715"/>
      <c r="X20" s="1490"/>
      <c r="Y20" s="3483"/>
      <c r="Z20" s="1491"/>
      <c r="AA20" s="1488"/>
      <c r="AB20" s="1488"/>
      <c r="AC20" s="1488"/>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83"/>
      <c r="Q21" s="1487" t="str">
        <f t="shared" si="8"/>
        <v>环境状况</v>
      </c>
      <c r="R21" s="714" t="s">
        <v>17</v>
      </c>
      <c r="S21" s="715">
        <f>F21</f>
        <v>100</v>
      </c>
      <c r="T21" s="714" t="s">
        <v>17</v>
      </c>
      <c r="U21" s="715">
        <f>H21</f>
        <v>100</v>
      </c>
      <c r="V21" s="714" t="s">
        <v>17</v>
      </c>
      <c r="W21" s="715">
        <f>J21</f>
        <v>100</v>
      </c>
      <c r="X21" s="1490"/>
      <c r="Y21" s="3483"/>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483"/>
      <c r="Q22" s="1487"/>
      <c r="R22" s="714"/>
      <c r="S22" s="715"/>
      <c r="T22" s="714"/>
      <c r="U22" s="715"/>
      <c r="V22" s="714"/>
      <c r="W22" s="715"/>
      <c r="X22" s="1490"/>
      <c r="Y22" s="3483"/>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83"/>
      <c r="Q23" s="1478" t="str">
        <f t="shared" si="8"/>
        <v>公共配套设施</v>
      </c>
      <c r="R23" s="710" t="s">
        <v>17</v>
      </c>
      <c r="S23" s="711">
        <f>F23</f>
        <v>100</v>
      </c>
      <c r="T23" s="710" t="s">
        <v>17</v>
      </c>
      <c r="U23" s="711">
        <f>H23</f>
        <v>100</v>
      </c>
      <c r="V23" s="710" t="s">
        <v>17</v>
      </c>
      <c r="W23" s="711">
        <f>J23</f>
        <v>100</v>
      </c>
      <c r="X23" s="712"/>
      <c r="Y23" s="3483"/>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483"/>
      <c r="Q24" s="1478"/>
      <c r="R24" s="710"/>
      <c r="S24" s="711"/>
      <c r="T24" s="710"/>
      <c r="U24" s="711"/>
      <c r="V24" s="710"/>
      <c r="W24" s="711"/>
      <c r="X24" s="712"/>
      <c r="Y24" s="3483"/>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83"/>
      <c r="Q25" s="1478" t="str">
        <f t="shared" ref="Q25" si="9">B25</f>
        <v>基础设施水平</v>
      </c>
      <c r="R25" s="710" t="s">
        <v>17</v>
      </c>
      <c r="S25" s="711">
        <f>F25</f>
        <v>100</v>
      </c>
      <c r="T25" s="710" t="s">
        <v>17</v>
      </c>
      <c r="U25" s="711">
        <f>H25</f>
        <v>100</v>
      </c>
      <c r="V25" s="710" t="s">
        <v>17</v>
      </c>
      <c r="W25" s="711">
        <f>J25</f>
        <v>100</v>
      </c>
      <c r="X25" s="712"/>
      <c r="Y25" s="3483"/>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483"/>
      <c r="Q26" s="1478"/>
      <c r="R26" s="710"/>
      <c r="S26" s="711"/>
      <c r="T26" s="710"/>
      <c r="U26" s="711"/>
      <c r="V26" s="710"/>
      <c r="W26" s="711"/>
      <c r="X26" s="712"/>
      <c r="Y26" s="348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8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3"/>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83"/>
      <c r="Q28" s="1487" t="str">
        <f t="shared" si="8"/>
        <v>毗邻道路的类型与等级</v>
      </c>
      <c r="R28" s="714" t="s">
        <v>17</v>
      </c>
      <c r="S28" s="715">
        <f t="shared" si="10"/>
        <v>100</v>
      </c>
      <c r="T28" s="714" t="s">
        <v>17</v>
      </c>
      <c r="U28" s="715">
        <f t="shared" si="11"/>
        <v>100</v>
      </c>
      <c r="V28" s="714" t="s">
        <v>17</v>
      </c>
      <c r="W28" s="715">
        <f t="shared" si="12"/>
        <v>100</v>
      </c>
      <c r="X28" s="1490"/>
      <c r="Y28" s="3483"/>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483"/>
      <c r="Q29" s="1487"/>
      <c r="R29" s="714"/>
      <c r="S29" s="715"/>
      <c r="T29" s="714"/>
      <c r="U29" s="715"/>
      <c r="V29" s="714"/>
      <c r="W29" s="715"/>
      <c r="X29" s="1490"/>
      <c r="Y29" s="348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83"/>
      <c r="Q30" s="1487" t="str">
        <f t="shared" si="8"/>
        <v>土地级别</v>
      </c>
      <c r="R30" s="714" t="s">
        <v>17</v>
      </c>
      <c r="S30" s="715">
        <f t="shared" si="10"/>
        <v>100</v>
      </c>
      <c r="T30" s="714" t="s">
        <v>17</v>
      </c>
      <c r="U30" s="715">
        <f t="shared" si="11"/>
        <v>100</v>
      </c>
      <c r="V30" s="714" t="s">
        <v>17</v>
      </c>
      <c r="W30" s="715">
        <f t="shared" si="12"/>
        <v>100</v>
      </c>
      <c r="X30" s="1490"/>
      <c r="Y30" s="3483"/>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83"/>
      <c r="Q31" s="1487">
        <f t="shared" si="8"/>
        <v>111</v>
      </c>
      <c r="R31" s="714" t="s">
        <v>17</v>
      </c>
      <c r="S31" s="715">
        <f t="shared" si="10"/>
        <v>100</v>
      </c>
      <c r="T31" s="714" t="s">
        <v>17</v>
      </c>
      <c r="U31" s="715">
        <f t="shared" si="11"/>
        <v>100</v>
      </c>
      <c r="V31" s="714" t="s">
        <v>17</v>
      </c>
      <c r="W31" s="715">
        <f t="shared" si="12"/>
        <v>100</v>
      </c>
      <c r="X31" s="1490"/>
      <c r="Y31" s="3483"/>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84" t="s">
        <v>2145</v>
      </c>
      <c r="Q32" s="1487">
        <f t="shared" si="8"/>
        <v>111</v>
      </c>
      <c r="R32" s="714" t="s">
        <v>17</v>
      </c>
      <c r="S32" s="715">
        <f t="shared" si="10"/>
        <v>100</v>
      </c>
      <c r="T32" s="714" t="s">
        <v>17</v>
      </c>
      <c r="U32" s="715">
        <f t="shared" si="11"/>
        <v>100</v>
      </c>
      <c r="V32" s="714" t="s">
        <v>17</v>
      </c>
      <c r="W32" s="715">
        <f t="shared" si="12"/>
        <v>100</v>
      </c>
      <c r="X32" s="1490"/>
      <c r="Y32" s="3485"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85"/>
      <c r="Q33" s="1487">
        <f t="shared" si="8"/>
        <v>111</v>
      </c>
      <c r="R33" s="717" t="s">
        <v>17</v>
      </c>
      <c r="S33" s="718">
        <f t="shared" si="10"/>
        <v>100</v>
      </c>
      <c r="T33" s="717" t="s">
        <v>17</v>
      </c>
      <c r="U33" s="718">
        <f t="shared" si="11"/>
        <v>100</v>
      </c>
      <c r="V33" s="717" t="s">
        <v>17</v>
      </c>
      <c r="W33" s="718">
        <f t="shared" si="12"/>
        <v>100</v>
      </c>
      <c r="X33" s="719"/>
      <c r="Y33" s="3485"/>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85"/>
      <c r="Q34" s="1487" t="str">
        <f>B34</f>
        <v>宗地面积</v>
      </c>
      <c r="R34" s="714" t="s">
        <v>17</v>
      </c>
      <c r="S34" s="715" t="e">
        <f t="shared" si="10"/>
        <v>#N/A</v>
      </c>
      <c r="T34" s="714" t="s">
        <v>17</v>
      </c>
      <c r="U34" s="715" t="e">
        <f t="shared" si="11"/>
        <v>#N/A</v>
      </c>
      <c r="V34" s="714" t="s">
        <v>17</v>
      </c>
      <c r="W34" s="715" t="e">
        <f t="shared" si="12"/>
        <v>#N/A</v>
      </c>
      <c r="X34" s="1490"/>
      <c r="Y34" s="3485"/>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485"/>
      <c r="Q35" s="1487" t="str">
        <f t="shared" ref="Q35:Q40" si="14">B35</f>
        <v>宗地形状</v>
      </c>
      <c r="R35" s="714" t="s">
        <v>17</v>
      </c>
      <c r="S35" s="715">
        <f t="shared" si="10"/>
        <v>100</v>
      </c>
      <c r="T35" s="714" t="s">
        <v>17</v>
      </c>
      <c r="U35" s="715">
        <f t="shared" si="11"/>
        <v>100</v>
      </c>
      <c r="V35" s="714" t="s">
        <v>17</v>
      </c>
      <c r="W35" s="715">
        <f t="shared" si="12"/>
        <v>100</v>
      </c>
      <c r="X35" s="1490"/>
      <c r="Y35" s="3485"/>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485"/>
      <c r="Q36" s="1487" t="str">
        <f t="shared" si="14"/>
        <v>宗地开发程度</v>
      </c>
      <c r="R36" s="710" t="s">
        <v>17</v>
      </c>
      <c r="S36" s="711">
        <f t="shared" si="10"/>
        <v>100</v>
      </c>
      <c r="T36" s="710" t="s">
        <v>17</v>
      </c>
      <c r="U36" s="711">
        <f t="shared" si="11"/>
        <v>100</v>
      </c>
      <c r="V36" s="710" t="s">
        <v>17</v>
      </c>
      <c r="W36" s="711">
        <f t="shared" si="12"/>
        <v>100</v>
      </c>
      <c r="X36" s="712"/>
      <c r="Y36" s="3485"/>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485" t="s">
        <v>2145</v>
      </c>
      <c r="Q37" s="1487" t="str">
        <f t="shared" si="14"/>
        <v>工程地质条件</v>
      </c>
      <c r="R37" s="714" t="s">
        <v>17</v>
      </c>
      <c r="S37" s="715">
        <f t="shared" si="10"/>
        <v>100</v>
      </c>
      <c r="T37" s="714" t="s">
        <v>17</v>
      </c>
      <c r="U37" s="715">
        <f t="shared" si="11"/>
        <v>100</v>
      </c>
      <c r="V37" s="714" t="s">
        <v>17</v>
      </c>
      <c r="W37" s="715">
        <f t="shared" si="12"/>
        <v>100</v>
      </c>
      <c r="X37" s="1490"/>
      <c r="Y37" s="3485"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85"/>
      <c r="Q38" s="1487">
        <f t="shared" si="14"/>
        <v>111</v>
      </c>
      <c r="R38" s="714" t="s">
        <v>17</v>
      </c>
      <c r="S38" s="715">
        <f t="shared" si="10"/>
        <v>100</v>
      </c>
      <c r="T38" s="714" t="s">
        <v>17</v>
      </c>
      <c r="U38" s="715">
        <f t="shared" si="11"/>
        <v>100</v>
      </c>
      <c r="V38" s="714" t="s">
        <v>17</v>
      </c>
      <c r="W38" s="715">
        <f t="shared" si="12"/>
        <v>100</v>
      </c>
      <c r="X38" s="1490"/>
      <c r="Y38" s="348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85"/>
      <c r="Q39" s="1487">
        <f t="shared" si="14"/>
        <v>111</v>
      </c>
      <c r="R39" s="714" t="s">
        <v>17</v>
      </c>
      <c r="S39" s="715">
        <f t="shared" si="10"/>
        <v>100</v>
      </c>
      <c r="T39" s="714" t="s">
        <v>17</v>
      </c>
      <c r="U39" s="715">
        <f t="shared" si="11"/>
        <v>100</v>
      </c>
      <c r="V39" s="714" t="s">
        <v>17</v>
      </c>
      <c r="W39" s="715">
        <f t="shared" si="12"/>
        <v>100</v>
      </c>
      <c r="X39" s="1490"/>
      <c r="Y39" s="3485"/>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85"/>
      <c r="Q40" s="1487">
        <f t="shared" si="14"/>
        <v>111</v>
      </c>
      <c r="R40" s="717" t="s">
        <v>17</v>
      </c>
      <c r="S40" s="718">
        <f t="shared" si="10"/>
        <v>100</v>
      </c>
      <c r="T40" s="717" t="s">
        <v>17</v>
      </c>
      <c r="U40" s="718">
        <f t="shared" si="11"/>
        <v>100</v>
      </c>
      <c r="V40" s="717" t="s">
        <v>17</v>
      </c>
      <c r="W40" s="718">
        <f t="shared" si="12"/>
        <v>100</v>
      </c>
      <c r="X40" s="719"/>
      <c r="Y40" s="3485"/>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898"/>
      <c r="M41" s="2890"/>
      <c r="N41" s="2890"/>
      <c r="O41" s="2899"/>
      <c r="P41" s="3481" t="str">
        <f>A41</f>
        <v>成交单价</v>
      </c>
      <c r="Q41" s="3481"/>
      <c r="R41" s="3486">
        <f>E41</f>
        <v>0</v>
      </c>
      <c r="S41" s="3486"/>
      <c r="T41" s="3486">
        <f>G41</f>
        <v>0</v>
      </c>
      <c r="U41" s="3486"/>
      <c r="V41" s="3486">
        <f>I41</f>
        <v>0</v>
      </c>
      <c r="W41" s="3486"/>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81" t="str">
        <f>A42</f>
        <v>比较价值（元/平方米）</v>
      </c>
      <c r="Q42" s="3481"/>
      <c r="R42" s="3474" t="e">
        <f>ROUND(PRODUCT(R41,AA7:AA40),0)</f>
        <v>#DIV/0!</v>
      </c>
      <c r="S42" s="3474"/>
      <c r="T42" s="3474" t="e">
        <f>ROUND(PRODUCT(T41,AB7:AB40),0)</f>
        <v>#DIV/0!</v>
      </c>
      <c r="U42" s="3474"/>
      <c r="V42" s="3474" t="e">
        <f>ROUND(PRODUCT(V41,AC7:AC40),0)</f>
        <v>#DIV/0!</v>
      </c>
      <c r="W42" s="347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8"/>
      <c r="M43" s="2890"/>
      <c r="N43" s="2890"/>
      <c r="O43" s="2899"/>
      <c r="P43" s="3475" t="str">
        <f>A43</f>
        <v>估价对象XX用房的比较价值（楼面单价，元/平方米）</v>
      </c>
      <c r="Q43" s="3476"/>
      <c r="R43" s="3477" t="e">
        <f>ROUND(IF(D42="简单平均",AVERAGE(R42:W42),R42*F42+T42*H42+V42*J42),0)</f>
        <v>#DIV/0!</v>
      </c>
      <c r="S43" s="3477"/>
      <c r="T43" s="3477"/>
      <c r="U43" s="3477"/>
      <c r="V43" s="3477"/>
      <c r="W43" s="3477"/>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40" t="s">
        <v>2338</v>
      </c>
      <c r="B50" s="641" t="s">
        <v>2339</v>
      </c>
      <c r="C50" s="2119" t="s">
        <v>2340</v>
      </c>
      <c r="D50" s="2120" t="s">
        <v>2341</v>
      </c>
      <c r="E50" s="642" t="s">
        <v>2342</v>
      </c>
      <c r="F50" s="643" t="s">
        <v>2343</v>
      </c>
      <c r="G50" s="3478" t="s">
        <v>2344</v>
      </c>
      <c r="H50" s="3479"/>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8275.91</v>
      </c>
      <c r="F51" s="647" t="e">
        <f t="shared" ref="F51:F60" si="15">ROUND(B51*E51/10000,0)</f>
        <v>#DIV/0!</v>
      </c>
      <c r="G51" s="3480"/>
      <c r="H51" s="3481"/>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5" thickBot="1">
      <c r="A61" s="651" t="s">
        <v>2360</v>
      </c>
      <c r="B61" s="652" t="s">
        <v>28</v>
      </c>
      <c r="C61" s="652" t="s">
        <v>29</v>
      </c>
      <c r="D61" s="652" t="s">
        <v>816</v>
      </c>
      <c r="E61" s="652">
        <f>IF(B41="楼面地价",SUM(E51:E60),'数据-汇总表'!D3)</f>
        <v>47032</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1.75"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5">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0.18</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6"/>
      <c r="B4" s="3577"/>
      <c r="C4" s="3577"/>
      <c r="D4" s="3578"/>
      <c r="E4" s="3578"/>
      <c r="F4" s="3578"/>
      <c r="G4" s="3578"/>
      <c r="H4" s="3578"/>
      <c r="I4" s="3578"/>
      <c r="J4" s="3579"/>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80"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0.18</v>
      </c>
      <c r="AA7" s="1331"/>
      <c r="AB7" s="1331"/>
      <c r="AC7" s="1332"/>
      <c r="AD7" s="1333"/>
      <c r="AE7" s="1333"/>
      <c r="AF7" s="1333"/>
      <c r="AG7" s="1333"/>
      <c r="AH7" s="1333"/>
      <c r="AI7" s="1333"/>
      <c r="AJ7" s="1334"/>
    </row>
    <row r="8" spans="1:36" ht="15">
      <c r="A8" s="3581"/>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3" t="s">
        <v>2419</v>
      </c>
      <c r="X8" s="357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81"/>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1"/>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1"/>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5" t="s">
        <v>2443</v>
      </c>
      <c r="X11" s="1339" t="s">
        <v>2444</v>
      </c>
      <c r="Y11" s="1340">
        <f>$G$3</f>
        <v>0.18</v>
      </c>
      <c r="Z11" s="1340">
        <f t="shared" ref="Z11:AJ11" si="3">$G$3</f>
        <v>0.18</v>
      </c>
      <c r="AA11" s="1340">
        <f t="shared" si="3"/>
        <v>0.18</v>
      </c>
      <c r="AB11" s="1340">
        <f t="shared" si="3"/>
        <v>0.18</v>
      </c>
      <c r="AC11" s="1340">
        <f t="shared" si="3"/>
        <v>0.18</v>
      </c>
      <c r="AD11" s="1340">
        <f t="shared" si="3"/>
        <v>0.18</v>
      </c>
      <c r="AE11" s="1340">
        <f t="shared" si="3"/>
        <v>0.18</v>
      </c>
      <c r="AF11" s="1340">
        <f t="shared" si="3"/>
        <v>0.18</v>
      </c>
      <c r="AG11" s="1340">
        <f t="shared" si="3"/>
        <v>0.18</v>
      </c>
      <c r="AH11" s="1340">
        <f t="shared" si="3"/>
        <v>0.18</v>
      </c>
      <c r="AI11" s="1340">
        <f t="shared" si="3"/>
        <v>0.18</v>
      </c>
      <c r="AJ11" s="1340">
        <f t="shared" si="3"/>
        <v>0.18</v>
      </c>
    </row>
    <row r="12" spans="1:36" ht="25.5" thickBot="1">
      <c r="A12" s="3580"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2"/>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75"/>
      <c r="X13" s="1341"/>
      <c r="Y13" s="1338">
        <f>(-0.163*(Y12^2)-0.59*Y12+7617)*(10^(-4))/Y11</f>
        <v>4.2316666666666674</v>
      </c>
      <c r="Z13" s="1338">
        <f t="shared" ref="Z13:AJ13" si="5">(-0.163*(Z12^2)-0.59*Z12+7617)*(10^(-4))/Z11</f>
        <v>4.2316666666666674</v>
      </c>
      <c r="AA13" s="1338">
        <f t="shared" si="5"/>
        <v>4.2316666666666674</v>
      </c>
      <c r="AB13" s="1338">
        <f t="shared" si="5"/>
        <v>4.2316666666666674</v>
      </c>
      <c r="AC13" s="1338">
        <f t="shared" si="5"/>
        <v>4.2316666666666674</v>
      </c>
      <c r="AD13" s="1338">
        <f t="shared" si="5"/>
        <v>4.2316666666666674</v>
      </c>
      <c r="AE13" s="1338">
        <f t="shared" si="5"/>
        <v>4.2316666666666674</v>
      </c>
      <c r="AF13" s="1338">
        <f t="shared" si="5"/>
        <v>4.2316666666666674</v>
      </c>
      <c r="AG13" s="1338">
        <f t="shared" si="5"/>
        <v>4.2316666666666674</v>
      </c>
      <c r="AH13" s="1338">
        <f t="shared" si="5"/>
        <v>4.2316666666666674</v>
      </c>
      <c r="AI13" s="1338">
        <f t="shared" si="5"/>
        <v>4.2316666666666674</v>
      </c>
      <c r="AJ13" s="1338">
        <f t="shared" si="5"/>
        <v>4.2316666666666674</v>
      </c>
    </row>
    <row r="14" spans="1:36" ht="15">
      <c r="A14" s="3582"/>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75" thickBot="1">
      <c r="A15" s="3583"/>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80" t="s">
        <v>2462</v>
      </c>
      <c r="B16" s="2159" t="s">
        <v>2463</v>
      </c>
      <c r="C16" s="2321" t="e">
        <f>ROUND(IF(F17="与级别开发程度一致",0,(G17-E17)/C17),0)</f>
        <v>#DIV/0!</v>
      </c>
      <c r="D16" s="3596" t="s">
        <v>2467</v>
      </c>
      <c r="E16" s="3597"/>
      <c r="F16" s="3596" t="s">
        <v>2464</v>
      </c>
      <c r="G16" s="3597"/>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5" thickBot="1">
      <c r="A17" s="3584"/>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5">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25">
      <c r="A22" s="2091" t="s">
        <v>2484</v>
      </c>
      <c r="B22" s="2218" t="s">
        <v>2485</v>
      </c>
      <c r="C22" s="1487" t="s">
        <v>2486</v>
      </c>
      <c r="D22" s="1487">
        <f>IF(E22=G22,F22,IF(G3&lt;=10,ROUND(F22+(H22-F22)*(G3-E22)/(G22-E22),4),"——"))</f>
        <v>0</v>
      </c>
      <c r="E22" s="837">
        <f>ROUNDDOWN(G3,1)</f>
        <v>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7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93"/>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98"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94"/>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9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94"/>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9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95"/>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95"/>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1">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89.25">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38.25">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51.75"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89.25">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38.25">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51.75"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89.25">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38.25">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51">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85" t="s">
        <v>2550</v>
      </c>
      <c r="B90" s="3585"/>
      <c r="C90" s="3585"/>
      <c r="D90" s="3585"/>
      <c r="E90" s="3585"/>
      <c r="F90" s="3585"/>
      <c r="G90" s="3585"/>
      <c r="H90" s="3585"/>
      <c r="I90" s="3585"/>
      <c r="J90" s="3585"/>
      <c r="K90" s="2293"/>
      <c r="L90" s="2293"/>
      <c r="M90" s="2293"/>
      <c r="N90" s="2293"/>
    </row>
    <row r="91" spans="1:37">
      <c r="A91" s="3587" t="s">
        <v>2551</v>
      </c>
      <c r="B91" s="3587" t="s">
        <v>2552</v>
      </c>
      <c r="C91" s="2247" t="s">
        <v>2553</v>
      </c>
      <c r="D91" s="2248"/>
      <c r="E91" s="2248"/>
      <c r="F91" s="2248"/>
      <c r="G91" s="2248"/>
      <c r="H91" s="2248"/>
      <c r="I91" s="2248"/>
      <c r="J91" s="2294"/>
      <c r="K91" s="2295"/>
      <c r="L91" s="2295"/>
      <c r="M91" s="2295"/>
      <c r="N91" s="2295"/>
    </row>
    <row r="92" spans="1:37">
      <c r="A92" s="3587"/>
      <c r="B92" s="3587"/>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88"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89"/>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89"/>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89"/>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89"/>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89"/>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89"/>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90"/>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88" t="s">
        <v>2555</v>
      </c>
      <c r="B101" s="2300" t="s">
        <v>2556</v>
      </c>
      <c r="C101" s="2301">
        <f>$G$3</f>
        <v>0.18</v>
      </c>
      <c r="D101" s="2301">
        <f t="shared" ref="D101:N101" si="31">$G$3</f>
        <v>0.18</v>
      </c>
      <c r="E101" s="2301">
        <f t="shared" si="31"/>
        <v>0.18</v>
      </c>
      <c r="F101" s="2301">
        <f t="shared" si="31"/>
        <v>0.18</v>
      </c>
      <c r="G101" s="2301">
        <f t="shared" si="31"/>
        <v>0.18</v>
      </c>
      <c r="H101" s="2301">
        <f t="shared" si="31"/>
        <v>0.18</v>
      </c>
      <c r="I101" s="2301">
        <f t="shared" si="31"/>
        <v>0.18</v>
      </c>
      <c r="J101" s="2301">
        <f t="shared" si="31"/>
        <v>0.18</v>
      </c>
      <c r="K101" s="2301">
        <f t="shared" si="31"/>
        <v>0.18</v>
      </c>
      <c r="L101" s="2301">
        <f t="shared" si="31"/>
        <v>0.18</v>
      </c>
      <c r="M101" s="2301">
        <f t="shared" si="31"/>
        <v>0.18</v>
      </c>
      <c r="N101" s="2301">
        <f t="shared" si="31"/>
        <v>0.18</v>
      </c>
    </row>
    <row r="102" spans="1:14">
      <c r="A102" s="3589"/>
      <c r="B102" s="2296">
        <v>1</v>
      </c>
      <c r="C102" s="2297">
        <f>1.9362/C101</f>
        <v>10.756666666666666</v>
      </c>
      <c r="D102" s="2297">
        <f>1.9362/D101</f>
        <v>10.756666666666666</v>
      </c>
      <c r="E102" s="2297">
        <f>1.8629/E101</f>
        <v>10.349444444444444</v>
      </c>
      <c r="F102" s="2297">
        <f>1.8629/F101</f>
        <v>10.349444444444444</v>
      </c>
      <c r="G102" s="2297">
        <f>1.8629/G101</f>
        <v>10.349444444444444</v>
      </c>
      <c r="H102" s="2297">
        <f>1.8629/H101</f>
        <v>10.349444444444444</v>
      </c>
      <c r="I102" s="2297">
        <f>1.8629/I101</f>
        <v>10.349444444444444</v>
      </c>
      <c r="J102" s="2297">
        <f>1.942/J101</f>
        <v>10.78888888888889</v>
      </c>
      <c r="K102" s="2297">
        <f>1.942/K101</f>
        <v>10.78888888888889</v>
      </c>
      <c r="L102" s="2297">
        <f>1.942/L101</f>
        <v>10.78888888888889</v>
      </c>
      <c r="M102" s="2297">
        <f>1.942/M101</f>
        <v>10.78888888888889</v>
      </c>
      <c r="N102" s="2297">
        <f>1.942/N101</f>
        <v>10.78888888888889</v>
      </c>
    </row>
    <row r="103" spans="1:14">
      <c r="A103" s="3589"/>
      <c r="B103" s="2296">
        <v>2</v>
      </c>
      <c r="C103" s="2297">
        <f>1.4198/C101</f>
        <v>7.887777777777778</v>
      </c>
      <c r="D103" s="2297">
        <f>1.4198/D101</f>
        <v>7.887777777777778</v>
      </c>
      <c r="E103" s="2297">
        <f>1.3372/E101</f>
        <v>7.4288888888888884</v>
      </c>
      <c r="F103" s="2297">
        <f>1.3372/F101</f>
        <v>7.4288888888888884</v>
      </c>
      <c r="G103" s="2297">
        <f>1.3372/G101</f>
        <v>7.4288888888888884</v>
      </c>
      <c r="H103" s="2297">
        <f>1.3372/H101</f>
        <v>7.4288888888888884</v>
      </c>
      <c r="I103" s="2297">
        <f>1.3372/I101</f>
        <v>7.4288888888888884</v>
      </c>
      <c r="J103" s="2297">
        <f>1.2799/J101</f>
        <v>7.110555555555556</v>
      </c>
      <c r="K103" s="2297">
        <f>1.2799/K101</f>
        <v>7.110555555555556</v>
      </c>
      <c r="L103" s="2297">
        <f>1.2799/L101</f>
        <v>7.110555555555556</v>
      </c>
      <c r="M103" s="2297">
        <f>1.2799/M101</f>
        <v>7.110555555555556</v>
      </c>
      <c r="N103" s="2297">
        <f>1.2799/N101</f>
        <v>7.110555555555556</v>
      </c>
    </row>
    <row r="104" spans="1:14">
      <c r="A104" s="3589"/>
      <c r="B104" s="2296">
        <v>3</v>
      </c>
      <c r="C104" s="2297">
        <f>1.1594/C101</f>
        <v>6.4411111111111117</v>
      </c>
      <c r="D104" s="2297">
        <f>1.1594/D101</f>
        <v>6.4411111111111117</v>
      </c>
      <c r="E104" s="2297">
        <f>1.0788/E101</f>
        <v>5.9933333333333332</v>
      </c>
      <c r="F104" s="2297">
        <f>1.0788/F101</f>
        <v>5.9933333333333332</v>
      </c>
      <c r="G104" s="2297">
        <f>1.0788/G101</f>
        <v>5.9933333333333332</v>
      </c>
      <c r="H104" s="2297">
        <f>1.0788/H101</f>
        <v>5.9933333333333332</v>
      </c>
      <c r="I104" s="2297">
        <f>1.0788/I101</f>
        <v>5.9933333333333332</v>
      </c>
      <c r="J104" s="2297">
        <f>1.0072/J101</f>
        <v>5.5955555555555563</v>
      </c>
      <c r="K104" s="2297">
        <f>1.0072/K101</f>
        <v>5.5955555555555563</v>
      </c>
      <c r="L104" s="2297">
        <f>1.0072/L101</f>
        <v>5.5955555555555563</v>
      </c>
      <c r="M104" s="2297">
        <f>1.0072/M101</f>
        <v>5.5955555555555563</v>
      </c>
      <c r="N104" s="2297">
        <f>1.0072/N101</f>
        <v>5.5955555555555563</v>
      </c>
    </row>
    <row r="105" spans="1:14">
      <c r="A105" s="3589"/>
      <c r="B105" s="2296">
        <v>4</v>
      </c>
      <c r="C105" s="2297">
        <f>0.9622/C101</f>
        <v>5.3455555555555563</v>
      </c>
      <c r="D105" s="2297">
        <f>0.9622/D101</f>
        <v>5.3455555555555563</v>
      </c>
      <c r="E105" s="2297">
        <f>0.8656/E101</f>
        <v>4.8088888888888892</v>
      </c>
      <c r="F105" s="2297">
        <f>0.8656/F101</f>
        <v>4.8088888888888892</v>
      </c>
      <c r="G105" s="2297">
        <f>0.8656/G101</f>
        <v>4.8088888888888892</v>
      </c>
      <c r="H105" s="2297">
        <f>0.8656/H101</f>
        <v>4.8088888888888892</v>
      </c>
      <c r="I105" s="2297">
        <f>0.8656/I101</f>
        <v>4.8088888888888892</v>
      </c>
      <c r="J105" s="2297">
        <f>0.7525/J101</f>
        <v>4.1805555555555554</v>
      </c>
      <c r="K105" s="2297">
        <f>0.7525/K101</f>
        <v>4.1805555555555554</v>
      </c>
      <c r="L105" s="2297">
        <f>0.7525/L101</f>
        <v>4.1805555555555554</v>
      </c>
      <c r="M105" s="2297">
        <f>0.7525/M101</f>
        <v>4.1805555555555554</v>
      </c>
      <c r="N105" s="2297">
        <f>0.7525/N101</f>
        <v>4.1805555555555554</v>
      </c>
    </row>
    <row r="106" spans="1:14">
      <c r="A106" s="3589"/>
      <c r="B106" s="2296">
        <v>5</v>
      </c>
      <c r="C106" s="2297">
        <f>0.8417/C101</f>
        <v>4.6761111111111111</v>
      </c>
      <c r="D106" s="2297">
        <f>0.8417/D101</f>
        <v>4.6761111111111111</v>
      </c>
      <c r="E106" s="2297">
        <f>0.7371/E101</f>
        <v>4.0949999999999998</v>
      </c>
      <c r="F106" s="2297">
        <f>0.7371/F101</f>
        <v>4.0949999999999998</v>
      </c>
      <c r="G106" s="2297">
        <f>0.7371/G101</f>
        <v>4.0949999999999998</v>
      </c>
      <c r="H106" s="2297">
        <f>0.7371/H101</f>
        <v>4.0949999999999998</v>
      </c>
      <c r="I106" s="2297">
        <f>0.7371/I101</f>
        <v>4.0949999999999998</v>
      </c>
      <c r="J106" s="2297">
        <f>0.5659/J101</f>
        <v>3.1438888888888887</v>
      </c>
      <c r="K106" s="2297">
        <f>0.5659/K101</f>
        <v>3.1438888888888887</v>
      </c>
      <c r="L106" s="2297">
        <f>0.5659/L101</f>
        <v>3.1438888888888887</v>
      </c>
      <c r="M106" s="2297">
        <f>0.5659/M101</f>
        <v>3.1438888888888887</v>
      </c>
      <c r="N106" s="2297">
        <f>0.5659/N101</f>
        <v>3.1438888888888887</v>
      </c>
    </row>
    <row r="107" spans="1:14">
      <c r="A107" s="3589"/>
      <c r="B107" s="2296">
        <v>6</v>
      </c>
      <c r="C107" s="2297">
        <f>0.7608/C101</f>
        <v>4.2266666666666666</v>
      </c>
      <c r="D107" s="2297">
        <f>0.7608/D101</f>
        <v>4.2266666666666666</v>
      </c>
      <c r="E107" s="2297">
        <f>0.6482/E101</f>
        <v>3.6011111111111114</v>
      </c>
      <c r="F107" s="2297">
        <f>0.6482/F101</f>
        <v>3.6011111111111114</v>
      </c>
      <c r="G107" s="2297">
        <f>0.6482/G101</f>
        <v>3.6011111111111114</v>
      </c>
      <c r="H107" s="2297">
        <f>0.6482/H101</f>
        <v>3.6011111111111114</v>
      </c>
      <c r="I107" s="2297">
        <f>0.6482/I101</f>
        <v>3.6011111111111114</v>
      </c>
      <c r="J107" s="2297">
        <f>0.4525/J101</f>
        <v>2.5138888888888888</v>
      </c>
      <c r="K107" s="2297">
        <f>0.4525/K101</f>
        <v>2.5138888888888888</v>
      </c>
      <c r="L107" s="2297">
        <f>0.4525/L101</f>
        <v>2.5138888888888888</v>
      </c>
      <c r="M107" s="2297">
        <f>0.4525/M101</f>
        <v>2.5138888888888888</v>
      </c>
      <c r="N107" s="2297">
        <f>0.4525/N101</f>
        <v>2.5138888888888888</v>
      </c>
    </row>
    <row r="108" spans="1:14">
      <c r="A108" s="3589"/>
      <c r="B108" s="3591"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90"/>
      <c r="B109" s="3592"/>
      <c r="C109" s="2299">
        <f>(-0.163*(C108^2)-0.59*C108+7617)*(10^(-4))/C101</f>
        <v>4.2316666666666674</v>
      </c>
      <c r="D109" s="2299">
        <f>(-0.163*(D108^2)-0.59*D108+7617)*(10^(-4))/D101</f>
        <v>4.2316666666666674</v>
      </c>
      <c r="E109" s="2299">
        <f>(-0.161*(E108^2)-7.509*E108+6533)*(10^(-4))/E101</f>
        <v>3.6294444444444447</v>
      </c>
      <c r="F109" s="2299">
        <f>(-0.161*(F108^2)-7.509*F108+6533)*(10^(-4))/F101</f>
        <v>3.6294444444444447</v>
      </c>
      <c r="G109" s="2299">
        <f>(-0.161*(G108^2)-7.509*G108+6533)*(10^(-4))/G101</f>
        <v>3.6294444444444447</v>
      </c>
      <c r="H109" s="2299">
        <f>(-0.161*(H108^2)-7.509*H108+6533)*(10^(-4))/H101</f>
        <v>3.6294444444444447</v>
      </c>
      <c r="I109" s="2299">
        <f>(-0.161*(I108^2)-7.509*I108+6533)*(10^(-4))/I101</f>
        <v>3.6294444444444447</v>
      </c>
      <c r="J109" s="2299">
        <f>(-0.214*(J108^2)-21.991*J108+4665)*(10^(-4))/J101</f>
        <v>2.5916666666666668</v>
      </c>
      <c r="K109" s="2299">
        <f>(-0.214*(K108^2)-21.991*K108+4665)*(10^(-4))/K101</f>
        <v>2.5916666666666668</v>
      </c>
      <c r="L109" s="2299">
        <f>(-0.214*(L108^2)-21.991*L108+4665)*(10^(-4))/L101</f>
        <v>2.5916666666666668</v>
      </c>
      <c r="M109" s="2299">
        <f>(-0.214*(M108^2)-21.991*M108+4665)*(10^(-4))/M101</f>
        <v>2.5916666666666668</v>
      </c>
      <c r="N109" s="2299">
        <f>(-0.214*(N108^2)-21.991*N108+4665)*(10^(-4))/N101</f>
        <v>2.5916666666666668</v>
      </c>
    </row>
    <row r="110" spans="1:14">
      <c r="A110" s="3586" t="s">
        <v>2558</v>
      </c>
      <c r="B110" s="3586"/>
      <c r="C110" s="3586"/>
      <c r="D110" s="3586"/>
      <c r="E110" s="3586"/>
      <c r="F110" s="3586"/>
      <c r="G110" s="3586"/>
      <c r="H110" s="3586"/>
      <c r="I110" s="3586"/>
      <c r="J110" s="3586"/>
      <c r="K110" s="2302"/>
      <c r="L110" s="2302"/>
      <c r="M110" s="2302"/>
      <c r="N110" s="2302"/>
    </row>
    <row r="112" spans="1:14" ht="13.5" thickBot="1"/>
    <row r="113" spans="1:13" ht="25.5" thickBot="1">
      <c r="A113" s="824" t="s">
        <v>2559</v>
      </c>
      <c r="B113" s="1178">
        <f>G3</f>
        <v>0.18</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0.93179999999999996</v>
      </c>
      <c r="C115" s="831">
        <f>B115</f>
        <v>0.93179999999999996</v>
      </c>
      <c r="D115" s="831">
        <f>ROUND(0.8331-0.0109*B113,4)</f>
        <v>0.83109999999999995</v>
      </c>
      <c r="E115" s="831">
        <f>D115</f>
        <v>0.83109999999999995</v>
      </c>
      <c r="F115" s="831">
        <f>E115</f>
        <v>0.83109999999999995</v>
      </c>
      <c r="G115" s="831">
        <f>F115</f>
        <v>0.83109999999999995</v>
      </c>
      <c r="H115" s="831">
        <f>G115</f>
        <v>0.83109999999999995</v>
      </c>
      <c r="I115" s="831">
        <f>ROUND(0.689-0.0155*B113,4)</f>
        <v>0.68620000000000003</v>
      </c>
      <c r="J115" s="831">
        <f t="shared" ref="J115:M118" si="33">I115</f>
        <v>0.68620000000000003</v>
      </c>
      <c r="K115" s="831">
        <f t="shared" si="33"/>
        <v>0.68620000000000003</v>
      </c>
      <c r="L115" s="831">
        <f t="shared" si="33"/>
        <v>0.68620000000000003</v>
      </c>
      <c r="M115" s="832">
        <f t="shared" si="33"/>
        <v>0.68620000000000003</v>
      </c>
    </row>
    <row r="116" spans="1:13">
      <c r="A116" s="830" t="s">
        <v>2459</v>
      </c>
      <c r="B116" s="831">
        <f>ROUND(0.949-0.012*B113,4)</f>
        <v>0.94679999999999997</v>
      </c>
      <c r="C116" s="831">
        <f>B116</f>
        <v>0.94679999999999997</v>
      </c>
      <c r="D116" s="831">
        <f>ROUND(0.8567-0.013*B113,4)</f>
        <v>0.85440000000000005</v>
      </c>
      <c r="E116" s="831">
        <f t="shared" ref="E116:H117" si="34">D116</f>
        <v>0.85440000000000005</v>
      </c>
      <c r="F116" s="831">
        <f t="shared" si="34"/>
        <v>0.85440000000000005</v>
      </c>
      <c r="G116" s="831">
        <f t="shared" si="34"/>
        <v>0.85440000000000005</v>
      </c>
      <c r="H116" s="831">
        <f t="shared" si="34"/>
        <v>0.85440000000000005</v>
      </c>
      <c r="I116" s="831">
        <f>ROUND(0.7694-0.014*B113,4)</f>
        <v>0.76690000000000003</v>
      </c>
      <c r="J116" s="831">
        <f t="shared" si="33"/>
        <v>0.76690000000000003</v>
      </c>
      <c r="K116" s="831">
        <f t="shared" si="33"/>
        <v>0.76690000000000003</v>
      </c>
      <c r="L116" s="831">
        <f t="shared" si="33"/>
        <v>0.76690000000000003</v>
      </c>
      <c r="M116" s="832">
        <f t="shared" si="33"/>
        <v>0.76690000000000003</v>
      </c>
    </row>
    <row r="117" spans="1:13">
      <c r="A117" s="830" t="s">
        <v>2460</v>
      </c>
      <c r="B117" s="831">
        <f>ROUND(0.8808-0.006*B113,4)</f>
        <v>0.87970000000000004</v>
      </c>
      <c r="C117" s="831">
        <f>B117</f>
        <v>0.87970000000000004</v>
      </c>
      <c r="D117" s="831">
        <f>ROUND(0.8748-0.008*B113,4)</f>
        <v>0.87339999999999995</v>
      </c>
      <c r="E117" s="831">
        <f t="shared" si="34"/>
        <v>0.87339999999999995</v>
      </c>
      <c r="F117" s="831">
        <f t="shared" si="34"/>
        <v>0.87339999999999995</v>
      </c>
      <c r="G117" s="831">
        <f t="shared" si="34"/>
        <v>0.87339999999999995</v>
      </c>
      <c r="H117" s="831">
        <f t="shared" si="34"/>
        <v>0.87339999999999995</v>
      </c>
      <c r="I117" s="831">
        <f>ROUND(0.7412-0.0095*B113,4)</f>
        <v>0.73950000000000005</v>
      </c>
      <c r="J117" s="831">
        <f t="shared" si="33"/>
        <v>0.73950000000000005</v>
      </c>
      <c r="K117" s="831">
        <f t="shared" si="33"/>
        <v>0.73950000000000005</v>
      </c>
      <c r="L117" s="831">
        <f t="shared" si="33"/>
        <v>0.73950000000000005</v>
      </c>
      <c r="M117" s="832">
        <f t="shared" si="33"/>
        <v>0.73950000000000005</v>
      </c>
    </row>
    <row r="118" spans="1:13" ht="13.5" thickBot="1">
      <c r="A118" s="670" t="s">
        <v>2461</v>
      </c>
      <c r="B118" s="833">
        <f>ROUND(0.7275-0.01*B113,4)</f>
        <v>0.72570000000000001</v>
      </c>
      <c r="C118" s="833">
        <f>B118</f>
        <v>0.72570000000000001</v>
      </c>
      <c r="D118" s="833">
        <f>ROUND(0.7043-0.012*B113,4)</f>
        <v>0.70209999999999995</v>
      </c>
      <c r="E118" s="833">
        <f>D118</f>
        <v>0.70209999999999995</v>
      </c>
      <c r="F118" s="833">
        <f>E118</f>
        <v>0.70209999999999995</v>
      </c>
      <c r="G118" s="833">
        <f>ROUND(0.6299-0.0122*B113,4)</f>
        <v>0.62770000000000004</v>
      </c>
      <c r="H118" s="833">
        <f>G118</f>
        <v>0.62770000000000004</v>
      </c>
      <c r="I118" s="833">
        <f>ROUND(0.5667-0.0136*B113,4)</f>
        <v>0.56430000000000002</v>
      </c>
      <c r="J118" s="833">
        <f t="shared" si="33"/>
        <v>0.56430000000000002</v>
      </c>
      <c r="K118" s="833">
        <f t="shared" si="33"/>
        <v>0.56430000000000002</v>
      </c>
      <c r="L118" s="833">
        <f t="shared" si="33"/>
        <v>0.56430000000000002</v>
      </c>
      <c r="M118" s="834">
        <f t="shared" si="33"/>
        <v>0.56430000000000002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608" t="s">
        <v>2946</v>
      </c>
      <c r="B20" s="3603" t="s">
        <v>2947</v>
      </c>
      <c r="C20" s="3205" t="s">
        <v>2948</v>
      </c>
      <c r="D20" s="3206"/>
      <c r="E20" s="3207">
        <v>1</v>
      </c>
      <c r="F20" s="3208" t="s">
        <v>2949</v>
      </c>
      <c r="G20" s="807"/>
      <c r="H20" s="801"/>
      <c r="I20" s="801"/>
    </row>
    <row r="21" spans="1:13" s="808" customFormat="1" ht="19.5" customHeight="1">
      <c r="A21" s="3609"/>
      <c r="B21" s="3602"/>
      <c r="C21" s="805" t="s">
        <v>2950</v>
      </c>
      <c r="D21" s="806"/>
      <c r="E21" s="3209">
        <v>1</v>
      </c>
      <c r="F21" s="3208" t="s">
        <v>2951</v>
      </c>
      <c r="G21" s="807"/>
      <c r="H21" s="801"/>
      <c r="I21" s="801"/>
    </row>
    <row r="22" spans="1:13" s="808" customFormat="1" ht="19.5" customHeight="1">
      <c r="A22" s="3609"/>
      <c r="B22" s="3602"/>
      <c r="C22" s="805" t="s">
        <v>2952</v>
      </c>
      <c r="D22" s="806"/>
      <c r="E22" s="3209">
        <v>0.9</v>
      </c>
      <c r="F22" s="3208" t="s">
        <v>2953</v>
      </c>
      <c r="G22" s="807"/>
      <c r="H22" s="801"/>
      <c r="I22" s="801"/>
    </row>
    <row r="23" spans="1:13" s="808" customFormat="1" ht="19.5" customHeight="1">
      <c r="A23" s="3609"/>
      <c r="B23" s="3602"/>
      <c r="C23" s="805" t="s">
        <v>2954</v>
      </c>
      <c r="D23" s="806"/>
      <c r="E23" s="3209">
        <v>0.9</v>
      </c>
      <c r="F23" s="3208" t="s">
        <v>2955</v>
      </c>
      <c r="G23" s="807"/>
      <c r="H23" s="801"/>
      <c r="I23" s="801"/>
    </row>
    <row r="24" spans="1:13" s="808" customFormat="1" ht="19.5" customHeight="1">
      <c r="A24" s="3609"/>
      <c r="B24" s="3602"/>
      <c r="C24" s="805" t="s">
        <v>2956</v>
      </c>
      <c r="D24" s="806"/>
      <c r="E24" s="3209">
        <v>0.8</v>
      </c>
      <c r="F24" s="3208" t="s">
        <v>2957</v>
      </c>
      <c r="G24" s="807"/>
      <c r="H24" s="801"/>
      <c r="I24" s="801"/>
    </row>
    <row r="25" spans="1:13" s="808" customFormat="1" ht="19.5" customHeight="1" thickBot="1">
      <c r="A25" s="3610"/>
      <c r="B25" s="3604"/>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605" t="s">
        <v>2963</v>
      </c>
      <c r="B27" s="3603" t="s">
        <v>2963</v>
      </c>
      <c r="C27" s="3205" t="s">
        <v>2964</v>
      </c>
      <c r="D27" s="3206"/>
      <c r="E27" s="3207">
        <v>1</v>
      </c>
      <c r="F27" s="3208" t="s">
        <v>2965</v>
      </c>
      <c r="G27" s="807"/>
      <c r="H27" s="801"/>
      <c r="I27" s="801"/>
    </row>
    <row r="28" spans="1:13" s="808" customFormat="1" ht="19.5" customHeight="1">
      <c r="A28" s="3606"/>
      <c r="B28" s="3602"/>
      <c r="C28" s="805" t="s">
        <v>2966</v>
      </c>
      <c r="D28" s="806"/>
      <c r="E28" s="3209">
        <v>1</v>
      </c>
      <c r="F28" s="3208" t="s">
        <v>2967</v>
      </c>
      <c r="G28" s="807"/>
      <c r="H28" s="801"/>
      <c r="I28" s="801"/>
    </row>
    <row r="29" spans="1:13" s="808" customFormat="1" ht="19.5" customHeight="1">
      <c r="A29" s="3606"/>
      <c r="B29" s="3602"/>
      <c r="C29" s="805" t="s">
        <v>2968</v>
      </c>
      <c r="D29" s="806"/>
      <c r="E29" s="3209">
        <v>0.8</v>
      </c>
      <c r="F29" s="3208" t="s">
        <v>2969</v>
      </c>
      <c r="G29" s="807"/>
      <c r="H29" s="801"/>
      <c r="I29" s="801"/>
    </row>
    <row r="30" spans="1:13" s="808" customFormat="1" ht="19.5" customHeight="1">
      <c r="A30" s="3606"/>
      <c r="B30" s="3602"/>
      <c r="C30" s="805" t="s">
        <v>2970</v>
      </c>
      <c r="D30" s="806"/>
      <c r="E30" s="3209">
        <v>0.8</v>
      </c>
      <c r="F30" s="3208" t="s">
        <v>2971</v>
      </c>
      <c r="G30" s="807"/>
      <c r="H30" s="801"/>
      <c r="I30" s="801"/>
    </row>
    <row r="31" spans="1:13" s="808" customFormat="1" ht="19.5" customHeight="1">
      <c r="A31" s="3606"/>
      <c r="B31" s="3602"/>
      <c r="C31" s="805" t="s">
        <v>2972</v>
      </c>
      <c r="D31" s="806"/>
      <c r="E31" s="3209">
        <v>0.8</v>
      </c>
      <c r="F31" s="3208" t="s">
        <v>2973</v>
      </c>
      <c r="G31" s="807"/>
      <c r="H31" s="801"/>
      <c r="I31" s="801"/>
    </row>
    <row r="32" spans="1:13" s="808" customFormat="1" ht="19.5" customHeight="1">
      <c r="A32" s="3606"/>
      <c r="B32" s="3602"/>
      <c r="C32" s="805" t="s">
        <v>2974</v>
      </c>
      <c r="D32" s="806"/>
      <c r="E32" s="3209">
        <v>0.7</v>
      </c>
      <c r="F32" s="3208" t="s">
        <v>2975</v>
      </c>
      <c r="G32" s="807"/>
      <c r="H32" s="801"/>
      <c r="I32" s="801"/>
    </row>
    <row r="33" spans="1:9" s="808" customFormat="1" ht="19.5" customHeight="1">
      <c r="A33" s="3606"/>
      <c r="B33" s="3602"/>
      <c r="C33" s="805" t="s">
        <v>2976</v>
      </c>
      <c r="D33" s="806"/>
      <c r="E33" s="3209">
        <v>0.8</v>
      </c>
      <c r="F33" s="3208" t="s">
        <v>2977</v>
      </c>
      <c r="G33" s="807"/>
      <c r="H33" s="801"/>
      <c r="I33" s="801"/>
    </row>
    <row r="34" spans="1:9" s="808" customFormat="1" ht="19.5" customHeight="1">
      <c r="A34" s="3606"/>
      <c r="B34" s="3602"/>
      <c r="C34" s="805" t="s">
        <v>2978</v>
      </c>
      <c r="D34" s="806"/>
      <c r="E34" s="3209">
        <v>0.6</v>
      </c>
      <c r="F34" s="3208" t="s">
        <v>2979</v>
      </c>
      <c r="G34" s="807"/>
      <c r="H34" s="801"/>
      <c r="I34" s="801"/>
    </row>
    <row r="35" spans="1:9" s="808" customFormat="1" ht="19.5" customHeight="1">
      <c r="A35" s="3606"/>
      <c r="B35" s="3602"/>
      <c r="C35" s="805" t="s">
        <v>2980</v>
      </c>
      <c r="D35" s="806"/>
      <c r="E35" s="3209">
        <v>0.2</v>
      </c>
      <c r="F35" s="3208" t="s">
        <v>2981</v>
      </c>
      <c r="G35" s="807"/>
      <c r="H35" s="801"/>
      <c r="I35" s="801"/>
    </row>
    <row r="36" spans="1:9" s="808" customFormat="1" ht="19.5" customHeight="1">
      <c r="A36" s="3606"/>
      <c r="B36" s="3602"/>
      <c r="C36" s="805" t="s">
        <v>2982</v>
      </c>
      <c r="D36" s="806"/>
      <c r="E36" s="3209">
        <v>0.2</v>
      </c>
      <c r="F36" s="3208" t="s">
        <v>2983</v>
      </c>
      <c r="G36" s="807"/>
      <c r="H36" s="801"/>
      <c r="I36" s="801"/>
    </row>
    <row r="37" spans="1:9" s="808" customFormat="1" ht="19.5" customHeight="1">
      <c r="A37" s="3606"/>
      <c r="B37" s="3600" t="s">
        <v>2984</v>
      </c>
      <c r="C37" s="805" t="s">
        <v>2985</v>
      </c>
      <c r="D37" s="806"/>
      <c r="E37" s="3209">
        <v>0.6</v>
      </c>
      <c r="F37" s="3208" t="s">
        <v>2986</v>
      </c>
      <c r="G37" s="807"/>
      <c r="H37" s="801"/>
      <c r="I37" s="801"/>
    </row>
    <row r="38" spans="1:9" s="808" customFormat="1" ht="19.5" customHeight="1">
      <c r="A38" s="3606"/>
      <c r="B38" s="3602"/>
      <c r="C38" s="805" t="s">
        <v>2987</v>
      </c>
      <c r="D38" s="806"/>
      <c r="E38" s="3209">
        <v>0.6</v>
      </c>
      <c r="F38" s="3208" t="s">
        <v>2988</v>
      </c>
      <c r="G38" s="807"/>
      <c r="H38" s="801"/>
      <c r="I38" s="801"/>
    </row>
    <row r="39" spans="1:9" s="808" customFormat="1" ht="19.5" customHeight="1" thickBot="1">
      <c r="A39" s="3607"/>
      <c r="B39" s="3604"/>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608" t="s">
        <v>2994</v>
      </c>
      <c r="B41" s="3603" t="s">
        <v>2995</v>
      </c>
      <c r="C41" s="3205" t="s">
        <v>2996</v>
      </c>
      <c r="D41" s="3206"/>
      <c r="E41" s="3207">
        <v>1</v>
      </c>
      <c r="F41" s="3208" t="s">
        <v>2997</v>
      </c>
      <c r="G41" s="807"/>
      <c r="H41" s="801"/>
      <c r="I41" s="801"/>
    </row>
    <row r="42" spans="1:9" s="808" customFormat="1" ht="19.5" customHeight="1">
      <c r="A42" s="3609"/>
      <c r="B42" s="3602"/>
      <c r="C42" s="805" t="s">
        <v>2998</v>
      </c>
      <c r="D42" s="806"/>
      <c r="E42" s="3209">
        <v>1</v>
      </c>
      <c r="F42" s="3208" t="s">
        <v>2999</v>
      </c>
      <c r="G42" s="807"/>
      <c r="H42" s="801"/>
      <c r="I42" s="801"/>
    </row>
    <row r="43" spans="1:9" s="808" customFormat="1" ht="19.5" customHeight="1">
      <c r="A43" s="3609"/>
      <c r="B43" s="3601"/>
      <c r="C43" s="805" t="s">
        <v>3000</v>
      </c>
      <c r="D43" s="806"/>
      <c r="E43" s="3209">
        <v>1.5</v>
      </c>
      <c r="F43" s="3208" t="s">
        <v>3001</v>
      </c>
      <c r="G43" s="807"/>
      <c r="H43" s="801"/>
      <c r="I43" s="801"/>
    </row>
    <row r="44" spans="1:9" s="808" customFormat="1" ht="19.5" customHeight="1">
      <c r="A44" s="3609"/>
      <c r="B44" s="3218" t="s">
        <v>2963</v>
      </c>
      <c r="C44" s="805" t="s">
        <v>3002</v>
      </c>
      <c r="D44" s="806"/>
      <c r="E44" s="3209">
        <v>2</v>
      </c>
      <c r="F44" s="3208" t="s">
        <v>3003</v>
      </c>
      <c r="G44" s="807"/>
      <c r="H44" s="801"/>
      <c r="I44" s="801"/>
    </row>
    <row r="45" spans="1:9" s="808" customFormat="1" ht="19.5" customHeight="1">
      <c r="A45" s="3609"/>
      <c r="B45" s="3600" t="s">
        <v>3004</v>
      </c>
      <c r="C45" s="805" t="s">
        <v>3005</v>
      </c>
      <c r="D45" s="806"/>
      <c r="E45" s="3209">
        <v>1</v>
      </c>
      <c r="F45" s="3208" t="s">
        <v>3006</v>
      </c>
      <c r="G45" s="807"/>
      <c r="H45" s="801"/>
      <c r="I45" s="801"/>
    </row>
    <row r="46" spans="1:9" s="808" customFormat="1" ht="19.5" customHeight="1">
      <c r="A46" s="3609"/>
      <c r="B46" s="3602"/>
      <c r="C46" s="805" t="s">
        <v>3007</v>
      </c>
      <c r="D46" s="806"/>
      <c r="E46" s="3209">
        <v>1</v>
      </c>
      <c r="F46" s="3208" t="s">
        <v>3008</v>
      </c>
      <c r="G46" s="807"/>
      <c r="H46" s="801"/>
      <c r="I46" s="801"/>
    </row>
    <row r="47" spans="1:9" s="808" customFormat="1" ht="19.5" customHeight="1">
      <c r="A47" s="3609"/>
      <c r="B47" s="3602"/>
      <c r="C47" s="805" t="s">
        <v>3009</v>
      </c>
      <c r="D47" s="806"/>
      <c r="E47" s="3209">
        <v>1</v>
      </c>
      <c r="F47" s="3208" t="s">
        <v>3010</v>
      </c>
      <c r="G47" s="807"/>
      <c r="H47" s="801"/>
      <c r="I47" s="801"/>
    </row>
    <row r="48" spans="1:9" s="808" customFormat="1" ht="19.5" customHeight="1">
      <c r="A48" s="3609"/>
      <c r="B48" s="3602"/>
      <c r="C48" s="805" t="s">
        <v>3011</v>
      </c>
      <c r="D48" s="806"/>
      <c r="E48" s="3209">
        <v>1</v>
      </c>
      <c r="F48" s="3208" t="s">
        <v>3012</v>
      </c>
      <c r="G48" s="807"/>
      <c r="H48" s="801"/>
      <c r="I48" s="801"/>
    </row>
    <row r="49" spans="1:9" s="808" customFormat="1" ht="19.5" customHeight="1">
      <c r="A49" s="3609"/>
      <c r="B49" s="3602"/>
      <c r="C49" s="805" t="s">
        <v>3013</v>
      </c>
      <c r="D49" s="806"/>
      <c r="E49" s="3209">
        <v>1</v>
      </c>
      <c r="F49" s="3208" t="s">
        <v>3014</v>
      </c>
      <c r="G49" s="807"/>
      <c r="H49" s="801"/>
      <c r="I49" s="801"/>
    </row>
    <row r="50" spans="1:9" s="808" customFormat="1" ht="19.5" customHeight="1">
      <c r="A50" s="3609"/>
      <c r="B50" s="3602"/>
      <c r="C50" s="805" t="s">
        <v>3015</v>
      </c>
      <c r="D50" s="806"/>
      <c r="E50" s="3209">
        <v>1</v>
      </c>
      <c r="F50" s="3208" t="s">
        <v>3016</v>
      </c>
      <c r="G50" s="807"/>
      <c r="H50" s="801"/>
      <c r="I50" s="801"/>
    </row>
    <row r="51" spans="1:9" s="808" customFormat="1" ht="19.5" customHeight="1" thickBot="1">
      <c r="A51" s="3610"/>
      <c r="B51" s="3604"/>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18">
        <v>1</v>
      </c>
      <c r="B73" s="3600" t="s">
        <v>3020</v>
      </c>
      <c r="C73" s="3198" t="s">
        <v>3021</v>
      </c>
      <c r="D73" s="3198" t="s">
        <v>3022</v>
      </c>
      <c r="E73" s="3219">
        <v>0.2</v>
      </c>
      <c r="F73" s="3218">
        <v>25</v>
      </c>
    </row>
    <row r="74" spans="1:7" s="801" customFormat="1" ht="24">
      <c r="A74" s="3218">
        <v>2</v>
      </c>
      <c r="B74" s="3602"/>
      <c r="C74" s="3198" t="s">
        <v>3023</v>
      </c>
      <c r="D74" s="3198" t="s">
        <v>3024</v>
      </c>
      <c r="E74" s="3219">
        <v>0.2</v>
      </c>
      <c r="F74" s="3218">
        <v>25</v>
      </c>
    </row>
    <row r="75" spans="1:7" s="801" customFormat="1" ht="24">
      <c r="A75" s="3218">
        <v>3</v>
      </c>
      <c r="B75" s="3602"/>
      <c r="C75" s="3198" t="s">
        <v>3025</v>
      </c>
      <c r="D75" s="3198" t="s">
        <v>3026</v>
      </c>
      <c r="E75" s="3219">
        <v>0.2</v>
      </c>
      <c r="F75" s="3218">
        <v>25</v>
      </c>
    </row>
    <row r="76" spans="1:7" s="801" customFormat="1" ht="13.5">
      <c r="A76" s="3218">
        <v>4</v>
      </c>
      <c r="B76" s="3602"/>
      <c r="C76" s="3198" t="s">
        <v>3027</v>
      </c>
      <c r="D76" s="3198" t="s">
        <v>3028</v>
      </c>
      <c r="E76" s="3219">
        <v>0.15</v>
      </c>
      <c r="F76" s="3218">
        <v>20</v>
      </c>
    </row>
    <row r="77" spans="1:7" s="801" customFormat="1" ht="24">
      <c r="A77" s="3218">
        <v>5</v>
      </c>
      <c r="B77" s="3602"/>
      <c r="C77" s="3198" t="s">
        <v>3029</v>
      </c>
      <c r="D77" s="3198" t="s">
        <v>3030</v>
      </c>
      <c r="E77" s="3219">
        <v>0.15</v>
      </c>
      <c r="F77" s="3218">
        <v>20</v>
      </c>
    </row>
    <row r="78" spans="1:7" s="801" customFormat="1" ht="24">
      <c r="A78" s="3218">
        <v>6</v>
      </c>
      <c r="B78" s="3602"/>
      <c r="C78" s="3198" t="s">
        <v>3031</v>
      </c>
      <c r="D78" s="3198" t="s">
        <v>3032</v>
      </c>
      <c r="E78" s="3219">
        <v>0.15</v>
      </c>
      <c r="F78" s="3218">
        <v>20</v>
      </c>
    </row>
    <row r="79" spans="1:7" s="801" customFormat="1" ht="24">
      <c r="A79" s="3218">
        <v>7</v>
      </c>
      <c r="B79" s="3602"/>
      <c r="C79" s="3198" t="s">
        <v>3033</v>
      </c>
      <c r="D79" s="3198" t="s">
        <v>3034</v>
      </c>
      <c r="E79" s="3219">
        <v>0.15</v>
      </c>
      <c r="F79" s="3218">
        <v>20</v>
      </c>
    </row>
    <row r="80" spans="1:7" s="801" customFormat="1" ht="24">
      <c r="A80" s="3218">
        <v>8</v>
      </c>
      <c r="B80" s="3602"/>
      <c r="C80" s="3198" t="s">
        <v>3035</v>
      </c>
      <c r="D80" s="3198" t="s">
        <v>3036</v>
      </c>
      <c r="E80" s="3219">
        <v>0.1</v>
      </c>
      <c r="F80" s="3218">
        <v>15</v>
      </c>
    </row>
    <row r="81" spans="1:6" s="801" customFormat="1" ht="24">
      <c r="A81" s="3218">
        <v>9</v>
      </c>
      <c r="B81" s="3602"/>
      <c r="C81" s="3198" t="s">
        <v>3037</v>
      </c>
      <c r="D81" s="3198" t="s">
        <v>3038</v>
      </c>
      <c r="E81" s="3219">
        <v>0.1</v>
      </c>
      <c r="F81" s="3218">
        <v>15</v>
      </c>
    </row>
    <row r="82" spans="1:6" s="801" customFormat="1" ht="24">
      <c r="A82" s="3218">
        <v>10</v>
      </c>
      <c r="B82" s="3602"/>
      <c r="C82" s="3198" t="s">
        <v>3039</v>
      </c>
      <c r="D82" s="3198" t="s">
        <v>3040</v>
      </c>
      <c r="E82" s="3219">
        <v>0.1</v>
      </c>
      <c r="F82" s="3218">
        <v>15</v>
      </c>
    </row>
    <row r="83" spans="1:6" s="801" customFormat="1" ht="24">
      <c r="A83" s="3218">
        <v>11</v>
      </c>
      <c r="B83" s="3602"/>
      <c r="C83" s="3198" t="s">
        <v>3041</v>
      </c>
      <c r="D83" s="3198" t="s">
        <v>3042</v>
      </c>
      <c r="E83" s="3219">
        <v>0.1</v>
      </c>
      <c r="F83" s="3218">
        <v>15</v>
      </c>
    </row>
    <row r="84" spans="1:6" s="801" customFormat="1" ht="24">
      <c r="A84" s="3218">
        <v>12</v>
      </c>
      <c r="B84" s="3602"/>
      <c r="C84" s="3198" t="s">
        <v>3043</v>
      </c>
      <c r="D84" s="3198" t="s">
        <v>3044</v>
      </c>
      <c r="E84" s="3219">
        <v>0.1</v>
      </c>
      <c r="F84" s="3218">
        <v>15</v>
      </c>
    </row>
    <row r="85" spans="1:6" s="801" customFormat="1" ht="13.5">
      <c r="A85" s="3218">
        <v>13</v>
      </c>
      <c r="B85" s="3602"/>
      <c r="C85" s="3198" t="s">
        <v>3045</v>
      </c>
      <c r="D85" s="3198" t="s">
        <v>3046</v>
      </c>
      <c r="E85" s="3219">
        <v>0.1</v>
      </c>
      <c r="F85" s="3218">
        <v>15</v>
      </c>
    </row>
    <row r="86" spans="1:6" s="801" customFormat="1" ht="13.5">
      <c r="A86" s="3218">
        <v>14</v>
      </c>
      <c r="B86" s="3602"/>
      <c r="C86" s="3198" t="s">
        <v>3047</v>
      </c>
      <c r="D86" s="3198" t="s">
        <v>3048</v>
      </c>
      <c r="E86" s="3219">
        <v>0.1</v>
      </c>
      <c r="F86" s="3218">
        <v>15</v>
      </c>
    </row>
    <row r="87" spans="1:6" s="801" customFormat="1" ht="13.5">
      <c r="A87" s="3218">
        <v>15</v>
      </c>
      <c r="B87" s="3602"/>
      <c r="C87" s="3198" t="s">
        <v>3049</v>
      </c>
      <c r="D87" s="3198" t="s">
        <v>3050</v>
      </c>
      <c r="E87" s="3219">
        <v>0.1</v>
      </c>
      <c r="F87" s="3218">
        <v>15</v>
      </c>
    </row>
    <row r="88" spans="1:6" s="801" customFormat="1" ht="24">
      <c r="A88" s="3218">
        <v>16</v>
      </c>
      <c r="B88" s="3602"/>
      <c r="C88" s="3198" t="s">
        <v>3051</v>
      </c>
      <c r="D88" s="3198" t="s">
        <v>3052</v>
      </c>
      <c r="E88" s="3219">
        <v>0.1</v>
      </c>
      <c r="F88" s="3218">
        <v>15</v>
      </c>
    </row>
    <row r="89" spans="1:6" s="801" customFormat="1" ht="24">
      <c r="A89" s="3218">
        <v>17</v>
      </c>
      <c r="B89" s="3601"/>
      <c r="C89" s="3198" t="s">
        <v>3053</v>
      </c>
      <c r="D89" s="3198" t="s">
        <v>3054</v>
      </c>
      <c r="E89" s="3219">
        <v>0.1</v>
      </c>
      <c r="F89" s="3218">
        <v>15</v>
      </c>
    </row>
    <row r="90" spans="1:6" s="801" customFormat="1" ht="13.5">
      <c r="A90" s="3218">
        <v>18</v>
      </c>
      <c r="B90" s="3600" t="s">
        <v>3055</v>
      </c>
      <c r="C90" s="3198" t="s">
        <v>3056</v>
      </c>
      <c r="D90" s="3198" t="s">
        <v>3057</v>
      </c>
      <c r="E90" s="3219">
        <v>0.2</v>
      </c>
      <c r="F90" s="3218">
        <v>25</v>
      </c>
    </row>
    <row r="91" spans="1:6" s="801" customFormat="1" ht="24">
      <c r="A91" s="3218">
        <v>19</v>
      </c>
      <c r="B91" s="3602"/>
      <c r="C91" s="3198" t="s">
        <v>3058</v>
      </c>
      <c r="D91" s="3198" t="s">
        <v>3059</v>
      </c>
      <c r="E91" s="3219">
        <v>0.2</v>
      </c>
      <c r="F91" s="3218">
        <v>25</v>
      </c>
    </row>
    <row r="92" spans="1:6" s="801" customFormat="1" ht="13.5">
      <c r="A92" s="3218">
        <v>20</v>
      </c>
      <c r="B92" s="3602"/>
      <c r="C92" s="3198" t="s">
        <v>3060</v>
      </c>
      <c r="D92" s="3198" t="s">
        <v>3061</v>
      </c>
      <c r="E92" s="3219">
        <v>0.15</v>
      </c>
      <c r="F92" s="3218">
        <v>20</v>
      </c>
    </row>
    <row r="93" spans="1:6" s="801" customFormat="1" ht="24">
      <c r="A93" s="3218">
        <v>21</v>
      </c>
      <c r="B93" s="3602"/>
      <c r="C93" s="3198" t="s">
        <v>3062</v>
      </c>
      <c r="D93" s="3198" t="s">
        <v>3063</v>
      </c>
      <c r="E93" s="3219">
        <v>0.15</v>
      </c>
      <c r="F93" s="3218">
        <v>20</v>
      </c>
    </row>
    <row r="94" spans="1:6" s="801" customFormat="1" ht="24">
      <c r="A94" s="3218">
        <v>22</v>
      </c>
      <c r="B94" s="3602"/>
      <c r="C94" s="3198" t="s">
        <v>3064</v>
      </c>
      <c r="D94" s="3198" t="s">
        <v>3065</v>
      </c>
      <c r="E94" s="3219">
        <v>0.15</v>
      </c>
      <c r="F94" s="3218">
        <v>20</v>
      </c>
    </row>
    <row r="95" spans="1:6" s="801" customFormat="1" ht="36">
      <c r="A95" s="3218">
        <v>23</v>
      </c>
      <c r="B95" s="3602"/>
      <c r="C95" s="3198" t="s">
        <v>3066</v>
      </c>
      <c r="D95" s="3198" t="s">
        <v>3067</v>
      </c>
      <c r="E95" s="3219">
        <v>0.15</v>
      </c>
      <c r="F95" s="3218">
        <v>20</v>
      </c>
    </row>
    <row r="96" spans="1:6" s="801" customFormat="1" ht="13.5">
      <c r="A96" s="3218">
        <v>24</v>
      </c>
      <c r="B96" s="3602"/>
      <c r="C96" s="3198" t="s">
        <v>3068</v>
      </c>
      <c r="D96" s="3198" t="s">
        <v>3069</v>
      </c>
      <c r="E96" s="3219">
        <v>0.1</v>
      </c>
      <c r="F96" s="3218">
        <v>15</v>
      </c>
    </row>
    <row r="97" spans="1:6" s="801" customFormat="1" ht="24">
      <c r="A97" s="3218">
        <v>25</v>
      </c>
      <c r="B97" s="3602"/>
      <c r="C97" s="3198" t="s">
        <v>3070</v>
      </c>
      <c r="D97" s="3198" t="s">
        <v>3071</v>
      </c>
      <c r="E97" s="3219">
        <v>0.1</v>
      </c>
      <c r="F97" s="3218">
        <v>15</v>
      </c>
    </row>
    <row r="98" spans="1:6" s="801" customFormat="1" ht="24">
      <c r="A98" s="3218">
        <v>26</v>
      </c>
      <c r="B98" s="3602"/>
      <c r="C98" s="3198" t="s">
        <v>3072</v>
      </c>
      <c r="D98" s="3198" t="s">
        <v>3073</v>
      </c>
      <c r="E98" s="3219">
        <v>0.1</v>
      </c>
      <c r="F98" s="3218">
        <v>15</v>
      </c>
    </row>
    <row r="99" spans="1:6" s="801" customFormat="1" ht="24">
      <c r="A99" s="3218">
        <v>27</v>
      </c>
      <c r="B99" s="3602"/>
      <c r="C99" s="3198" t="s">
        <v>3074</v>
      </c>
      <c r="D99" s="3198" t="s">
        <v>3075</v>
      </c>
      <c r="E99" s="3219">
        <v>0.1</v>
      </c>
      <c r="F99" s="3218">
        <v>15</v>
      </c>
    </row>
    <row r="100" spans="1:6" s="801" customFormat="1" ht="24">
      <c r="A100" s="3218">
        <v>28</v>
      </c>
      <c r="B100" s="3602"/>
      <c r="C100" s="3198" t="s">
        <v>3076</v>
      </c>
      <c r="D100" s="3198" t="s">
        <v>3077</v>
      </c>
      <c r="E100" s="3219">
        <v>0.1</v>
      </c>
      <c r="F100" s="3218">
        <v>15</v>
      </c>
    </row>
    <row r="101" spans="1:6" s="801" customFormat="1" ht="24">
      <c r="A101" s="3218">
        <v>29</v>
      </c>
      <c r="B101" s="3602"/>
      <c r="C101" s="3198" t="s">
        <v>3078</v>
      </c>
      <c r="D101" s="3198" t="s">
        <v>3079</v>
      </c>
      <c r="E101" s="3219">
        <v>0.1</v>
      </c>
      <c r="F101" s="3218">
        <v>15</v>
      </c>
    </row>
    <row r="102" spans="1:6" s="801" customFormat="1" ht="24">
      <c r="A102" s="3218">
        <v>30</v>
      </c>
      <c r="B102" s="3602"/>
      <c r="C102" s="3198" t="s">
        <v>3080</v>
      </c>
      <c r="D102" s="3198" t="s">
        <v>3081</v>
      </c>
      <c r="E102" s="3219">
        <v>0.1</v>
      </c>
      <c r="F102" s="3218">
        <v>15</v>
      </c>
    </row>
    <row r="103" spans="1:6" s="801" customFormat="1" ht="24">
      <c r="A103" s="3218">
        <v>31</v>
      </c>
      <c r="B103" s="3602"/>
      <c r="C103" s="3198" t="s">
        <v>3082</v>
      </c>
      <c r="D103" s="3198" t="s">
        <v>3083</v>
      </c>
      <c r="E103" s="3219">
        <v>0.1</v>
      </c>
      <c r="F103" s="3218">
        <v>15</v>
      </c>
    </row>
    <row r="104" spans="1:6" s="801" customFormat="1" ht="24">
      <c r="A104" s="3218">
        <v>32</v>
      </c>
      <c r="B104" s="3602"/>
      <c r="C104" s="3198" t="s">
        <v>3084</v>
      </c>
      <c r="D104" s="3198" t="s">
        <v>3085</v>
      </c>
      <c r="E104" s="3219">
        <v>0.1</v>
      </c>
      <c r="F104" s="3218">
        <v>15</v>
      </c>
    </row>
    <row r="105" spans="1:6" s="801" customFormat="1" ht="24">
      <c r="A105" s="3218">
        <v>33</v>
      </c>
      <c r="B105" s="3602"/>
      <c r="C105" s="3198" t="s">
        <v>3086</v>
      </c>
      <c r="D105" s="3198" t="s">
        <v>3087</v>
      </c>
      <c r="E105" s="3219">
        <v>0.1</v>
      </c>
      <c r="F105" s="3218">
        <v>15</v>
      </c>
    </row>
    <row r="106" spans="1:6" s="801" customFormat="1" ht="24">
      <c r="A106" s="3218">
        <v>34</v>
      </c>
      <c r="B106" s="3601"/>
      <c r="C106" s="3198" t="s">
        <v>3088</v>
      </c>
      <c r="D106" s="3198" t="s">
        <v>3089</v>
      </c>
      <c r="E106" s="3219">
        <v>0.1</v>
      </c>
      <c r="F106" s="3218">
        <v>15</v>
      </c>
    </row>
    <row r="107" spans="1:6" s="801" customFormat="1" ht="24">
      <c r="A107" s="3218">
        <v>35</v>
      </c>
      <c r="B107" s="3600" t="s">
        <v>3090</v>
      </c>
      <c r="C107" s="3218" t="s">
        <v>3091</v>
      </c>
      <c r="D107" s="3198" t="s">
        <v>3092</v>
      </c>
      <c r="E107" s="3219">
        <v>0.15</v>
      </c>
      <c r="F107" s="3218">
        <v>20</v>
      </c>
    </row>
    <row r="108" spans="1:6" s="801" customFormat="1" ht="24">
      <c r="A108" s="3218">
        <v>36</v>
      </c>
      <c r="B108" s="3602"/>
      <c r="C108" s="3218" t="s">
        <v>3093</v>
      </c>
      <c r="D108" s="3198" t="s">
        <v>3094</v>
      </c>
      <c r="E108" s="3219">
        <v>0.15</v>
      </c>
      <c r="F108" s="3218">
        <v>20</v>
      </c>
    </row>
    <row r="109" spans="1:6" s="801" customFormat="1" ht="24">
      <c r="A109" s="3218">
        <v>37</v>
      </c>
      <c r="B109" s="3602"/>
      <c r="C109" s="3218" t="s">
        <v>3095</v>
      </c>
      <c r="D109" s="3198" t="s">
        <v>3096</v>
      </c>
      <c r="E109" s="3219">
        <v>0.15</v>
      </c>
      <c r="F109" s="3218">
        <v>20</v>
      </c>
    </row>
    <row r="110" spans="1:6" s="801" customFormat="1" ht="13.5">
      <c r="A110" s="3218">
        <v>38</v>
      </c>
      <c r="B110" s="3602"/>
      <c r="C110" s="3218" t="s">
        <v>3097</v>
      </c>
      <c r="D110" s="3198" t="s">
        <v>3098</v>
      </c>
      <c r="E110" s="3219">
        <v>0.1</v>
      </c>
      <c r="F110" s="3218">
        <v>15</v>
      </c>
    </row>
    <row r="111" spans="1:6" s="801" customFormat="1" ht="24">
      <c r="A111" s="3218">
        <v>39</v>
      </c>
      <c r="B111" s="3602"/>
      <c r="C111" s="3218" t="s">
        <v>3099</v>
      </c>
      <c r="D111" s="3198" t="s">
        <v>3100</v>
      </c>
      <c r="E111" s="3219">
        <v>0.1</v>
      </c>
      <c r="F111" s="3218">
        <v>15</v>
      </c>
    </row>
    <row r="112" spans="1:6" s="801" customFormat="1" ht="24">
      <c r="A112" s="3218">
        <v>40</v>
      </c>
      <c r="B112" s="3601"/>
      <c r="C112" s="3218" t="s">
        <v>3101</v>
      </c>
      <c r="D112" s="3198" t="s">
        <v>3102</v>
      </c>
      <c r="E112" s="3219">
        <v>0.1</v>
      </c>
      <c r="F112" s="3218">
        <v>15</v>
      </c>
    </row>
    <row r="113" spans="1:6" s="801" customFormat="1" ht="24">
      <c r="A113" s="3218">
        <v>41</v>
      </c>
      <c r="B113" s="3599" t="s">
        <v>3103</v>
      </c>
      <c r="C113" s="3218" t="s">
        <v>3104</v>
      </c>
      <c r="D113" s="3198" t="s">
        <v>3105</v>
      </c>
      <c r="E113" s="3219">
        <v>0.1</v>
      </c>
      <c r="F113" s="3218">
        <v>15</v>
      </c>
    </row>
    <row r="114" spans="1:6" s="801" customFormat="1" ht="13.5">
      <c r="A114" s="3218">
        <v>42</v>
      </c>
      <c r="B114" s="3599"/>
      <c r="C114" s="3218" t="s">
        <v>3106</v>
      </c>
      <c r="D114" s="3198" t="s">
        <v>3107</v>
      </c>
      <c r="E114" s="3219">
        <v>0.1</v>
      </c>
      <c r="F114" s="3218">
        <v>15</v>
      </c>
    </row>
    <row r="115" spans="1:6" s="801" customFormat="1" ht="24">
      <c r="A115" s="3218">
        <v>43</v>
      </c>
      <c r="B115" s="3599"/>
      <c r="C115" s="3218" t="s">
        <v>3108</v>
      </c>
      <c r="D115" s="3198" t="s">
        <v>3109</v>
      </c>
      <c r="E115" s="3219">
        <v>0.1</v>
      </c>
      <c r="F115" s="3218">
        <v>15</v>
      </c>
    </row>
    <row r="116" spans="1:6" s="801" customFormat="1" ht="24">
      <c r="A116" s="3218">
        <v>44</v>
      </c>
      <c r="B116" s="3600" t="s">
        <v>3110</v>
      </c>
      <c r="C116" s="3218" t="s">
        <v>3111</v>
      </c>
      <c r="D116" s="3198" t="s">
        <v>3112</v>
      </c>
      <c r="E116" s="3219">
        <v>0.1</v>
      </c>
      <c r="F116" s="3218">
        <v>15</v>
      </c>
    </row>
    <row r="117" spans="1:6" s="801" customFormat="1" ht="24">
      <c r="A117" s="3218">
        <v>45</v>
      </c>
      <c r="B117" s="3601"/>
      <c r="C117" s="3198" t="s">
        <v>3113</v>
      </c>
      <c r="D117" s="3198" t="s">
        <v>3114</v>
      </c>
      <c r="E117" s="3219">
        <v>0.1</v>
      </c>
      <c r="F117" s="3218">
        <v>15</v>
      </c>
    </row>
    <row r="118" spans="1:6" s="801" customFormat="1" ht="24">
      <c r="A118" s="3218">
        <v>46</v>
      </c>
      <c r="B118" s="3600" t="s">
        <v>3115</v>
      </c>
      <c r="C118" s="3218" t="s">
        <v>3116</v>
      </c>
      <c r="D118" s="3198" t="s">
        <v>3117</v>
      </c>
      <c r="E118" s="3219">
        <v>0.1</v>
      </c>
      <c r="F118" s="3218">
        <v>15</v>
      </c>
    </row>
    <row r="119" spans="1:6" s="801" customFormat="1" ht="24">
      <c r="A119" s="3218">
        <v>47</v>
      </c>
      <c r="B119" s="3601"/>
      <c r="C119" s="3218" t="s">
        <v>3118</v>
      </c>
      <c r="D119" s="3198" t="s">
        <v>3119</v>
      </c>
      <c r="E119" s="3219">
        <v>0.1</v>
      </c>
      <c r="F119" s="3218">
        <v>15</v>
      </c>
    </row>
    <row r="120" spans="1:6" s="801" customFormat="1" ht="24">
      <c r="A120" s="3218">
        <v>48</v>
      </c>
      <c r="B120" s="3600" t="s">
        <v>3120</v>
      </c>
      <c r="C120" s="3218" t="s">
        <v>3121</v>
      </c>
      <c r="D120" s="3198" t="s">
        <v>3122</v>
      </c>
      <c r="E120" s="3219">
        <v>0.1</v>
      </c>
      <c r="F120" s="3218">
        <v>15</v>
      </c>
    </row>
    <row r="121" spans="1:6" s="801" customFormat="1" ht="13.5">
      <c r="A121" s="3218">
        <v>49</v>
      </c>
      <c r="B121" s="3601"/>
      <c r="C121" s="3218" t="s">
        <v>3123</v>
      </c>
      <c r="D121" s="3198" t="s">
        <v>3124</v>
      </c>
      <c r="E121" s="3219">
        <v>0.1</v>
      </c>
      <c r="F121" s="3218">
        <v>15</v>
      </c>
    </row>
    <row r="122" spans="1:6" s="801" customFormat="1" ht="24">
      <c r="A122" s="3218">
        <v>50</v>
      </c>
      <c r="B122" s="3599" t="s">
        <v>3125</v>
      </c>
      <c r="C122" s="3218" t="s">
        <v>3126</v>
      </c>
      <c r="D122" s="3198" t="s">
        <v>3127</v>
      </c>
      <c r="E122" s="3219">
        <v>0.1</v>
      </c>
      <c r="F122" s="3218">
        <v>15</v>
      </c>
    </row>
    <row r="123" spans="1:6" s="801" customFormat="1" ht="24">
      <c r="A123" s="3218">
        <v>51</v>
      </c>
      <c r="B123" s="3599"/>
      <c r="C123" s="3218" t="s">
        <v>3128</v>
      </c>
      <c r="D123" s="3198" t="s">
        <v>3129</v>
      </c>
      <c r="E123" s="3219">
        <v>0.1</v>
      </c>
      <c r="F123" s="3218">
        <v>15</v>
      </c>
    </row>
    <row r="124" spans="1:6" s="801" customFormat="1" ht="24">
      <c r="A124" s="3218">
        <v>52</v>
      </c>
      <c r="B124" s="3599" t="s">
        <v>3130</v>
      </c>
      <c r="C124" s="3218" t="s">
        <v>3131</v>
      </c>
      <c r="D124" s="3198" t="s">
        <v>3132</v>
      </c>
      <c r="E124" s="3219">
        <v>0.1</v>
      </c>
      <c r="F124" s="3218">
        <v>15</v>
      </c>
    </row>
    <row r="125" spans="1:6" s="801" customFormat="1" ht="24">
      <c r="A125" s="3218">
        <v>53</v>
      </c>
      <c r="B125" s="3599"/>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13.5">
      <c r="A127" s="3218">
        <v>55</v>
      </c>
      <c r="B127" s="3599" t="s">
        <v>3138</v>
      </c>
      <c r="C127" s="3218" t="s">
        <v>3139</v>
      </c>
      <c r="D127" s="3198" t="s">
        <v>3140</v>
      </c>
      <c r="E127" s="3219">
        <v>0.1</v>
      </c>
      <c r="F127" s="3218">
        <v>15</v>
      </c>
    </row>
    <row r="128" spans="1:6" ht="13.5">
      <c r="A128" s="3218">
        <v>56</v>
      </c>
      <c r="B128" s="3599"/>
      <c r="C128" s="3218" t="s">
        <v>3141</v>
      </c>
      <c r="D128" s="3198" t="s">
        <v>3142</v>
      </c>
      <c r="E128" s="3219">
        <v>0.1</v>
      </c>
      <c r="F128" s="3218">
        <v>15</v>
      </c>
    </row>
    <row r="129" spans="1:6" ht="24">
      <c r="A129" s="3218">
        <v>57</v>
      </c>
      <c r="B129" s="3599"/>
      <c r="C129" s="3218" t="s">
        <v>3143</v>
      </c>
      <c r="D129" s="3198" t="s">
        <v>3144</v>
      </c>
      <c r="E129" s="3219">
        <v>0.1</v>
      </c>
      <c r="F129" s="3218">
        <v>15</v>
      </c>
    </row>
    <row r="130" spans="1:6" ht="24">
      <c r="A130" s="3218">
        <v>58</v>
      </c>
      <c r="B130" s="3599" t="s">
        <v>3145</v>
      </c>
      <c r="C130" s="3218" t="s">
        <v>3146</v>
      </c>
      <c r="D130" s="3198" t="s">
        <v>3147</v>
      </c>
      <c r="E130" s="3219">
        <v>0.1</v>
      </c>
      <c r="F130" s="3218">
        <v>15</v>
      </c>
    </row>
    <row r="131" spans="1:6" ht="24">
      <c r="A131" s="3218">
        <v>59</v>
      </c>
      <c r="B131" s="3599"/>
      <c r="C131" s="3218" t="s">
        <v>3148</v>
      </c>
      <c r="D131" s="3198" t="s">
        <v>3149</v>
      </c>
      <c r="E131" s="3219">
        <v>0.1</v>
      </c>
      <c r="F131" s="3218">
        <v>15</v>
      </c>
    </row>
    <row r="132" spans="1:6" ht="24">
      <c r="A132" s="3218">
        <v>60</v>
      </c>
      <c r="B132" s="3600" t="s">
        <v>3150</v>
      </c>
      <c r="C132" s="3218" t="s">
        <v>3151</v>
      </c>
      <c r="D132" s="3198" t="s">
        <v>3152</v>
      </c>
      <c r="E132" s="3219">
        <v>0.1</v>
      </c>
      <c r="F132" s="3218">
        <v>15</v>
      </c>
    </row>
    <row r="133" spans="1:6" ht="24">
      <c r="A133" s="3218">
        <v>61</v>
      </c>
      <c r="B133" s="3601"/>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599" t="s">
        <v>3158</v>
      </c>
      <c r="C135" s="3218" t="s">
        <v>3159</v>
      </c>
      <c r="D135" s="3198" t="s">
        <v>3160</v>
      </c>
      <c r="E135" s="3219">
        <v>0.1</v>
      </c>
      <c r="F135" s="3218">
        <v>15</v>
      </c>
    </row>
    <row r="136" spans="1:6" ht="13.5">
      <c r="A136" s="3218">
        <v>64</v>
      </c>
      <c r="B136" s="3599"/>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69"/>
      <c r="G1" s="2969"/>
      <c r="H1" s="2969"/>
      <c r="I1" s="2969"/>
      <c r="J1" s="2969"/>
      <c r="K1" s="2969"/>
      <c r="L1" s="2969"/>
      <c r="M1" s="2969"/>
      <c r="N1" s="2969"/>
      <c r="O1" s="2969"/>
      <c r="P1" s="2969"/>
    </row>
    <row r="2" spans="1:16" ht="15.75">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75">
      <c r="A3" s="2311" t="s">
        <v>2576</v>
      </c>
      <c r="B3" s="2774" t="e">
        <f ca="1">ROUND(B2*10000/E2,0)</f>
        <v>#DIV/0!</v>
      </c>
      <c r="C3" s="2311"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80" t="s">
        <v>2577</v>
      </c>
      <c r="B5" s="2782" t="s">
        <v>2578</v>
      </c>
      <c r="C5" s="2312"/>
      <c r="D5" s="2969"/>
      <c r="E5" s="2783" t="s">
        <v>2579</v>
      </c>
      <c r="F5" s="2969"/>
      <c r="G5" s="2969"/>
      <c r="H5" s="2969"/>
      <c r="I5" s="2969"/>
      <c r="J5" s="2969"/>
      <c r="K5" s="2969"/>
      <c r="L5" s="2969"/>
      <c r="M5" s="2969"/>
      <c r="N5" s="2969"/>
      <c r="O5" s="2969"/>
      <c r="P5" s="2969"/>
    </row>
    <row r="6" spans="1:16" ht="15.75">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75">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75">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75">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75">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75">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75">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75">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估价结果一览表（市场价值不需“结果表-1”）</v>
      </c>
      <c r="B3" s="3279"/>
      <c r="C3" s="3279"/>
      <c r="D3" s="3279"/>
      <c r="E3" s="3279"/>
    </row>
    <row r="4" spans="1:5" ht="19.5" thickBot="1">
      <c r="A4" s="1629"/>
      <c r="B4" s="3277" t="s">
        <v>1354</v>
      </c>
      <c r="C4" s="3277"/>
      <c r="D4" s="3277"/>
      <c r="E4" s="1629"/>
    </row>
    <row r="5" spans="1:5" ht="16.5" thickTop="1">
      <c r="A5" s="1627"/>
      <c r="B5" s="3275" t="s">
        <v>1346</v>
      </c>
      <c r="C5" s="1630" t="s">
        <v>1347</v>
      </c>
      <c r="D5" s="940">
        <f ca="1">结果表!H101</f>
        <v>2895</v>
      </c>
      <c r="E5" s="1627"/>
    </row>
    <row r="6" spans="1:5" ht="15.75">
      <c r="A6" s="1627"/>
      <c r="B6" s="3275"/>
      <c r="C6" s="1630" t="s">
        <v>1348</v>
      </c>
      <c r="D6" s="940" t="str">
        <f ca="1">NUMBERSTRING(INT(D5*10000),2)&amp;"元整"</f>
        <v>贰仟捌佰玖拾伍万元整</v>
      </c>
      <c r="E6" s="1627"/>
    </row>
    <row r="7" spans="1:5" ht="15.75">
      <c r="A7" s="1627"/>
      <c r="B7" s="3280"/>
      <c r="C7" s="1631" t="s">
        <v>1349</v>
      </c>
      <c r="D7" s="941">
        <f ca="1">结果表!H102</f>
        <v>3498</v>
      </c>
      <c r="E7" s="1627"/>
    </row>
    <row r="8" spans="1:5" ht="15.75">
      <c r="A8" s="1627"/>
      <c r="B8" s="3281" t="str">
        <f>结果表!E103</f>
        <v>2.估价师知悉的法定优先受偿款</v>
      </c>
      <c r="C8" s="1632" t="s">
        <v>1350</v>
      </c>
      <c r="D8" s="941">
        <f>结果表!H103</f>
        <v>0</v>
      </c>
      <c r="E8" s="1627"/>
    </row>
    <row r="9" spans="1:5" ht="15.75">
      <c r="A9" s="1627"/>
      <c r="B9" s="328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74" t="str">
        <f>结果表!E107</f>
        <v>3.房地产抵押价值</v>
      </c>
      <c r="C13" s="1635" t="s">
        <v>1347</v>
      </c>
      <c r="D13" s="943">
        <f ca="1">结果表!H107</f>
        <v>2895</v>
      </c>
      <c r="E13" s="1627"/>
    </row>
    <row r="14" spans="1:5" ht="15.75">
      <c r="A14" s="1627"/>
      <c r="B14" s="3275"/>
      <c r="C14" s="1630" t="s">
        <v>1348</v>
      </c>
      <c r="D14" s="940" t="str">
        <f ca="1">NUMBERSTRING(INT(D13*10000),2)&amp;"元整"</f>
        <v>贰仟捌佰玖拾伍万元整</v>
      </c>
      <c r="E14" s="1627"/>
    </row>
    <row r="15" spans="1:5" ht="15">
      <c r="A15" s="1627"/>
      <c r="B15" s="3280"/>
      <c r="C15" s="1631" t="s">
        <v>1358</v>
      </c>
      <c r="D15" s="949">
        <f ca="1">结果表!H108</f>
        <v>3498</v>
      </c>
      <c r="E15" s="1627"/>
    </row>
    <row r="16" spans="1:5" ht="15">
      <c r="A16" s="1627"/>
      <c r="B16" s="3281" t="str">
        <f>结果表!E109</f>
        <v>——</v>
      </c>
      <c r="C16" s="1635" t="s">
        <v>1359</v>
      </c>
      <c r="D16" s="1636" t="str">
        <f>结果表!H109</f>
        <v>——</v>
      </c>
      <c r="E16" s="1627"/>
    </row>
    <row r="17" spans="1:5" ht="15.75">
      <c r="A17" s="1627"/>
      <c r="B17" s="3282"/>
      <c r="C17" s="1630" t="s">
        <v>1360</v>
      </c>
      <c r="D17" s="940" t="e">
        <f>NUMBERSTRING(INT(D16*10000),2)&amp;"元整"</f>
        <v>#VALUE!</v>
      </c>
      <c r="E17" s="1627"/>
    </row>
    <row r="18" spans="1:5" ht="15">
      <c r="A18" s="1627"/>
      <c r="B18" s="3283"/>
      <c r="C18" s="1631" t="s">
        <v>1349</v>
      </c>
      <c r="D18" s="949" t="str">
        <f>结果表!H110</f>
        <v>——</v>
      </c>
      <c r="E18" s="1627"/>
    </row>
    <row r="19" spans="1:5" ht="15.75">
      <c r="A19" s="1627"/>
      <c r="B19" s="3274" t="str">
        <f>结果表!E111</f>
        <v>——</v>
      </c>
      <c r="C19" s="1635" t="s">
        <v>1347</v>
      </c>
      <c r="D19" s="941" t="str">
        <f>结果表!H111</f>
        <v>——</v>
      </c>
      <c r="E19" s="1627"/>
    </row>
    <row r="20" spans="1:5" ht="15.75">
      <c r="A20" s="1627"/>
      <c r="B20" s="3275"/>
      <c r="C20" s="1630" t="s">
        <v>1360</v>
      </c>
      <c r="D20" s="940" t="e">
        <f>NUMBERSTRING(INT(D19*10000),2)&amp;"元整"</f>
        <v>#VALUE!</v>
      </c>
      <c r="E20" s="1627"/>
    </row>
    <row r="21" spans="1:5" ht="15.75" thickBot="1">
      <c r="A21" s="1627"/>
      <c r="B21" s="327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6" t="s">
        <v>877</v>
      </c>
      <c r="C1" s="3616"/>
      <c r="D1" s="3616"/>
      <c r="E1" s="3616"/>
      <c r="F1" s="3616"/>
      <c r="G1" s="3615" t="s">
        <v>878</v>
      </c>
      <c r="H1" s="3615"/>
      <c r="I1" s="3615"/>
      <c r="J1" s="3615"/>
      <c r="K1" s="3615"/>
      <c r="L1" s="3615"/>
      <c r="N1" s="3615" t="s">
        <v>879</v>
      </c>
      <c r="O1" s="3615"/>
      <c r="P1" s="3615"/>
      <c r="Q1" s="3615"/>
      <c r="S1" s="3615" t="s">
        <v>880</v>
      </c>
      <c r="T1" s="3615"/>
      <c r="U1" s="3615"/>
      <c r="V1" s="3615"/>
      <c r="X1" s="3614" t="s">
        <v>881</v>
      </c>
      <c r="Y1" s="3615"/>
      <c r="Z1" s="3615"/>
      <c r="AA1" s="3615"/>
      <c r="AB1" s="3615"/>
      <c r="AD1" s="3614" t="s">
        <v>882</v>
      </c>
      <c r="AE1" s="3615"/>
      <c r="AF1" s="3615"/>
      <c r="AG1" s="3615"/>
      <c r="AH1" s="3615"/>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2">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2"/>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2"/>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21"/>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7">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2"/>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2"/>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21"/>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7">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2"/>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2"/>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3"/>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11">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2"/>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2"/>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3"/>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11">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2"/>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2"/>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3"/>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18">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9"/>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9"/>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20"/>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11">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2"/>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2"/>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3"/>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11">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2">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2">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3">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11">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2">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2">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3">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11">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2">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2">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3">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11">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2">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2">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3">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11">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2">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2">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3">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11">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2">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2">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3">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11">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2">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2">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3">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11">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2">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2">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3">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11">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2">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2">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3">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11">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2">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2">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3">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5" t="s">
        <v>2584</v>
      </c>
      <c r="D1" s="3626"/>
      <c r="E1" s="3626"/>
      <c r="F1" s="3626"/>
      <c r="G1" s="3626"/>
      <c r="H1" s="3626"/>
      <c r="I1" s="3626"/>
      <c r="J1" s="3626"/>
      <c r="K1" s="3626"/>
      <c r="L1" s="3626"/>
      <c r="M1" s="3626"/>
      <c r="N1" s="3626"/>
      <c r="O1" s="3626"/>
      <c r="P1" s="3626"/>
      <c r="Q1" s="3626"/>
      <c r="R1" s="3626"/>
      <c r="S1" s="3627"/>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22" t="s">
        <v>33</v>
      </c>
      <c r="D22" s="3623"/>
      <c r="E22" s="3623"/>
      <c r="F22" s="3623"/>
      <c r="G22" s="3623"/>
      <c r="H22" s="3623"/>
      <c r="I22" s="3623"/>
      <c r="J22" s="3623"/>
      <c r="K22" s="3623"/>
      <c r="L22" s="3623"/>
      <c r="M22" s="3623"/>
      <c r="N22" s="3623"/>
      <c r="O22" s="3623"/>
      <c r="P22" s="3623"/>
      <c r="Q22" s="3624"/>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31642</v>
      </c>
      <c r="C2" s="2" t="s">
        <v>133</v>
      </c>
      <c r="D2" s="205"/>
      <c r="E2" s="205"/>
      <c r="F2" s="205"/>
      <c r="G2" s="205"/>
    </row>
    <row r="3" spans="1:7" s="206" customFormat="1" ht="18" customHeight="1" thickBot="1">
      <c r="A3" s="209" t="s">
        <v>85</v>
      </c>
      <c r="B3" s="210">
        <f ca="1">ROUND(B2*10000/'数据-汇总表'!E3,0)</f>
        <v>38234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27</v>
      </c>
      <c r="D10" s="935">
        <f>'数据-汇总表'!E6</f>
        <v>8275.91</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166</v>
      </c>
      <c r="D19" s="939">
        <f>'数据-汇总表'!E3</f>
        <v>8275.91</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3179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28304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3625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3310</v>
      </c>
      <c r="D34" s="223"/>
      <c r="E34" s="226"/>
      <c r="F34" s="263">
        <f>IF('数据-取费表'!B24=0,1,'数据-取费表'!N16)</f>
        <v>1</v>
      </c>
      <c r="G34" s="225" t="s">
        <v>116</v>
      </c>
    </row>
    <row r="35" spans="1:7" ht="13.5" customHeight="1">
      <c r="A35" s="869" t="s">
        <v>615</v>
      </c>
      <c r="B35" s="221" t="s">
        <v>60</v>
      </c>
      <c r="C35" s="226">
        <f>ROUND(C34*F35,0)</f>
        <v>99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166</v>
      </c>
      <c r="D37" s="223">
        <f>'数据-汇总表'!E3</f>
        <v>8275.91</v>
      </c>
      <c r="E37" s="255">
        <f>'数据-取费表'!B35</f>
        <v>200</v>
      </c>
      <c r="F37" s="265"/>
      <c r="G37" s="267" t="s">
        <v>119</v>
      </c>
    </row>
    <row r="38" spans="1:7" ht="13.5" customHeight="1">
      <c r="A38" s="869" t="s">
        <v>618</v>
      </c>
      <c r="B38" s="221" t="s">
        <v>63</v>
      </c>
      <c r="C38" s="226">
        <f>ROUND(C34*F38,0)</f>
        <v>50</v>
      </c>
      <c r="D38" s="226"/>
      <c r="E38" s="226"/>
      <c r="F38" s="265">
        <f>'数据-取费表'!B36</f>
        <v>1.4999999999999999E-2</v>
      </c>
      <c r="G38" s="225" t="s">
        <v>117</v>
      </c>
    </row>
    <row r="39" spans="1:7" s="220" customFormat="1" ht="13.5" customHeight="1">
      <c r="A39" s="866" t="s">
        <v>602</v>
      </c>
      <c r="B39" s="216" t="s">
        <v>104</v>
      </c>
      <c r="C39" s="238">
        <f>ROUND(C33*F20,0)</f>
        <v>73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153</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150</v>
      </c>
      <c r="D42" s="244"/>
      <c r="E42" s="244"/>
      <c r="F42" s="245"/>
      <c r="G42" s="3516" t="s">
        <v>121</v>
      </c>
    </row>
    <row r="43" spans="1:7" ht="13.5" customHeight="1">
      <c r="A43" s="869" t="s">
        <v>611</v>
      </c>
      <c r="B43" s="221" t="s">
        <v>851</v>
      </c>
      <c r="C43" s="244">
        <f ca="1">ROUND(IF('数据-取费表'!B22&lt;=1,C39*F22*'数据-取费表'!B21/2,C39*(POWER((1+F22),'数据-取费表'!B21/2)-1)),0)</f>
        <v>3</v>
      </c>
      <c r="D43" s="244"/>
      <c r="E43" s="244"/>
      <c r="F43" s="245"/>
      <c r="G43" s="3517"/>
    </row>
    <row r="44" spans="1:7" ht="13.5" customHeight="1">
      <c r="A44" s="869" t="s">
        <v>612</v>
      </c>
      <c r="B44" s="221" t="s">
        <v>853</v>
      </c>
      <c r="C44" s="244">
        <f ca="1">ROUND(IF('数据-取费表'!B22&lt;=1,C40*F22*'数据-取费表'!B21/2,C40*(POWER((1+F22),'数据-取费表'!B21/2)-1)),4)</f>
        <v>8.0000000000000004E-4</v>
      </c>
      <c r="D44" s="244"/>
      <c r="E44" s="244"/>
      <c r="F44" s="245"/>
      <c r="G44" s="3518"/>
    </row>
    <row r="45" spans="1:7" s="220" customFormat="1" ht="13.5" customHeight="1">
      <c r="A45" s="866" t="s">
        <v>605</v>
      </c>
      <c r="B45" s="250" t="s">
        <v>112</v>
      </c>
      <c r="C45" s="251">
        <f>C46</f>
        <v>555</v>
      </c>
      <c r="D45" s="241">
        <f>C47</f>
        <v>3.0000000000000001E-3</v>
      </c>
      <c r="E45" s="242" t="s">
        <v>129</v>
      </c>
      <c r="F45" s="252"/>
      <c r="G45" s="253" t="s">
        <v>859</v>
      </c>
    </row>
    <row r="46" spans="1:7" s="220" customFormat="1" ht="13.5" customHeight="1">
      <c r="A46" s="869" t="s">
        <v>613</v>
      </c>
      <c r="B46" s="254" t="s">
        <v>852</v>
      </c>
      <c r="C46" s="255">
        <f>ROUND((C33+C39)*F27,0)</f>
        <v>555</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4769</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3338</v>
      </c>
      <c r="D51" s="238"/>
      <c r="E51" s="238"/>
      <c r="F51" s="270"/>
      <c r="G51" s="240" t="s">
        <v>64</v>
      </c>
    </row>
    <row r="52" spans="1:7" s="214" customFormat="1" ht="16.5" thickBot="1">
      <c r="A52" s="271" t="s">
        <v>65</v>
      </c>
      <c r="B52" s="272"/>
      <c r="C52" s="273">
        <f ca="1">C31+C51</f>
        <v>31642</v>
      </c>
      <c r="D52" s="272"/>
      <c r="E52" s="272"/>
      <c r="F52" s="272"/>
      <c r="G52" s="274"/>
    </row>
    <row r="55" spans="1:7" ht="15">
      <c r="B55" s="276" t="s">
        <v>66</v>
      </c>
      <c r="C55" s="277"/>
    </row>
    <row r="56" spans="1:7">
      <c r="B56" s="279" t="s">
        <v>67</v>
      </c>
      <c r="C56" s="280">
        <f ca="1">ROUND(C51/C52,3)</f>
        <v>0.105</v>
      </c>
    </row>
    <row r="57" spans="1:7">
      <c r="B57" s="279" t="s">
        <v>68</v>
      </c>
      <c r="C57" s="281">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8" t="s">
        <v>156</v>
      </c>
      <c r="B1" s="3628"/>
      <c r="C1" s="3628"/>
      <c r="D1" s="3628"/>
      <c r="E1" s="3628"/>
      <c r="F1" s="362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9" t="s">
        <v>169</v>
      </c>
      <c r="B2" s="3629"/>
      <c r="C2" s="3629"/>
      <c r="D2" s="3629"/>
      <c r="E2" s="3629"/>
      <c r="F2" s="362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3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8" t="s">
        <v>658</v>
      </c>
      <c r="B1" s="362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44876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93" t="str">
        <f>IF(项目基本情况!B9="房地产市场价值","估价结果一览表","结果表-2")</f>
        <v>估价结果一览表</v>
      </c>
      <c r="B1" s="3293"/>
      <c r="C1" s="3293"/>
      <c r="D1" s="3293"/>
      <c r="E1" s="3293"/>
      <c r="F1" s="3293"/>
      <c r="G1" s="3293"/>
      <c r="H1" s="3293"/>
      <c r="I1" s="3293"/>
    </row>
    <row r="2" spans="1:9" ht="30" customHeight="1" thickTop="1">
      <c r="A2" s="3294" t="s">
        <v>1365</v>
      </c>
      <c r="B2" s="3294" t="s">
        <v>1366</v>
      </c>
      <c r="C2" s="3294" t="s">
        <v>1367</v>
      </c>
      <c r="D2" s="3294" t="str">
        <f>结果表!D116</f>
        <v>出让国有建设用地使用权价值</v>
      </c>
      <c r="E2" s="3294"/>
      <c r="F2" s="3294" t="str">
        <f>结果表!F116</f>
        <v>在建建筑物价值</v>
      </c>
      <c r="G2" s="3294"/>
      <c r="H2" s="3294" t="str">
        <f>IF(项目基本情况!B9="房地产市场价值","房地产市场价值","房地产价值")</f>
        <v>房地产市场价值</v>
      </c>
      <c r="I2" s="3294"/>
    </row>
    <row r="3" spans="1:9" ht="15">
      <c r="A3" s="3288"/>
      <c r="B3" s="3288"/>
      <c r="C3" s="3288"/>
      <c r="D3" s="944" t="s">
        <v>1362</v>
      </c>
      <c r="E3" s="944" t="s">
        <v>1368</v>
      </c>
      <c r="F3" s="944" t="s">
        <v>1362</v>
      </c>
      <c r="G3" s="944" t="s">
        <v>1363</v>
      </c>
      <c r="H3" s="944" t="s">
        <v>1362</v>
      </c>
      <c r="I3" s="944" t="s">
        <v>1363</v>
      </c>
    </row>
    <row r="4" spans="1:9" ht="30">
      <c r="A4" s="1641" t="str">
        <f>项目基本情况!S2</f>
        <v>北京市香河第一城德胜门高尔夫房地产</v>
      </c>
      <c r="B4" s="944">
        <f>项目基本情况!C17</f>
        <v>8275.91</v>
      </c>
      <c r="C4" s="944">
        <f>项目基本情况!C18</f>
        <v>47032</v>
      </c>
      <c r="D4" s="944">
        <f ca="1">结果表!D118</f>
        <v>863</v>
      </c>
      <c r="E4" s="944">
        <f ca="1">结果表!E118</f>
        <v>1043</v>
      </c>
      <c r="F4" s="944">
        <f ca="1">结果表!F118</f>
        <v>2032</v>
      </c>
      <c r="G4" s="944">
        <f ca="1">结果表!G118</f>
        <v>2455</v>
      </c>
      <c r="H4" s="944">
        <f ca="1">结果表!H118</f>
        <v>2895</v>
      </c>
      <c r="I4" s="944">
        <f ca="1">结果表!I118</f>
        <v>3498</v>
      </c>
    </row>
    <row r="5" spans="1:9" ht="30" customHeight="1">
      <c r="A5" s="3288" t="s">
        <v>1364</v>
      </c>
      <c r="B5" s="3288"/>
      <c r="C5" s="3288"/>
      <c r="D5" s="3289" t="str">
        <f ca="1">结果表!D119</f>
        <v>捌佰陆拾叁万元整</v>
      </c>
      <c r="E5" s="3289"/>
      <c r="F5" s="3289" t="str">
        <f ca="1">结果表!F119</f>
        <v>贰仟零叁拾贰万元整</v>
      </c>
      <c r="G5" s="3289"/>
      <c r="H5" s="3289" t="str">
        <f ca="1">结果表!H119</f>
        <v>贰仟捌佰玖拾伍万元整</v>
      </c>
      <c r="I5" s="3289"/>
    </row>
    <row r="6" spans="1:9" ht="15.75">
      <c r="A6" s="3287" t="str">
        <f>结果表!A120</f>
        <v/>
      </c>
      <c r="B6" s="3287"/>
      <c r="C6" s="3287"/>
      <c r="D6" s="3287">
        <f>结果表!D120</f>
        <v>0</v>
      </c>
      <c r="E6" s="3287"/>
      <c r="F6" s="3287"/>
      <c r="G6" s="3287"/>
      <c r="H6" s="3287"/>
      <c r="I6" s="3287"/>
    </row>
    <row r="7" spans="1:9" ht="15">
      <c r="A7" s="3288" t="s">
        <v>1364</v>
      </c>
      <c r="B7" s="3288"/>
      <c r="C7" s="3288"/>
      <c r="D7" s="3290" t="str">
        <f>结果表!D121</f>
        <v>零元整</v>
      </c>
      <c r="E7" s="3291"/>
      <c r="F7" s="3291"/>
      <c r="G7" s="3291"/>
      <c r="H7" s="3291"/>
      <c r="I7" s="3292"/>
    </row>
    <row r="8" spans="1:9" ht="15.75">
      <c r="A8" s="3287" t="str">
        <f>结果表!A122</f>
        <v/>
      </c>
      <c r="B8" s="3287"/>
      <c r="C8" s="3287"/>
      <c r="D8" s="3287">
        <f ca="1">结果表!D122</f>
        <v>2895</v>
      </c>
      <c r="E8" s="3287"/>
      <c r="F8" s="3287"/>
      <c r="G8" s="3287"/>
      <c r="H8" s="3287"/>
      <c r="I8" s="3287"/>
    </row>
    <row r="9" spans="1:9" ht="15">
      <c r="A9" s="3288" t="s">
        <v>1364</v>
      </c>
      <c r="B9" s="3288"/>
      <c r="C9" s="3288"/>
      <c r="D9" s="3289" t="str">
        <f ca="1">结果表!D123</f>
        <v>贰仟捌佰玖拾伍万元整</v>
      </c>
      <c r="E9" s="3289"/>
      <c r="F9" s="3289"/>
      <c r="G9" s="3289"/>
      <c r="H9" s="3289"/>
      <c r="I9" s="3289"/>
    </row>
    <row r="10" spans="1:9" ht="15.75">
      <c r="A10" s="3287" t="str">
        <f>结果表!A124</f>
        <v/>
      </c>
      <c r="B10" s="3287"/>
      <c r="C10" s="3287"/>
      <c r="D10" s="3287" t="str">
        <f>结果表!D124</f>
        <v>——</v>
      </c>
      <c r="E10" s="3287"/>
      <c r="F10" s="3287"/>
      <c r="G10" s="3287"/>
      <c r="H10" s="3287"/>
      <c r="I10" s="3287"/>
    </row>
    <row r="11" spans="1:9" ht="15">
      <c r="A11" s="3288" t="s">
        <v>1364</v>
      </c>
      <c r="B11" s="3288"/>
      <c r="C11" s="3288"/>
      <c r="D11" s="3289" t="e">
        <f>结果表!D125</f>
        <v>#VALUE!</v>
      </c>
      <c r="E11" s="3289"/>
      <c r="F11" s="3289"/>
      <c r="G11" s="3289"/>
      <c r="H11" s="3289"/>
      <c r="I11" s="3289"/>
    </row>
    <row r="12" spans="1:9" ht="15.75">
      <c r="A12" s="3287" t="str">
        <f>结果表!A126</f>
        <v/>
      </c>
      <c r="B12" s="3287"/>
      <c r="C12" s="3287"/>
      <c r="D12" s="3287" t="str">
        <f>结果表!D126</f>
        <v>——</v>
      </c>
      <c r="E12" s="3287"/>
      <c r="F12" s="3287"/>
      <c r="G12" s="3287"/>
      <c r="H12" s="3287"/>
      <c r="I12" s="3287"/>
    </row>
    <row r="13" spans="1:9" ht="15.75" thickBot="1">
      <c r="A13" s="3284" t="s">
        <v>1364</v>
      </c>
      <c r="B13" s="3284"/>
      <c r="C13" s="3284"/>
      <c r="D13" s="3285" t="e">
        <f>结果表!D127</f>
        <v>#VALUE!</v>
      </c>
      <c r="E13" s="3285"/>
      <c r="F13" s="3285"/>
      <c r="G13" s="3285"/>
      <c r="H13" s="3285"/>
      <c r="I13" s="3285"/>
    </row>
    <row r="14" spans="1:9" ht="15" thickTop="1">
      <c r="A14" s="3286" t="s">
        <v>1369</v>
      </c>
      <c r="B14" s="3286"/>
      <c r="C14" s="3286"/>
      <c r="D14" s="3286"/>
      <c r="E14" s="3286"/>
      <c r="F14" s="3286"/>
      <c r="G14" s="3286"/>
      <c r="H14" s="3286"/>
      <c r="I14" s="328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01" t="s">
        <v>1386</v>
      </c>
      <c r="B1" s="3301"/>
      <c r="C1" s="3301"/>
      <c r="D1" s="3301"/>
    </row>
    <row r="2" spans="1:4" ht="18">
      <c r="A2" s="3302" t="s">
        <v>1370</v>
      </c>
      <c r="B2" s="3302"/>
      <c r="C2" s="3302"/>
      <c r="D2" s="3302"/>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8">
      <c r="A6" s="3302" t="s">
        <v>1376</v>
      </c>
      <c r="B6" s="3302"/>
      <c r="C6" s="3302"/>
      <c r="D6" s="330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03" t="s">
        <v>1379</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0"/>
      <c r="C12" s="3300"/>
      <c r="D12" s="3300"/>
    </row>
    <row r="13" spans="1:4" ht="30" customHeight="1">
      <c r="A13" s="3295" t="str">
        <f>IF(项目基本情况!B8="抵押","3.抵押双方在办理抵押登记手续时，应使用本公司出具的正式《房地产评估报告》，特提醒报告使用者注意。","——")</f>
        <v>——</v>
      </c>
      <c r="B13" s="3300"/>
      <c r="C13" s="3300"/>
      <c r="D13" s="3300"/>
    </row>
    <row r="14" spans="1:4" ht="15.75" customHeight="1">
      <c r="A14" s="3295" t="str">
        <f>IF(项目基本情况!B8="抵押","4.本次评估估价师所知悉的法定优先受偿款情况说明如下：","——")</f>
        <v>——</v>
      </c>
      <c r="B14" s="3300"/>
      <c r="C14" s="3300"/>
      <c r="D14" s="3300"/>
    </row>
    <row r="15" spans="1:4" ht="42" customHeight="1">
      <c r="A15" s="3295" t="str">
        <f>IF(项目基本情况!B8="抵押","（1）"&amp;CONCATENATE(项目基本情况!L20,项目基本情况!L21,项目基本情况!L22),"——")</f>
        <v>——</v>
      </c>
      <c r="B15" s="3295"/>
      <c r="C15" s="3295"/>
      <c r="D15" s="3295"/>
    </row>
    <row r="16" spans="1:4" ht="30" customHeight="1">
      <c r="A16" s="3297" t="s">
        <v>1380</v>
      </c>
      <c r="B16" s="3297"/>
      <c r="C16" s="3297"/>
      <c r="D16" s="3297"/>
    </row>
    <row r="17" spans="1:4" ht="144" customHeight="1">
      <c r="A17" s="3297" t="s">
        <v>1381</v>
      </c>
      <c r="B17" s="3297"/>
      <c r="C17" s="3297"/>
      <c r="D17" s="3297"/>
    </row>
    <row r="18" spans="1:4" ht="15.75" customHeight="1">
      <c r="A18" s="3295" t="str">
        <f>IF(项目基本情况!B8="抵押",结果表!K120,"——")</f>
        <v>——</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5"/>
      <c r="C20" s="3295"/>
      <c r="D20" s="3295"/>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8"/>
      <c r="C21" s="3298"/>
      <c r="D21" s="3298"/>
    </row>
    <row r="22" spans="1:4" ht="18.75" customHeight="1">
      <c r="A22" s="3299" t="s">
        <v>1382</v>
      </c>
      <c r="B22" s="3299"/>
      <c r="C22" s="3299"/>
      <c r="D22" s="329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6">
        <v>42551</v>
      </c>
      <c r="D31" s="32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9" t="s">
        <v>1393</v>
      </c>
      <c r="B15" s="3304" t="s">
        <v>136</v>
      </c>
      <c r="C15" s="3305"/>
    </row>
    <row r="16" spans="1:7" ht="13.5">
      <c r="A16" s="3310"/>
      <c r="B16" s="3304" t="s">
        <v>69</v>
      </c>
      <c r="C16" s="3305"/>
    </row>
    <row r="17" spans="1:3" ht="13.5">
      <c r="A17" s="3310"/>
      <c r="B17" s="3307" t="s">
        <v>1394</v>
      </c>
      <c r="C17" s="1668" t="s">
        <v>1393</v>
      </c>
    </row>
    <row r="18" spans="1:3" ht="13.5">
      <c r="A18" s="3310"/>
      <c r="B18" s="3307"/>
      <c r="C18" s="1668" t="s">
        <v>1395</v>
      </c>
    </row>
    <row r="19" spans="1:3" ht="13.5">
      <c r="A19" s="3310"/>
      <c r="B19" s="3307"/>
      <c r="C19" s="1668" t="s">
        <v>1396</v>
      </c>
    </row>
    <row r="20" spans="1:3" ht="13.5">
      <c r="A20" s="3311"/>
      <c r="B20" s="3306" t="s">
        <v>1397</v>
      </c>
      <c r="C20" s="3305"/>
    </row>
    <row r="21" spans="1:3" ht="13.5">
      <c r="A21" s="1669" t="s">
        <v>1398</v>
      </c>
      <c r="B21" s="1670"/>
      <c r="C21" s="1671"/>
    </row>
    <row r="22" spans="1:3" ht="13.5">
      <c r="A22" s="3308" t="s">
        <v>1399</v>
      </c>
      <c r="B22" s="3306" t="s">
        <v>1400</v>
      </c>
      <c r="C22" s="3305"/>
    </row>
    <row r="23" spans="1:3" ht="13.5">
      <c r="A23" s="3308"/>
      <c r="B23" s="3306" t="s">
        <v>1401</v>
      </c>
      <c r="C23" s="3305"/>
    </row>
    <row r="24" spans="1:3" ht="13.5">
      <c r="A24" s="3308"/>
      <c r="B24" s="3306" t="s">
        <v>1402</v>
      </c>
      <c r="C24" s="3305"/>
    </row>
    <row r="25" spans="1:3" ht="13.5">
      <c r="A25" s="3308"/>
      <c r="B25" s="3307" t="s">
        <v>1403</v>
      </c>
      <c r="C25" s="1668" t="s">
        <v>1404</v>
      </c>
    </row>
    <row r="26" spans="1:3" ht="13.5">
      <c r="A26" s="3308"/>
      <c r="B26" s="3307"/>
      <c r="C26" s="1668" t="s">
        <v>1405</v>
      </c>
    </row>
    <row r="27" spans="1:3" ht="13.5">
      <c r="A27" s="3308"/>
      <c r="B27" s="3307"/>
      <c r="C27" s="1668" t="s">
        <v>1406</v>
      </c>
    </row>
    <row r="28" spans="1:3" ht="13.5">
      <c r="A28" s="3308"/>
      <c r="B28" s="3307"/>
      <c r="C28" s="1668" t="s">
        <v>1407</v>
      </c>
    </row>
    <row r="29" spans="1:3" ht="13.5">
      <c r="A29" s="3308"/>
      <c r="B29" s="3307"/>
      <c r="C29" s="1668" t="s">
        <v>1408</v>
      </c>
    </row>
    <row r="30" spans="1:3" ht="13.5">
      <c r="A30" s="3308"/>
      <c r="B30" s="3307"/>
      <c r="C30" s="1668" t="s">
        <v>1409</v>
      </c>
    </row>
    <row r="31" spans="1:3" ht="13.5">
      <c r="A31" s="3308"/>
      <c r="B31" s="3307"/>
      <c r="C31" s="1668" t="s">
        <v>1410</v>
      </c>
    </row>
    <row r="32" spans="1:3" ht="13.5">
      <c r="A32" s="3308"/>
      <c r="B32" s="3307"/>
      <c r="C32" s="1668" t="s">
        <v>1411</v>
      </c>
    </row>
    <row r="33" spans="1:3" ht="13.5">
      <c r="A33" s="3308"/>
      <c r="B33" s="330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12" t="s">
        <v>2661</v>
      </c>
      <c r="B17" s="3312"/>
      <c r="C17" s="3312"/>
      <c r="D17" s="3312"/>
      <c r="E17" s="3312"/>
      <c r="F17" s="3312"/>
      <c r="G17" s="3312"/>
      <c r="H17" s="3312"/>
    </row>
    <row r="18" spans="1:8" ht="24" customHeight="1">
      <c r="A18" s="3313" t="s">
        <v>2662</v>
      </c>
      <c r="B18" s="3313"/>
      <c r="C18" s="3313"/>
      <c r="D18" s="2516"/>
      <c r="E18" s="3314" t="s">
        <v>2663</v>
      </c>
      <c r="F18" s="3313"/>
      <c r="G18" s="3313"/>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2022-11-17T08:09:44Z</dcterms:modified>
</cp:coreProperties>
</file>