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96司法-望京东园617号楼2203\"/>
    </mc:Choice>
  </mc:AlternateContent>
  <xr:revisionPtr revIDLastSave="0" documentId="8_{D56D0D42-572D-41C4-9867-C3D4A325E827}" xr6:coauthVersionLast="47" xr6:coauthVersionMax="47" xr10:uidLastSave="{00000000-0000-0000-0000-000000000000}"/>
  <bookViews>
    <workbookView xWindow="-120" yWindow="-120" windowWidth="38640" windowHeight="21240"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2" r:id="rId45"/>
    <sheet name="成交案例" sheetId="83" r:id="rId46"/>
    <sheet name="区片价" sheetId="44" r:id="rId47"/>
    <sheet name="存贷款利率" sheetId="73" r:id="rId48"/>
  </sheets>
  <externalReferences>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E91" i="21" l="1"/>
  <c r="D91" i="21"/>
  <c r="E33" i="21"/>
  <c r="E47" i="21"/>
  <c r="M44" i="81"/>
  <c r="M43" i="81"/>
  <c r="I33" i="81"/>
  <c r="G33" i="81"/>
  <c r="E33" i="81"/>
  <c r="I7" i="81"/>
  <c r="G7" i="81"/>
  <c r="E7" i="81"/>
  <c r="F7" i="81"/>
  <c r="AA7" i="81"/>
  <c r="F26" i="81"/>
  <c r="AA26" i="81"/>
  <c r="F33" i="81"/>
  <c r="AA33" i="81"/>
  <c r="F42" i="81"/>
  <c r="AA42" i="81"/>
  <c r="H33" i="81"/>
  <c r="AB33" i="81"/>
  <c r="H7" i="81"/>
  <c r="AB7" i="81"/>
  <c r="J33" i="81"/>
  <c r="AC33" i="81"/>
  <c r="J7" i="81"/>
  <c r="AC7" i="81"/>
  <c r="J42" i="81"/>
  <c r="AC42" i="81"/>
  <c r="R12" i="83"/>
  <c r="I47" i="81"/>
  <c r="R10" i="83"/>
  <c r="G47" i="81"/>
  <c r="R8" i="83"/>
  <c r="E47" i="81"/>
  <c r="R9" i="83"/>
  <c r="R11" i="83"/>
  <c r="R13" i="83"/>
  <c r="R14" i="83"/>
  <c r="I47" i="21"/>
  <c r="G47" i="21"/>
  <c r="I7" i="21"/>
  <c r="G7" i="21"/>
  <c r="E7" i="21"/>
  <c r="K12" i="4"/>
  <c r="R10" i="82"/>
  <c r="S10" i="82"/>
  <c r="S6" i="82"/>
  <c r="S7" i="82"/>
  <c r="S8" i="82"/>
  <c r="S9" i="82"/>
  <c r="Q6" i="82"/>
  <c r="Q7" i="82"/>
  <c r="Q8" i="82"/>
  <c r="Q9" i="82"/>
  <c r="Q10" i="82"/>
  <c r="S5" i="82"/>
  <c r="Q5" i="82"/>
  <c r="J52" i="67"/>
  <c r="V47" i="81"/>
  <c r="T47" i="81"/>
  <c r="R47" i="81"/>
  <c r="C145" i="81"/>
  <c r="K139" i="81"/>
  <c r="J142" i="81"/>
  <c r="J140" i="81"/>
  <c r="B130" i="81"/>
  <c r="B128" i="81"/>
  <c r="B126" i="81"/>
  <c r="G125" i="81"/>
  <c r="E125" i="81"/>
  <c r="F125" i="81"/>
  <c r="D125" i="81"/>
  <c r="D123" i="81"/>
  <c r="E123" i="81"/>
  <c r="K119" i="81"/>
  <c r="L119" i="81"/>
  <c r="M119" i="81"/>
  <c r="I119" i="81"/>
  <c r="J119" i="81"/>
  <c r="G119" i="81"/>
  <c r="H119" i="81"/>
  <c r="E119" i="81"/>
  <c r="F119" i="81"/>
  <c r="D119" i="81"/>
  <c r="G117" i="81"/>
  <c r="E117" i="81"/>
  <c r="F117" i="81"/>
  <c r="D117" i="81"/>
  <c r="E115" i="81"/>
  <c r="F115" i="81"/>
  <c r="G115" i="81"/>
  <c r="H115" i="81"/>
  <c r="I115" i="81"/>
  <c r="J115" i="81"/>
  <c r="K115" i="81"/>
  <c r="L115" i="81"/>
  <c r="M115" i="81"/>
  <c r="D115" i="81"/>
  <c r="D113" i="81"/>
  <c r="E113" i="81"/>
  <c r="F113" i="81"/>
  <c r="H111" i="81"/>
  <c r="G111" i="81"/>
  <c r="F111" i="81"/>
  <c r="E111" i="81"/>
  <c r="D111" i="81"/>
  <c r="C111" i="81"/>
  <c r="F110" i="81"/>
  <c r="G110" i="81"/>
  <c r="H110" i="81"/>
  <c r="I110" i="81"/>
  <c r="J110" i="81"/>
  <c r="K110" i="81"/>
  <c r="L110" i="81"/>
  <c r="M110" i="81"/>
  <c r="D110" i="81"/>
  <c r="E110" i="81"/>
  <c r="D108" i="81"/>
  <c r="E108" i="81"/>
  <c r="F108" i="81"/>
  <c r="G108" i="81"/>
  <c r="H108" i="81"/>
  <c r="I108" i="81"/>
  <c r="J108" i="81"/>
  <c r="K108" i="81"/>
  <c r="L108" i="81"/>
  <c r="M108" i="81"/>
  <c r="F106" i="81"/>
  <c r="G106" i="81"/>
  <c r="H106" i="81"/>
  <c r="I106" i="81"/>
  <c r="J106" i="81"/>
  <c r="K106" i="81"/>
  <c r="L106" i="81"/>
  <c r="M106" i="81"/>
  <c r="D106" i="81"/>
  <c r="E106" i="81"/>
  <c r="M102" i="81"/>
  <c r="L102" i="81"/>
  <c r="K102" i="81"/>
  <c r="J102" i="81"/>
  <c r="I102" i="81"/>
  <c r="H102" i="81"/>
  <c r="G102" i="81"/>
  <c r="F102" i="81"/>
  <c r="E102" i="81"/>
  <c r="D102" i="81"/>
  <c r="C102" i="81"/>
  <c r="G101" i="81"/>
  <c r="H101" i="81"/>
  <c r="I101" i="81"/>
  <c r="J101" i="81"/>
  <c r="K101" i="81"/>
  <c r="L101" i="81"/>
  <c r="M101" i="81"/>
  <c r="E101" i="81"/>
  <c r="F101" i="81"/>
  <c r="D101" i="81"/>
  <c r="B98" i="81"/>
  <c r="B96" i="81"/>
  <c r="B94" i="81"/>
  <c r="B92" i="81"/>
  <c r="B90" i="81"/>
  <c r="D89" i="81"/>
  <c r="M87" i="81"/>
  <c r="L87" i="81"/>
  <c r="K87" i="81"/>
  <c r="J87" i="81"/>
  <c r="I87" i="81"/>
  <c r="H87" i="81"/>
  <c r="G87" i="81"/>
  <c r="F87" i="81"/>
  <c r="E87" i="81"/>
  <c r="D87" i="81"/>
  <c r="D85" i="81"/>
  <c r="E85" i="81"/>
  <c r="F85" i="81"/>
  <c r="G85" i="81"/>
  <c r="D83" i="81"/>
  <c r="E83" i="81"/>
  <c r="F83" i="81"/>
  <c r="G83" i="81"/>
  <c r="D81" i="81"/>
  <c r="E81" i="81"/>
  <c r="F81" i="81"/>
  <c r="G81" i="81"/>
  <c r="D79" i="81"/>
  <c r="E79" i="81"/>
  <c r="F79" i="81"/>
  <c r="G79" i="81"/>
  <c r="D77" i="81"/>
  <c r="E77" i="81"/>
  <c r="F77" i="81"/>
  <c r="G77" i="81"/>
  <c r="B74" i="81"/>
  <c r="B72" i="81"/>
  <c r="B70" i="81"/>
  <c r="E69" i="81"/>
  <c r="F69" i="81"/>
  <c r="G69" i="81"/>
  <c r="H69" i="81"/>
  <c r="I69" i="81"/>
  <c r="J69" i="81"/>
  <c r="K69" i="81"/>
  <c r="L69" i="81"/>
  <c r="M69" i="81"/>
  <c r="D69" i="81"/>
  <c r="M67" i="81"/>
  <c r="L67" i="81"/>
  <c r="K67" i="81"/>
  <c r="J67" i="81"/>
  <c r="I67" i="81"/>
  <c r="H67" i="81"/>
  <c r="G67" i="81"/>
  <c r="F67" i="81"/>
  <c r="E67" i="81"/>
  <c r="D67" i="81"/>
  <c r="C67" i="81"/>
  <c r="C63" i="81"/>
  <c r="P49" i="81"/>
  <c r="P48" i="81"/>
  <c r="K48" i="81"/>
  <c r="P47" i="81"/>
  <c r="AC46" i="81"/>
  <c r="W46" i="81"/>
  <c r="Q46" i="81"/>
  <c r="Z46" i="81"/>
  <c r="J46" i="81"/>
  <c r="H46" i="81"/>
  <c r="AB46" i="81"/>
  <c r="F46" i="81"/>
  <c r="S46" i="81"/>
  <c r="Q45" i="81"/>
  <c r="Z45" i="81"/>
  <c r="AA44" i="81"/>
  <c r="Q44" i="81"/>
  <c r="Z44" i="81"/>
  <c r="J44" i="81"/>
  <c r="W44" i="81"/>
  <c r="H44" i="81"/>
  <c r="AB44" i="81"/>
  <c r="F44" i="81"/>
  <c r="S44" i="81"/>
  <c r="Z43" i="81"/>
  <c r="Q43" i="81"/>
  <c r="J43" i="81"/>
  <c r="AC43" i="81"/>
  <c r="H43" i="81"/>
  <c r="U43" i="81"/>
  <c r="F43" i="81"/>
  <c r="AA43" i="81"/>
  <c r="Q42" i="81"/>
  <c r="Z42" i="81"/>
  <c r="S42" i="81"/>
  <c r="U41" i="81"/>
  <c r="Q41" i="81"/>
  <c r="Z41" i="81"/>
  <c r="J41" i="81"/>
  <c r="AC41" i="81"/>
  <c r="H41" i="81"/>
  <c r="AB41" i="81"/>
  <c r="F41" i="81"/>
  <c r="AA41" i="81"/>
  <c r="AC40" i="81"/>
  <c r="Q40" i="81"/>
  <c r="Z40" i="81"/>
  <c r="J40" i="81"/>
  <c r="W40" i="81"/>
  <c r="H40" i="81"/>
  <c r="AB40" i="81"/>
  <c r="F40" i="81"/>
  <c r="AA40" i="81"/>
  <c r="Q39" i="81"/>
  <c r="Z39" i="81"/>
  <c r="J39" i="81"/>
  <c r="AC39" i="81"/>
  <c r="H39" i="81"/>
  <c r="AB39" i="81"/>
  <c r="F39" i="81"/>
  <c r="AA39" i="81"/>
  <c r="AC38" i="81"/>
  <c r="Q38" i="81"/>
  <c r="Z38" i="81"/>
  <c r="J38" i="81"/>
  <c r="W38" i="81"/>
  <c r="H38" i="81"/>
  <c r="AB38" i="81"/>
  <c r="F38" i="81"/>
  <c r="AA38" i="81"/>
  <c r="Z37" i="81"/>
  <c r="Q37" i="81"/>
  <c r="Q36" i="81"/>
  <c r="Z36" i="81"/>
  <c r="J36" i="81"/>
  <c r="AC36" i="81"/>
  <c r="H36" i="81"/>
  <c r="AB36" i="81"/>
  <c r="F36" i="81"/>
  <c r="AA36" i="81"/>
  <c r="Q35" i="81"/>
  <c r="Z35" i="81"/>
  <c r="J35" i="81"/>
  <c r="AC35" i="81"/>
  <c r="H35" i="81"/>
  <c r="AB35" i="81"/>
  <c r="F35" i="81"/>
  <c r="AA35" i="81"/>
  <c r="Q34" i="81"/>
  <c r="Z34" i="81"/>
  <c r="J34" i="81"/>
  <c r="W34" i="81"/>
  <c r="H34" i="81"/>
  <c r="AB34" i="81"/>
  <c r="F34" i="81"/>
  <c r="AA34" i="81"/>
  <c r="Z33" i="81"/>
  <c r="Q33" i="81"/>
  <c r="Q32" i="81"/>
  <c r="Z32" i="81"/>
  <c r="J32" i="81"/>
  <c r="W32" i="81"/>
  <c r="H32" i="81"/>
  <c r="AB32" i="81"/>
  <c r="F32" i="81"/>
  <c r="AA32" i="81"/>
  <c r="Z31" i="81"/>
  <c r="Q31" i="81"/>
  <c r="H31" i="81"/>
  <c r="U31" i="81"/>
  <c r="AC30" i="81"/>
  <c r="W30" i="81"/>
  <c r="Q30" i="81"/>
  <c r="Z30" i="81"/>
  <c r="J30" i="81"/>
  <c r="H30" i="81"/>
  <c r="AB30" i="81"/>
  <c r="F30" i="81"/>
  <c r="AA30" i="81"/>
  <c r="Q29" i="81"/>
  <c r="Z29" i="81"/>
  <c r="H29" i="81"/>
  <c r="AB29" i="81"/>
  <c r="W28" i="81"/>
  <c r="Q28" i="81"/>
  <c r="Z28" i="81"/>
  <c r="J28" i="81"/>
  <c r="AC28" i="81"/>
  <c r="H28" i="81"/>
  <c r="AB28" i="81"/>
  <c r="F28" i="81"/>
  <c r="S28" i="81"/>
  <c r="Q27" i="81"/>
  <c r="Z27" i="81"/>
  <c r="Q26" i="81"/>
  <c r="Z26" i="81"/>
  <c r="J26" i="81"/>
  <c r="W26" i="81"/>
  <c r="AA25" i="81"/>
  <c r="Z25" i="81"/>
  <c r="Q25" i="81"/>
  <c r="J25" i="81"/>
  <c r="AC25" i="81"/>
  <c r="H25" i="81"/>
  <c r="U25" i="81"/>
  <c r="F25" i="81"/>
  <c r="S25" i="81"/>
  <c r="Q23" i="81"/>
  <c r="Z23" i="81"/>
  <c r="J23" i="81"/>
  <c r="W23" i="81"/>
  <c r="H23" i="81"/>
  <c r="AB23" i="81"/>
  <c r="F23" i="81"/>
  <c r="S23" i="81"/>
  <c r="C23" i="81"/>
  <c r="Q21" i="81"/>
  <c r="Z21" i="81"/>
  <c r="J21" i="81"/>
  <c r="AC21" i="81"/>
  <c r="H21" i="81"/>
  <c r="AB21" i="81"/>
  <c r="F21" i="81"/>
  <c r="AA21" i="81"/>
  <c r="C21" i="81"/>
  <c r="Q19" i="81"/>
  <c r="Z19" i="81"/>
  <c r="J19" i="81"/>
  <c r="AC19" i="81"/>
  <c r="H19" i="81"/>
  <c r="AB19" i="81"/>
  <c r="F19" i="81"/>
  <c r="AA19" i="81"/>
  <c r="C19" i="81"/>
  <c r="Q17" i="81"/>
  <c r="Z17" i="81"/>
  <c r="J17" i="81"/>
  <c r="AC17" i="81"/>
  <c r="H17" i="81"/>
  <c r="AB17" i="81"/>
  <c r="F17" i="81"/>
  <c r="AA17" i="81"/>
  <c r="C17" i="81"/>
  <c r="Q15" i="81"/>
  <c r="Z15" i="81"/>
  <c r="J15" i="81"/>
  <c r="AC15" i="81"/>
  <c r="H15" i="81"/>
  <c r="AB15" i="81"/>
  <c r="F15" i="81"/>
  <c r="AA15" i="81"/>
  <c r="C15" i="81"/>
  <c r="Q14" i="81"/>
  <c r="Z14" i="81"/>
  <c r="J14" i="81"/>
  <c r="AC14" i="81"/>
  <c r="H14" i="81"/>
  <c r="AB14" i="81"/>
  <c r="F14" i="81"/>
  <c r="AA14" i="81"/>
  <c r="Q13" i="81"/>
  <c r="Z13" i="81"/>
  <c r="J13" i="81"/>
  <c r="W13" i="81"/>
  <c r="H13" i="81"/>
  <c r="AB13" i="81"/>
  <c r="F13" i="81"/>
  <c r="AA13" i="81"/>
  <c r="Q12" i="81"/>
  <c r="Z12" i="81"/>
  <c r="J12" i="81"/>
  <c r="AC12" i="81"/>
  <c r="H12" i="81"/>
  <c r="AB12" i="81"/>
  <c r="F12" i="81"/>
  <c r="AA12" i="81"/>
  <c r="Q11" i="81"/>
  <c r="Z11" i="81"/>
  <c r="J11" i="81"/>
  <c r="AC11" i="81"/>
  <c r="H11" i="81"/>
  <c r="AB11" i="81"/>
  <c r="F11" i="81"/>
  <c r="Q10" i="81"/>
  <c r="Z10" i="81"/>
  <c r="J10" i="81"/>
  <c r="AC10" i="81"/>
  <c r="H10" i="81"/>
  <c r="AB10" i="81"/>
  <c r="F10" i="81"/>
  <c r="AA10" i="81"/>
  <c r="Q9" i="81"/>
  <c r="Z9" i="81"/>
  <c r="J9" i="81"/>
  <c r="AC9" i="81"/>
  <c r="H9" i="81"/>
  <c r="AB9" i="81"/>
  <c r="F9" i="81"/>
  <c r="AA9" i="81"/>
  <c r="AB8" i="81"/>
  <c r="W8" i="81"/>
  <c r="S8" i="81"/>
  <c r="J8" i="81"/>
  <c r="AC8" i="81"/>
  <c r="H8" i="81"/>
  <c r="U8" i="81"/>
  <c r="F8" i="81"/>
  <c r="AA8" i="81"/>
  <c r="D3" i="4"/>
  <c r="B2" i="1"/>
  <c r="C7" i="81"/>
  <c r="C58" i="81"/>
  <c r="E5" i="81"/>
  <c r="G5" i="81"/>
  <c r="I5" i="81"/>
  <c r="D14" i="9"/>
  <c r="E5" i="21"/>
  <c r="G5" i="21"/>
  <c r="I5" i="21"/>
  <c r="Y6" i="1"/>
  <c r="N19" i="1"/>
  <c r="F19" i="6"/>
  <c r="C33" i="81"/>
  <c r="D2" i="81"/>
  <c r="C33" i="21"/>
  <c r="W33" i="81"/>
  <c r="D33" i="43"/>
  <c r="U33" i="81"/>
  <c r="S33" i="81"/>
  <c r="B14" i="74"/>
  <c r="H42" i="81"/>
  <c r="AB42" i="81"/>
  <c r="F123" i="81"/>
  <c r="G123" i="81"/>
  <c r="H123" i="81"/>
  <c r="I123" i="81"/>
  <c r="J123" i="81"/>
  <c r="K123" i="81"/>
  <c r="L123" i="81"/>
  <c r="M123" i="81"/>
  <c r="I54" i="81"/>
  <c r="J54" i="81"/>
  <c r="AA23" i="81"/>
  <c r="AC34" i="81"/>
  <c r="AC32" i="81"/>
  <c r="W42" i="81"/>
  <c r="D58" i="81"/>
  <c r="F37" i="81"/>
  <c r="G113" i="81"/>
  <c r="H113" i="81"/>
  <c r="J37" i="81"/>
  <c r="H37" i="81"/>
  <c r="W9" i="81"/>
  <c r="AA11" i="81"/>
  <c r="S11" i="81"/>
  <c r="K145" i="81"/>
  <c r="K143" i="81"/>
  <c r="K141" i="81"/>
  <c r="S30" i="81"/>
  <c r="AB31" i="81"/>
  <c r="S36" i="81"/>
  <c r="S40" i="81"/>
  <c r="E89" i="81"/>
  <c r="F89" i="81"/>
  <c r="G89" i="81"/>
  <c r="H89" i="81"/>
  <c r="I89" i="81"/>
  <c r="J89" i="81"/>
  <c r="K89" i="81"/>
  <c r="L89" i="81"/>
  <c r="M89" i="81"/>
  <c r="H26" i="81"/>
  <c r="F45" i="81"/>
  <c r="J45" i="81"/>
  <c r="S10" i="81"/>
  <c r="U11" i="81"/>
  <c r="W12" i="81"/>
  <c r="S14" i="81"/>
  <c r="S15" i="81"/>
  <c r="S17" i="81"/>
  <c r="S19" i="81"/>
  <c r="S21" i="81"/>
  <c r="AC23" i="81"/>
  <c r="AC26" i="81"/>
  <c r="AA28" i="81"/>
  <c r="U29" i="81"/>
  <c r="S32" i="81"/>
  <c r="S34" i="81"/>
  <c r="U35" i="81"/>
  <c r="W36" i="81"/>
  <c r="S38" i="81"/>
  <c r="U39" i="81"/>
  <c r="AB43" i="81"/>
  <c r="AC44" i="81"/>
  <c r="AA46" i="81"/>
  <c r="E54" i="81"/>
  <c r="F54" i="81"/>
  <c r="J31" i="81"/>
  <c r="F31" i="81"/>
  <c r="AC13" i="81"/>
  <c r="S9" i="81"/>
  <c r="U10" i="81"/>
  <c r="W11" i="81"/>
  <c r="S13" i="81"/>
  <c r="U14" i="81"/>
  <c r="U19" i="81"/>
  <c r="U21" i="81"/>
  <c r="AB25" i="81"/>
  <c r="H45" i="81"/>
  <c r="G54" i="81"/>
  <c r="H54" i="81"/>
  <c r="U12" i="81"/>
  <c r="U15" i="81"/>
  <c r="U17" i="81"/>
  <c r="U9" i="81"/>
  <c r="W10" i="81"/>
  <c r="S12" i="81"/>
  <c r="U13" i="81"/>
  <c r="W14" i="81"/>
  <c r="W15" i="81"/>
  <c r="W17" i="81"/>
  <c r="W19" i="81"/>
  <c r="W21" i="81"/>
  <c r="F29" i="81"/>
  <c r="J29" i="81"/>
  <c r="K144" i="81"/>
  <c r="U23" i="81"/>
  <c r="W25" i="81"/>
  <c r="U28" i="81"/>
  <c r="U32" i="81"/>
  <c r="S35" i="81"/>
  <c r="U36" i="81"/>
  <c r="S39" i="81"/>
  <c r="U40" i="81"/>
  <c r="W41" i="81"/>
  <c r="S43" i="81"/>
  <c r="U44" i="81"/>
  <c r="U30" i="81"/>
  <c r="U34" i="81"/>
  <c r="W35" i="81"/>
  <c r="U38" i="81"/>
  <c r="W39" i="81"/>
  <c r="S41" i="81"/>
  <c r="W43" i="81"/>
  <c r="U46" i="81"/>
  <c r="E27" i="45"/>
  <c r="U42" i="81"/>
  <c r="AB26" i="81"/>
  <c r="U26" i="81"/>
  <c r="AA37" i="81"/>
  <c r="S37" i="81"/>
  <c r="AC45" i="81"/>
  <c r="W45" i="81"/>
  <c r="AC37" i="81"/>
  <c r="W37" i="81"/>
  <c r="AC29" i="81"/>
  <c r="W29" i="81"/>
  <c r="AA29" i="81"/>
  <c r="S29" i="81"/>
  <c r="AC31" i="81"/>
  <c r="W31" i="81"/>
  <c r="S26" i="81"/>
  <c r="U37" i="81"/>
  <c r="AB37" i="81"/>
  <c r="AB45" i="81"/>
  <c r="U45" i="81"/>
  <c r="AA31" i="81"/>
  <c r="S31" i="81"/>
  <c r="AA45" i="81"/>
  <c r="S45" i="81"/>
  <c r="E58" i="81"/>
  <c r="G14" i="73"/>
  <c r="F14" i="73"/>
  <c r="E14" i="73"/>
  <c r="F58" i="81"/>
  <c r="I12" i="79"/>
  <c r="G58" i="81"/>
  <c r="AP34" i="79"/>
  <c r="AO34" i="79"/>
  <c r="AO35" i="79"/>
  <c r="AO36" i="79"/>
  <c r="AO37" i="79"/>
  <c r="AO38" i="79"/>
  <c r="AO39" i="79"/>
  <c r="AO40" i="79"/>
  <c r="AO41" i="79"/>
  <c r="AO42" i="79"/>
  <c r="AO43" i="79"/>
  <c r="AO44" i="79"/>
  <c r="AO45" i="79"/>
  <c r="AO46" i="79"/>
  <c r="AO47" i="79"/>
  <c r="AO48" i="79"/>
  <c r="AO49" i="79"/>
  <c r="AO50" i="79"/>
  <c r="AO51" i="79"/>
  <c r="AO52" i="79"/>
  <c r="AP35" i="79"/>
  <c r="AP36" i="79"/>
  <c r="AP37" i="79"/>
  <c r="AP38" i="79"/>
  <c r="AP39" i="79"/>
  <c r="AP40" i="79"/>
  <c r="AP41" i="79"/>
  <c r="AP42" i="79"/>
  <c r="AP43" i="79"/>
  <c r="AP44" i="79"/>
  <c r="AP45" i="79"/>
  <c r="AP46" i="79"/>
  <c r="AP47" i="79"/>
  <c r="AP48" i="79"/>
  <c r="AP49" i="79"/>
  <c r="AP50" i="79"/>
  <c r="AP51" i="79"/>
  <c r="AP52" i="79"/>
  <c r="AN35" i="79"/>
  <c r="AN36" i="79"/>
  <c r="AN37" i="79"/>
  <c r="AN38" i="79"/>
  <c r="AN39" i="79"/>
  <c r="AN40" i="79"/>
  <c r="AN41" i="79"/>
  <c r="AN42" i="79"/>
  <c r="AN43" i="79"/>
  <c r="AN44" i="79"/>
  <c r="AN45" i="79"/>
  <c r="AN46" i="79"/>
  <c r="AN47" i="79"/>
  <c r="AN48" i="79"/>
  <c r="AN49" i="79"/>
  <c r="AN50" i="79"/>
  <c r="AN51" i="79"/>
  <c r="AN52" i="79"/>
  <c r="AN34"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AN7" i="79"/>
  <c r="AN8" i="79"/>
  <c r="AN9" i="79"/>
  <c r="AN10" i="79"/>
  <c r="AN11" i="79"/>
  <c r="AN12" i="79"/>
  <c r="AN13" i="79"/>
  <c r="AN14" i="79"/>
  <c r="AN15" i="79"/>
  <c r="AN16" i="79"/>
  <c r="AN17" i="79"/>
  <c r="AN18" i="79"/>
  <c r="AN19" i="79"/>
  <c r="AN20" i="79"/>
  <c r="AN21" i="79"/>
  <c r="AN22" i="79"/>
  <c r="AN23" i="79"/>
  <c r="AN24" i="79"/>
  <c r="AQ7" i="79"/>
  <c r="AQ8" i="79"/>
  <c r="AQ9" i="79"/>
  <c r="AQ10" i="79"/>
  <c r="AQ11" i="79"/>
  <c r="AQ12" i="79"/>
  <c r="AQ13" i="79"/>
  <c r="AQ14" i="79"/>
  <c r="AQ15" i="79"/>
  <c r="AQ16" i="79"/>
  <c r="AQ17" i="79"/>
  <c r="AQ18" i="79"/>
  <c r="AQ19" i="79"/>
  <c r="AQ20" i="79"/>
  <c r="AQ21" i="79"/>
  <c r="AQ22" i="79"/>
  <c r="AQ23" i="79"/>
  <c r="AQ24" i="79"/>
  <c r="AM6" i="79"/>
  <c r="AM7" i="79"/>
  <c r="AM8" i="79"/>
  <c r="AM9" i="79"/>
  <c r="AM10" i="79"/>
  <c r="AM11" i="79"/>
  <c r="AM12" i="79"/>
  <c r="AM13" i="79"/>
  <c r="AM14" i="79"/>
  <c r="AM15" i="79"/>
  <c r="AM16" i="79"/>
  <c r="AM17" i="79"/>
  <c r="AM18" i="79"/>
  <c r="AM19" i="79"/>
  <c r="AM20" i="79"/>
  <c r="AM21" i="79"/>
  <c r="AM22" i="79"/>
  <c r="AM23" i="79"/>
  <c r="AM24" i="79"/>
  <c r="H58" i="81"/>
  <c r="AB33" i="79"/>
  <c r="AA33" i="79"/>
  <c r="Z33" i="79"/>
  <c r="N33" i="79"/>
  <c r="M33" i="79"/>
  <c r="P33" i="79"/>
  <c r="L33" i="79"/>
  <c r="I33" i="79"/>
  <c r="AB34" i="79"/>
  <c r="AA34" i="79"/>
  <c r="Z34" i="79"/>
  <c r="N34" i="79"/>
  <c r="M34" i="79"/>
  <c r="P34" i="79"/>
  <c r="L34" i="79"/>
  <c r="I34" i="79"/>
  <c r="AB35" i="79"/>
  <c r="AA35" i="79"/>
  <c r="Z35" i="79"/>
  <c r="N35" i="79"/>
  <c r="M35" i="79"/>
  <c r="P35" i="79"/>
  <c r="L35" i="79"/>
  <c r="I35" i="79"/>
  <c r="AC5" i="79"/>
  <c r="AB5" i="79"/>
  <c r="AA5" i="79"/>
  <c r="AD5" i="79"/>
  <c r="Z5" i="79"/>
  <c r="Y5" i="79"/>
  <c r="O5" i="79"/>
  <c r="N5" i="79"/>
  <c r="M5" i="79"/>
  <c r="P5" i="79"/>
  <c r="L5" i="79"/>
  <c r="K5" i="79"/>
  <c r="I5" i="79"/>
  <c r="AR6" i="79"/>
  <c r="AC6" i="79"/>
  <c r="AB6" i="79"/>
  <c r="AA6" i="79"/>
  <c r="AD6" i="79"/>
  <c r="Z6" i="79"/>
  <c r="Y6" i="79"/>
  <c r="O6" i="79"/>
  <c r="N6" i="79"/>
  <c r="M6" i="79"/>
  <c r="P6" i="79"/>
  <c r="L6" i="79"/>
  <c r="K6" i="79"/>
  <c r="I6" i="79"/>
  <c r="AC7" i="79"/>
  <c r="AB7" i="79"/>
  <c r="AA7" i="79"/>
  <c r="AD7" i="79"/>
  <c r="Z7" i="79"/>
  <c r="Y7" i="79"/>
  <c r="O7" i="79"/>
  <c r="N7" i="79"/>
  <c r="M7" i="79"/>
  <c r="P7" i="79"/>
  <c r="L7" i="79"/>
  <c r="K7" i="79"/>
  <c r="I7" i="79"/>
  <c r="I58" i="81"/>
  <c r="AR7" i="79"/>
  <c r="AR8" i="79"/>
  <c r="AD33" i="79"/>
  <c r="AR34" i="79"/>
  <c r="AR35" i="79"/>
  <c r="AR36" i="79"/>
  <c r="C60" i="78"/>
  <c r="D60" i="78"/>
  <c r="D53" i="78"/>
  <c r="D52" i="78"/>
  <c r="D51" i="78"/>
  <c r="B51" i="78"/>
  <c r="B56" i="78"/>
  <c r="J58" i="81"/>
  <c r="B55" i="78"/>
  <c r="D55" i="78"/>
  <c r="C51" i="78"/>
  <c r="C56" i="78"/>
  <c r="C58" i="78"/>
  <c r="B62" i="78"/>
  <c r="B54" i="78"/>
  <c r="D54" i="78"/>
  <c r="D56" i="78"/>
  <c r="K58" i="81"/>
  <c r="D58" i="78"/>
  <c r="D62" i="78"/>
  <c r="C62" i="78"/>
  <c r="L58" i="81"/>
  <c r="G15" i="73"/>
  <c r="F15" i="73"/>
  <c r="E15" i="73"/>
  <c r="M58" i="81"/>
  <c r="N58" i="81"/>
  <c r="O58" i="81"/>
  <c r="AB36" i="79"/>
  <c r="AA36" i="79"/>
  <c r="Z36" i="79"/>
  <c r="N36" i="79"/>
  <c r="M36" i="79"/>
  <c r="L36" i="79"/>
  <c r="I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37" i="79"/>
  <c r="U7" i="81"/>
  <c r="AR37" i="79"/>
  <c r="AR38" i="79"/>
  <c r="P36" i="79"/>
  <c r="AR10" i="79"/>
  <c r="G16" i="73"/>
  <c r="F16" i="73"/>
  <c r="E16" i="73"/>
  <c r="G17" i="73"/>
  <c r="F17" i="73"/>
  <c r="E17" i="73"/>
  <c r="W7" i="81"/>
  <c r="S7" i="81"/>
  <c r="AB38" i="79"/>
  <c r="AA38" i="79"/>
  <c r="Z38" i="79"/>
  <c r="N38" i="79"/>
  <c r="M38" i="79"/>
  <c r="L38" i="79"/>
  <c r="I38" i="79"/>
  <c r="AC10" i="79"/>
  <c r="AB10" i="79"/>
  <c r="AA10" i="79"/>
  <c r="AD10" i="79"/>
  <c r="Z10" i="79"/>
  <c r="Y10" i="79"/>
  <c r="O10" i="79"/>
  <c r="N10" i="79"/>
  <c r="M10" i="79"/>
  <c r="P10" i="79"/>
  <c r="L10" i="79"/>
  <c r="K10" i="79"/>
  <c r="I10" i="79"/>
  <c r="AR11" i="79"/>
  <c r="P38" i="79"/>
  <c r="AR39" i="79"/>
  <c r="I13" i="79"/>
  <c r="I41" i="79"/>
  <c r="I40" i="79"/>
  <c r="N40" i="79"/>
  <c r="M40" i="79"/>
  <c r="P40" i="79"/>
  <c r="L40" i="79"/>
  <c r="N41" i="79"/>
  <c r="M41" i="79"/>
  <c r="L41" i="79"/>
  <c r="O12" i="79"/>
  <c r="N12" i="79"/>
  <c r="M12" i="79"/>
  <c r="P12" i="79"/>
  <c r="L12" i="79"/>
  <c r="K12" i="79"/>
  <c r="O13" i="79"/>
  <c r="N13" i="79"/>
  <c r="M13" i="79"/>
  <c r="P13" i="79"/>
  <c r="L13" i="79"/>
  <c r="K13" i="79"/>
  <c r="P41" i="79"/>
  <c r="G18" i="73"/>
  <c r="F18" i="73"/>
  <c r="E18" i="73"/>
  <c r="L42" i="79"/>
  <c r="M42" i="79"/>
  <c r="P42" i="79"/>
  <c r="N42" i="79"/>
  <c r="L43" i="79"/>
  <c r="M43" i="79"/>
  <c r="P43" i="79"/>
  <c r="N43" i="79"/>
  <c r="L44" i="79"/>
  <c r="M44" i="79"/>
  <c r="N44" i="79"/>
  <c r="I42" i="79"/>
  <c r="I43" i="79"/>
  <c r="I44" i="79"/>
  <c r="I14" i="79"/>
  <c r="I15" i="79"/>
  <c r="I16" i="79"/>
  <c r="K14" i="79"/>
  <c r="L14" i="79"/>
  <c r="M14" i="79"/>
  <c r="P14" i="79"/>
  <c r="N14" i="79"/>
  <c r="O14" i="79"/>
  <c r="K15" i="79"/>
  <c r="L15" i="79"/>
  <c r="M15" i="79"/>
  <c r="P15" i="79"/>
  <c r="N15" i="79"/>
  <c r="O15" i="79"/>
  <c r="K16" i="79"/>
  <c r="L16" i="79"/>
  <c r="M16" i="79"/>
  <c r="P16" i="79"/>
  <c r="N16" i="79"/>
  <c r="O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N51" i="79"/>
  <c r="U51" i="79"/>
  <c r="AI51" i="79"/>
  <c r="M51" i="79"/>
  <c r="L51" i="79"/>
  <c r="S51" i="79"/>
  <c r="AG51" i="79"/>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c r="E31" i="79"/>
  <c r="AC24" i="79"/>
  <c r="AB24" i="79"/>
  <c r="AA24" i="79"/>
  <c r="AD24" i="79"/>
  <c r="Z24" i="79"/>
  <c r="Y24" i="79"/>
  <c r="W24" i="79"/>
  <c r="P24" i="79"/>
  <c r="O24" i="79"/>
  <c r="N24" i="79"/>
  <c r="M24" i="79"/>
  <c r="L24" i="79"/>
  <c r="K24" i="79"/>
  <c r="I24" i="79"/>
  <c r="AC23" i="79"/>
  <c r="AB23" i="79"/>
  <c r="AA23" i="79"/>
  <c r="AD23" i="79"/>
  <c r="Z23" i="79"/>
  <c r="Y23" i="79"/>
  <c r="O23" i="79"/>
  <c r="V23" i="79"/>
  <c r="AJ23" i="79"/>
  <c r="N23" i="79"/>
  <c r="U23" i="79"/>
  <c r="AI23" i="79"/>
  <c r="M23" i="79"/>
  <c r="L23" i="79"/>
  <c r="S23" i="79"/>
  <c r="AG23" i="79"/>
  <c r="K23" i="79"/>
  <c r="R23" i="79"/>
  <c r="AF23" i="79"/>
  <c r="I23" i="79"/>
  <c r="AC22" i="79"/>
  <c r="AB22" i="79"/>
  <c r="AA22" i="79"/>
  <c r="AD22" i="79"/>
  <c r="Z22" i="79"/>
  <c r="Y22" i="79"/>
  <c r="O22" i="79"/>
  <c r="N22" i="79"/>
  <c r="M22" i="79"/>
  <c r="T22" i="79"/>
  <c r="L22" i="79"/>
  <c r="K22" i="79"/>
  <c r="I22" i="79"/>
  <c r="AC21" i="79"/>
  <c r="AB21" i="79"/>
  <c r="AA21" i="79"/>
  <c r="AD21" i="79"/>
  <c r="Z21" i="79"/>
  <c r="Y21" i="79"/>
  <c r="O21" i="79"/>
  <c r="N21" i="79"/>
  <c r="M21" i="79"/>
  <c r="L21" i="79"/>
  <c r="K21" i="79"/>
  <c r="I21" i="79"/>
  <c r="AD20" i="79"/>
  <c r="AC20" i="79"/>
  <c r="AB20" i="79"/>
  <c r="AA20" i="79"/>
  <c r="Z20" i="79"/>
  <c r="Y20" i="79"/>
  <c r="O20" i="79"/>
  <c r="N20" i="79"/>
  <c r="M20" i="79"/>
  <c r="L20" i="79"/>
  <c r="S20" i="79"/>
  <c r="AG20" i="79"/>
  <c r="K20" i="79"/>
  <c r="I20" i="79"/>
  <c r="AC19" i="79"/>
  <c r="AB19" i="79"/>
  <c r="AA19" i="79"/>
  <c r="AD19" i="79"/>
  <c r="Z19" i="79"/>
  <c r="Y19" i="79"/>
  <c r="O19" i="79"/>
  <c r="N19" i="79"/>
  <c r="M19" i="79"/>
  <c r="L19" i="79"/>
  <c r="K19" i="79"/>
  <c r="I19" i="79"/>
  <c r="AC18" i="79"/>
  <c r="AB18" i="79"/>
  <c r="AA18" i="79"/>
  <c r="AD18" i="79"/>
  <c r="Z18" i="79"/>
  <c r="Y18" i="79"/>
  <c r="O18" i="79"/>
  <c r="N18" i="79"/>
  <c r="M18" i="79"/>
  <c r="L18" i="79"/>
  <c r="K18" i="79"/>
  <c r="I18" i="79"/>
  <c r="AC17" i="79"/>
  <c r="AB17" i="79"/>
  <c r="AA17" i="79"/>
  <c r="AD17" i="79"/>
  <c r="Z17" i="79"/>
  <c r="Y17" i="79"/>
  <c r="O17" i="79"/>
  <c r="N17" i="79"/>
  <c r="M17" i="79"/>
  <c r="L17" i="79"/>
  <c r="K17" i="79"/>
  <c r="I17" i="79"/>
  <c r="AC11" i="79"/>
  <c r="AB11" i="79"/>
  <c r="AA11" i="79"/>
  <c r="AD11" i="79"/>
  <c r="Z11" i="79"/>
  <c r="Y11" i="79"/>
  <c r="O11" i="79"/>
  <c r="N11" i="79"/>
  <c r="M11" i="79"/>
  <c r="L11" i="79"/>
  <c r="K11" i="79"/>
  <c r="I11" i="79"/>
  <c r="AR12" i="79"/>
  <c r="AR13" i="79"/>
  <c r="AR14" i="79"/>
  <c r="AR15" i="79"/>
  <c r="AR16" i="79"/>
  <c r="AR17"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c r="U46" i="79"/>
  <c r="AI46" i="79"/>
  <c r="AD47" i="79"/>
  <c r="S48" i="79"/>
  <c r="AG48" i="79"/>
  <c r="U50" i="79"/>
  <c r="AI50" i="79"/>
  <c r="AD51" i="79"/>
  <c r="W22" i="79"/>
  <c r="AK22" i="79"/>
  <c r="AH22" i="79"/>
  <c r="AA31" i="79"/>
  <c r="AD31" i="79"/>
  <c r="AR18" i="79"/>
  <c r="AR19" i="79"/>
  <c r="AR20" i="79"/>
  <c r="AR21" i="79"/>
  <c r="AR22" i="79"/>
  <c r="AR23" i="79"/>
  <c r="AR24" i="79"/>
  <c r="T33" i="79"/>
  <c r="T35" i="79"/>
  <c r="T34" i="79"/>
  <c r="AD38" i="79"/>
  <c r="AD36" i="79"/>
  <c r="AD37" i="79"/>
  <c r="AD35" i="79"/>
  <c r="AD34" i="79"/>
  <c r="AR40" i="79"/>
  <c r="AR41" i="79"/>
  <c r="AR42" i="79"/>
  <c r="AR43" i="79"/>
  <c r="AR44" i="79"/>
  <c r="AR45" i="79"/>
  <c r="AR46" i="79"/>
  <c r="AR47" i="79"/>
  <c r="AR48" i="79"/>
  <c r="AR49" i="79"/>
  <c r="AR50" i="79"/>
  <c r="AR51" i="79"/>
  <c r="AR52" i="79"/>
  <c r="Z3" i="79"/>
  <c r="S35" i="79"/>
  <c r="AG35" i="79"/>
  <c r="S33" i="79"/>
  <c r="AG33" i="79"/>
  <c r="S34" i="79"/>
  <c r="AG34" i="79"/>
  <c r="N31" i="79"/>
  <c r="U35" i="79"/>
  <c r="AI35" i="79"/>
  <c r="U33" i="79"/>
  <c r="AI33" i="79"/>
  <c r="U34" i="79"/>
  <c r="AI34" i="79"/>
  <c r="S6" i="79"/>
  <c r="AG6" i="79"/>
  <c r="S7" i="79"/>
  <c r="AG7" i="79"/>
  <c r="S5" i="79"/>
  <c r="T6" i="79"/>
  <c r="T7" i="79"/>
  <c r="T5" i="79"/>
  <c r="U6" i="79"/>
  <c r="AI6" i="79"/>
  <c r="U5" i="79"/>
  <c r="AI5" i="79"/>
  <c r="U7" i="79"/>
  <c r="AI7" i="79"/>
  <c r="R6" i="79"/>
  <c r="AF6" i="79"/>
  <c r="R7" i="79"/>
  <c r="AF7" i="79"/>
  <c r="R5" i="79"/>
  <c r="AF5" i="79"/>
  <c r="V5" i="79"/>
  <c r="AJ5" i="79"/>
  <c r="V7" i="79"/>
  <c r="AJ7" i="79"/>
  <c r="V6" i="79"/>
  <c r="AJ6" i="79"/>
  <c r="S38" i="79"/>
  <c r="AG38" i="79"/>
  <c r="S37" i="79"/>
  <c r="AG37" i="79"/>
  <c r="S36" i="79"/>
  <c r="AG36" i="79"/>
  <c r="M31" i="79"/>
  <c r="P31" i="79"/>
  <c r="T36" i="79"/>
  <c r="T37" i="79"/>
  <c r="U37" i="79"/>
  <c r="AI37" i="79"/>
  <c r="U36" i="79"/>
  <c r="AI36" i="79"/>
  <c r="R18" i="79"/>
  <c r="AF18" i="79"/>
  <c r="T20" i="79"/>
  <c r="T9" i="79"/>
  <c r="T8" i="79"/>
  <c r="V18" i="79"/>
  <c r="AJ18" i="79"/>
  <c r="U22" i="79"/>
  <c r="AI22" i="79"/>
  <c r="U9" i="79"/>
  <c r="AI9" i="79"/>
  <c r="U8" i="79"/>
  <c r="AI8" i="79"/>
  <c r="S9" i="79"/>
  <c r="AG9" i="79"/>
  <c r="S8" i="79"/>
  <c r="AG8" i="79"/>
  <c r="S19" i="79"/>
  <c r="AG19" i="79"/>
  <c r="R9" i="79"/>
  <c r="AF9" i="79"/>
  <c r="R8" i="79"/>
  <c r="AF8" i="79"/>
  <c r="V9" i="79"/>
  <c r="AJ9" i="79"/>
  <c r="V8" i="79"/>
  <c r="AJ8" i="79"/>
  <c r="R22" i="79"/>
  <c r="AF22" i="79"/>
  <c r="V22" i="79"/>
  <c r="AJ22" i="79"/>
  <c r="S22" i="79"/>
  <c r="AG22" i="79"/>
  <c r="U10" i="79"/>
  <c r="AI10" i="79"/>
  <c r="S18" i="79"/>
  <c r="AG18" i="79"/>
  <c r="U20" i="79"/>
  <c r="AI20" i="79"/>
  <c r="U21" i="79"/>
  <c r="AI21" i="79"/>
  <c r="T31" i="79"/>
  <c r="W31" i="79"/>
  <c r="U40" i="79"/>
  <c r="AI40" i="79"/>
  <c r="AD46" i="79"/>
  <c r="S47" i="79"/>
  <c r="AG47" i="79"/>
  <c r="U49" i="79"/>
  <c r="AI49" i="79"/>
  <c r="AD50" i="79"/>
  <c r="AB3" i="79"/>
  <c r="U31" i="79"/>
  <c r="U38" i="79"/>
  <c r="AI38" i="79"/>
  <c r="U48" i="79"/>
  <c r="AI48" i="79"/>
  <c r="AD49" i="79"/>
  <c r="S50" i="79"/>
  <c r="AG50" i="79"/>
  <c r="L3" i="79"/>
  <c r="Y3" i="79"/>
  <c r="AC3" i="79"/>
  <c r="S21" i="79"/>
  <c r="AG21" i="79"/>
  <c r="AD39" i="79"/>
  <c r="S40" i="79"/>
  <c r="AG40" i="79"/>
  <c r="T46" i="79"/>
  <c r="U47" i="79"/>
  <c r="AI47" i="79"/>
  <c r="AD48" i="79"/>
  <c r="S49" i="79"/>
  <c r="AG49" i="79"/>
  <c r="V3" i="79"/>
  <c r="L31" i="79"/>
  <c r="T39" i="79"/>
  <c r="AH39" i="79"/>
  <c r="T38" i="79"/>
  <c r="N3" i="79"/>
  <c r="K3" i="79"/>
  <c r="R10" i="79"/>
  <c r="AF10" i="79"/>
  <c r="O3" i="79"/>
  <c r="V10" i="79"/>
  <c r="AJ10" i="79"/>
  <c r="T18" i="79"/>
  <c r="U19" i="79"/>
  <c r="AI19" i="79"/>
  <c r="R20" i="79"/>
  <c r="AF20" i="79"/>
  <c r="V20" i="79"/>
  <c r="AJ20" i="79"/>
  <c r="R21" i="79"/>
  <c r="AF21" i="79"/>
  <c r="V21" i="79"/>
  <c r="AJ21" i="79"/>
  <c r="S3" i="79"/>
  <c r="S10" i="79"/>
  <c r="AG10" i="79"/>
  <c r="U18" i="79"/>
  <c r="AI18" i="79"/>
  <c r="R19" i="79"/>
  <c r="AF19" i="79"/>
  <c r="V19" i="79"/>
  <c r="AJ19" i="79"/>
  <c r="P11" i="79"/>
  <c r="T10" i="79"/>
  <c r="U3" i="79"/>
  <c r="S39" i="79"/>
  <c r="AG39" i="79"/>
  <c r="M3" i="79"/>
  <c r="P3" i="79"/>
  <c r="T3" i="79"/>
  <c r="W3" i="79"/>
  <c r="U39" i="79"/>
  <c r="AI39" i="79"/>
  <c r="AD45" i="79"/>
  <c r="T44" i="79"/>
  <c r="T42" i="79"/>
  <c r="AH42" i="79"/>
  <c r="T45" i="79"/>
  <c r="T43" i="79"/>
  <c r="T41" i="79"/>
  <c r="S46" i="79"/>
  <c r="AG46" i="79"/>
  <c r="T47" i="79"/>
  <c r="T49" i="79"/>
  <c r="T51" i="79"/>
  <c r="S45" i="79"/>
  <c r="AG45" i="79"/>
  <c r="S43" i="79"/>
  <c r="AG43" i="79"/>
  <c r="S44" i="79"/>
  <c r="AG44" i="79"/>
  <c r="S42" i="79"/>
  <c r="AG42" i="79"/>
  <c r="S41" i="79"/>
  <c r="AG41" i="79"/>
  <c r="U45" i="79"/>
  <c r="AI45" i="79"/>
  <c r="U43" i="79"/>
  <c r="AI43" i="79"/>
  <c r="U44" i="79"/>
  <c r="AI44" i="79"/>
  <c r="U42" i="79"/>
  <c r="AI42" i="79"/>
  <c r="U41" i="79"/>
  <c r="AI41" i="79"/>
  <c r="T48" i="79"/>
  <c r="T50" i="79"/>
  <c r="S13" i="79"/>
  <c r="AG13" i="79"/>
  <c r="S16" i="79"/>
  <c r="AG16" i="79"/>
  <c r="S17" i="79"/>
  <c r="AG17" i="79"/>
  <c r="S12" i="79"/>
  <c r="AG12" i="79"/>
  <c r="U13" i="79"/>
  <c r="AI13" i="79"/>
  <c r="U16" i="79"/>
  <c r="AI16" i="79"/>
  <c r="U17" i="79"/>
  <c r="AI17" i="79"/>
  <c r="U12" i="79"/>
  <c r="AI12" i="79"/>
  <c r="P21" i="79"/>
  <c r="T21" i="79"/>
  <c r="R13" i="79"/>
  <c r="AF13" i="79"/>
  <c r="R16" i="79"/>
  <c r="AF16" i="79"/>
  <c r="R17" i="79"/>
  <c r="AF17" i="79"/>
  <c r="R12" i="79"/>
  <c r="AF12" i="79"/>
  <c r="T13" i="79"/>
  <c r="T16" i="79"/>
  <c r="T17" i="79"/>
  <c r="T12" i="79"/>
  <c r="V13" i="79"/>
  <c r="AJ13" i="79"/>
  <c r="V16" i="79"/>
  <c r="AJ16" i="79"/>
  <c r="V17" i="79"/>
  <c r="AJ17" i="79"/>
  <c r="V12" i="79"/>
  <c r="AJ12" i="79"/>
  <c r="P19" i="79"/>
  <c r="T19" i="79"/>
  <c r="P23" i="79"/>
  <c r="T23" i="79"/>
  <c r="AA3" i="79"/>
  <c r="AD3" i="79"/>
  <c r="W39" i="79"/>
  <c r="AK39" i="79"/>
  <c r="AB31" i="79"/>
  <c r="R14" i="79"/>
  <c r="AF14" i="79"/>
  <c r="R11" i="79"/>
  <c r="AF11" i="79"/>
  <c r="R15" i="79"/>
  <c r="AF15" i="79"/>
  <c r="P17" i="79"/>
  <c r="T15" i="79"/>
  <c r="T14" i="79"/>
  <c r="T11" i="79"/>
  <c r="V14" i="79"/>
  <c r="AJ14" i="79"/>
  <c r="V11" i="79"/>
  <c r="AJ11" i="79"/>
  <c r="V15" i="79"/>
  <c r="AJ15" i="79"/>
  <c r="S15" i="79"/>
  <c r="AG15" i="79"/>
  <c r="S11" i="79"/>
  <c r="AG11" i="79"/>
  <c r="S14" i="79"/>
  <c r="AG14" i="79"/>
  <c r="U15" i="79"/>
  <c r="AI15" i="79"/>
  <c r="U11" i="79"/>
  <c r="AI11" i="79"/>
  <c r="U14" i="79"/>
  <c r="AI14"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11" i="79"/>
  <c r="AK11" i="79"/>
  <c r="AH11" i="79"/>
  <c r="W17" i="79"/>
  <c r="AK17" i="79"/>
  <c r="AH17" i="79"/>
  <c r="W10" i="79"/>
  <c r="AK10" i="79"/>
  <c r="AH10" i="79"/>
  <c r="W18" i="79"/>
  <c r="AK18" i="79"/>
  <c r="AH18" i="79"/>
  <c r="W20" i="79"/>
  <c r="AK20" i="79"/>
  <c r="AH20" i="79"/>
  <c r="W35" i="79"/>
  <c r="AK35" i="79"/>
  <c r="AH35" i="79"/>
  <c r="W14" i="79"/>
  <c r="AK14" i="79"/>
  <c r="AH14" i="79"/>
  <c r="W42" i="79"/>
  <c r="AK42" i="79"/>
  <c r="W19" i="79"/>
  <c r="AK19" i="79"/>
  <c r="AH19" i="79"/>
  <c r="W16" i="79"/>
  <c r="AK16" i="79"/>
  <c r="AH16" i="79"/>
  <c r="W50" i="79"/>
  <c r="AK50" i="79"/>
  <c r="AH50" i="79"/>
  <c r="W51" i="79"/>
  <c r="AK51" i="79"/>
  <c r="AH51" i="79"/>
  <c r="W41" i="79"/>
  <c r="AK41" i="79"/>
  <c r="AH41" i="79"/>
  <c r="W44" i="79"/>
  <c r="AK44" i="79"/>
  <c r="AH44" i="79"/>
  <c r="W46" i="79"/>
  <c r="AK46" i="79"/>
  <c r="AH46" i="79"/>
  <c r="W33" i="79"/>
  <c r="AK33" i="79"/>
  <c r="AH33" i="79"/>
  <c r="W15" i="79"/>
  <c r="AK15" i="79"/>
  <c r="AH15" i="79"/>
  <c r="W13" i="79"/>
  <c r="AK13" i="79"/>
  <c r="AH13" i="79"/>
  <c r="W48" i="79"/>
  <c r="AK48" i="79"/>
  <c r="AH48" i="79"/>
  <c r="W49" i="79"/>
  <c r="AK49" i="79"/>
  <c r="AH49" i="79"/>
  <c r="W43" i="79"/>
  <c r="AK43" i="79"/>
  <c r="AH43" i="79"/>
  <c r="W38" i="79"/>
  <c r="AK38" i="79"/>
  <c r="AH38" i="79"/>
  <c r="W23" i="79"/>
  <c r="AK23" i="79"/>
  <c r="AH23" i="79"/>
  <c r="W12" i="79"/>
  <c r="AK12" i="79"/>
  <c r="AH12" i="79"/>
  <c r="W21" i="79"/>
  <c r="AK21" i="79"/>
  <c r="AH21" i="79"/>
  <c r="W47" i="79"/>
  <c r="AK47" i="79"/>
  <c r="AH47" i="79"/>
  <c r="W45" i="79"/>
  <c r="AK45" i="79"/>
  <c r="AH45" i="79"/>
  <c r="AH34" i="79"/>
  <c r="W34" i="79"/>
  <c r="AK34" i="79"/>
  <c r="W40" i="79"/>
  <c r="AK40" i="79"/>
  <c r="AH40" i="79"/>
  <c r="W37" i="79"/>
  <c r="AK37" i="79"/>
  <c r="AH37" i="79"/>
  <c r="W36" i="79"/>
  <c r="AK36" i="79"/>
  <c r="AH36" i="79"/>
  <c r="W9" i="79"/>
  <c r="AK9" i="79"/>
  <c r="AH9" i="79"/>
  <c r="W6" i="79"/>
  <c r="AK6" i="79"/>
  <c r="AH6" i="79"/>
  <c r="W8" i="79"/>
  <c r="AK8" i="79"/>
  <c r="AH8" i="79"/>
  <c r="AG5" i="79"/>
  <c r="W5" i="79"/>
  <c r="AK5" i="79"/>
  <c r="AH5" i="79"/>
  <c r="W7"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32" i="77"/>
  <c r="C38" i="77"/>
  <c r="C39" i="77"/>
  <c r="R14" i="77"/>
  <c r="R24" i="77"/>
  <c r="D29" i="77"/>
  <c r="D32" i="77"/>
  <c r="E23" i="77"/>
  <c r="D26" i="77"/>
  <c r="C29" i="77"/>
  <c r="R35" i="77"/>
  <c r="U34" i="77"/>
  <c r="AH9" i="71"/>
  <c r="AG9" i="71"/>
  <c r="AE9" i="71"/>
  <c r="AF9" i="71"/>
  <c r="AD9" i="71"/>
  <c r="Q9" i="71"/>
  <c r="P9" i="71"/>
  <c r="O9" i="71"/>
  <c r="N9" i="71"/>
  <c r="R25" i="77"/>
  <c r="R19" i="77"/>
  <c r="E26" i="77"/>
  <c r="E38" i="77"/>
  <c r="E39" i="77"/>
  <c r="C40" i="77"/>
  <c r="B2" i="77"/>
  <c r="E29" i="77"/>
  <c r="E32" i="77"/>
  <c r="AH10" i="71"/>
  <c r="AG10" i="71"/>
  <c r="AE10" i="71"/>
  <c r="AF10" i="71"/>
  <c r="AD10" i="71"/>
  <c r="Q10" i="71"/>
  <c r="P10" i="71"/>
  <c r="O10" i="71"/>
  <c r="N10" i="71"/>
  <c r="R5" i="77"/>
  <c r="U5" i="77"/>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C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F23" i="71"/>
  <c r="F22" i="71"/>
  <c r="P24" i="71"/>
  <c r="O24" i="71"/>
  <c r="C24" i="71"/>
  <c r="C23" i="71"/>
  <c r="Q25" i="71"/>
  <c r="P25" i="71"/>
  <c r="E24" i="71"/>
  <c r="V24"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C8" i="68"/>
  <c r="B49" i="48"/>
  <c r="B5" i="72"/>
  <c r="D89" i="71"/>
  <c r="F88" i="71"/>
  <c r="F87" i="71"/>
  <c r="F86" i="71"/>
  <c r="E88" i="71"/>
  <c r="E87" i="71"/>
  <c r="E86" i="71"/>
  <c r="C88" i="71"/>
  <c r="D88" i="71"/>
  <c r="B88" i="71"/>
  <c r="B87" i="71"/>
  <c r="B86" i="71"/>
  <c r="D85" i="71"/>
  <c r="F84" i="71"/>
  <c r="F83" i="71"/>
  <c r="F82" i="71"/>
  <c r="E84" i="71"/>
  <c r="E83" i="71"/>
  <c r="E82" i="71"/>
  <c r="C84" i="71"/>
  <c r="B84" i="71"/>
  <c r="B83" i="71"/>
  <c r="B82" i="71"/>
  <c r="D81" i="71"/>
  <c r="Q80" i="71"/>
  <c r="P80" i="71"/>
  <c r="O80" i="71"/>
  <c r="N80" i="71"/>
  <c r="F80" i="71"/>
  <c r="V80" i="71"/>
  <c r="E80" i="71"/>
  <c r="U80" i="71"/>
  <c r="C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C76" i="71"/>
  <c r="T76" i="71"/>
  <c r="B76" i="71"/>
  <c r="B75" i="71"/>
  <c r="B74" i="71"/>
  <c r="S76" i="71"/>
  <c r="Q75" i="71"/>
  <c r="P75" i="71"/>
  <c r="O75" i="71"/>
  <c r="N75" i="71"/>
  <c r="Q74" i="71"/>
  <c r="P74" i="71"/>
  <c r="O74" i="71"/>
  <c r="N74" i="71"/>
  <c r="Q73" i="71"/>
  <c r="P73" i="71"/>
  <c r="O73" i="71"/>
  <c r="N73" i="71"/>
  <c r="D73" i="71"/>
  <c r="Q72" i="71"/>
  <c r="P72" i="71"/>
  <c r="O72" i="71"/>
  <c r="N72" i="71"/>
  <c r="F72" i="71"/>
  <c r="V72" i="71"/>
  <c r="E72" i="71"/>
  <c r="U72" i="71"/>
  <c r="C72" i="71"/>
  <c r="D72" i="71"/>
  <c r="B72" i="71"/>
  <c r="S72" i="71"/>
  <c r="Q71" i="71"/>
  <c r="P71" i="71"/>
  <c r="O71" i="71"/>
  <c r="N71" i="71"/>
  <c r="F71" i="71"/>
  <c r="F70" i="71"/>
  <c r="B71" i="71"/>
  <c r="B70" i="71"/>
  <c r="Q70" i="71"/>
  <c r="P70" i="71"/>
  <c r="O70" i="71"/>
  <c r="N70" i="71"/>
  <c r="Q69" i="71"/>
  <c r="P69" i="71"/>
  <c r="O69" i="71"/>
  <c r="N69" i="71"/>
  <c r="D69" i="71"/>
  <c r="F68" i="71"/>
  <c r="F67" i="71"/>
  <c r="F66" i="71"/>
  <c r="V68" i="71"/>
  <c r="E68" i="71"/>
  <c r="P68" i="71"/>
  <c r="C68" i="71"/>
  <c r="B68" i="71"/>
  <c r="B67" i="71"/>
  <c r="S68" i="71"/>
  <c r="D65" i="71"/>
  <c r="Q64" i="71"/>
  <c r="P64" i="71"/>
  <c r="O64" i="71"/>
  <c r="N64" i="71"/>
  <c r="Q63" i="71"/>
  <c r="P63" i="71"/>
  <c r="O63" i="71"/>
  <c r="N63" i="71"/>
  <c r="Q62" i="71"/>
  <c r="P62" i="71"/>
  <c r="O62" i="71"/>
  <c r="N62" i="71"/>
  <c r="Q61" i="71"/>
  <c r="F62" i="71"/>
  <c r="F63" i="71"/>
  <c r="F64" i="71"/>
  <c r="V64" i="71"/>
  <c r="P61" i="71"/>
  <c r="E62" i="71"/>
  <c r="E63" i="71"/>
  <c r="E64" i="71"/>
  <c r="U64" i="71"/>
  <c r="O61" i="71"/>
  <c r="C62" i="71"/>
  <c r="N61" i="71"/>
  <c r="B62" i="71"/>
  <c r="B63" i="71"/>
  <c r="B64" i="71"/>
  <c r="S64" i="71"/>
  <c r="D61" i="71"/>
  <c r="Q60" i="71"/>
  <c r="P60" i="71"/>
  <c r="O60" i="71"/>
  <c r="N60" i="71"/>
  <c r="Q59" i="71"/>
  <c r="P59" i="71"/>
  <c r="O59" i="71"/>
  <c r="N59" i="71"/>
  <c r="Q58" i="71"/>
  <c r="P58" i="71"/>
  <c r="O58" i="71"/>
  <c r="C59" i="71"/>
  <c r="N58" i="71"/>
  <c r="B59" i="71"/>
  <c r="B60" i="71"/>
  <c r="S60" i="71"/>
  <c r="Q57" i="71"/>
  <c r="F58" i="71"/>
  <c r="F59" i="71"/>
  <c r="F60" i="71"/>
  <c r="V60" i="71"/>
  <c r="P57" i="71"/>
  <c r="E58" i="71"/>
  <c r="E59" i="71"/>
  <c r="O57" i="71"/>
  <c r="C58" i="71"/>
  <c r="N57" i="71"/>
  <c r="B58" i="71"/>
  <c r="D57" i="71"/>
  <c r="Q56" i="71"/>
  <c r="P56" i="71"/>
  <c r="O56" i="71"/>
  <c r="N56" i="71"/>
  <c r="Q55" i="71"/>
  <c r="P55" i="71"/>
  <c r="O55" i="71"/>
  <c r="N55" i="71"/>
  <c r="Q54" i="71"/>
  <c r="P54" i="71"/>
  <c r="O54" i="71"/>
  <c r="N54" i="71"/>
  <c r="Q53" i="71"/>
  <c r="F54" i="71"/>
  <c r="P53" i="71"/>
  <c r="E54" i="71"/>
  <c r="E55" i="71"/>
  <c r="E56" i="71"/>
  <c r="U56" i="71"/>
  <c r="O53" i="71"/>
  <c r="C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O39" i="71"/>
  <c r="N39" i="71"/>
  <c r="X39" i="71"/>
  <c r="Q38" i="71"/>
  <c r="P38" i="71"/>
  <c r="O38" i="71"/>
  <c r="Y38" i="71"/>
  <c r="Z38" i="71"/>
  <c r="N38" i="71"/>
  <c r="F38" i="71"/>
  <c r="F39" i="71"/>
  <c r="Q37" i="71"/>
  <c r="P37" i="71"/>
  <c r="O37" i="71"/>
  <c r="N37" i="71"/>
  <c r="B38" i="71"/>
  <c r="D37" i="71"/>
  <c r="Q36" i="71"/>
  <c r="AB36" i="71"/>
  <c r="P36" i="71"/>
  <c r="O36" i="71"/>
  <c r="N36" i="71"/>
  <c r="Q35" i="71"/>
  <c r="AB35" i="71"/>
  <c r="P35" i="71"/>
  <c r="AA35" i="71"/>
  <c r="O35" i="71"/>
  <c r="N35" i="71"/>
  <c r="Q34" i="71"/>
  <c r="AB34" i="71"/>
  <c r="P34" i="71"/>
  <c r="O34" i="71"/>
  <c r="N34" i="71"/>
  <c r="Q33" i="71"/>
  <c r="AB28" i="71"/>
  <c r="P33" i="71"/>
  <c r="O33" i="71"/>
  <c r="N33" i="71"/>
  <c r="X25" i="71"/>
  <c r="D33" i="71"/>
  <c r="Q32" i="71"/>
  <c r="P32" i="71"/>
  <c r="O32" i="71"/>
  <c r="N32" i="71"/>
  <c r="Q31" i="71"/>
  <c r="P31" i="71"/>
  <c r="O31" i="71"/>
  <c r="N31" i="71"/>
  <c r="Q30" i="71"/>
  <c r="P30" i="71"/>
  <c r="O30" i="71"/>
  <c r="N30" i="71"/>
  <c r="Q29" i="71"/>
  <c r="F30" i="71"/>
  <c r="F31" i="71"/>
  <c r="F32" i="71"/>
  <c r="V32" i="71"/>
  <c r="P29" i="71"/>
  <c r="O29" i="71"/>
  <c r="Y29" i="71"/>
  <c r="Z29" i="71"/>
  <c r="N29" i="71"/>
  <c r="D29" i="71"/>
  <c r="O28" i="71"/>
  <c r="N28" i="71"/>
  <c r="X26" i="71"/>
  <c r="B30" i="71"/>
  <c r="B31" i="71"/>
  <c r="B32" i="71"/>
  <c r="S32" i="71"/>
  <c r="E30" i="71"/>
  <c r="E31" i="71"/>
  <c r="E32" i="71"/>
  <c r="U32" i="71"/>
  <c r="B39" i="71"/>
  <c r="B40" i="71"/>
  <c r="S40" i="71"/>
  <c r="E34" i="71"/>
  <c r="C30" i="71"/>
  <c r="X31" i="71"/>
  <c r="C34" i="71"/>
  <c r="D34" i="71"/>
  <c r="X34" i="71"/>
  <c r="C38" i="71"/>
  <c r="F51" i="71"/>
  <c r="F52" i="71"/>
  <c r="V52" i="71"/>
  <c r="B28" i="71"/>
  <c r="B27" i="71"/>
  <c r="B26" i="71"/>
  <c r="D30" i="71"/>
  <c r="D50" i="71"/>
  <c r="P28" i="71"/>
  <c r="AA3" i="71"/>
  <c r="E60" i="71"/>
  <c r="U60" i="71"/>
  <c r="U68" i="71"/>
  <c r="E67" i="71"/>
  <c r="E66" i="71"/>
  <c r="Q28" i="71"/>
  <c r="C55" i="71"/>
  <c r="C56" i="71"/>
  <c r="D54" i="71"/>
  <c r="D58" i="71"/>
  <c r="C63" i="71"/>
  <c r="C64" i="71"/>
  <c r="D62" i="71"/>
  <c r="Q67" i="71"/>
  <c r="T68" i="71"/>
  <c r="O68" i="71"/>
  <c r="D68" i="71"/>
  <c r="C67" i="71"/>
  <c r="Q68" i="71"/>
  <c r="E71" i="71"/>
  <c r="E70" i="71"/>
  <c r="C75" i="71"/>
  <c r="D76" i="71"/>
  <c r="D80" i="71"/>
  <c r="C87" i="71"/>
  <c r="C86" i="71"/>
  <c r="D86" i="71"/>
  <c r="F28" i="71"/>
  <c r="F27" i="71"/>
  <c r="F26" i="71"/>
  <c r="D75" i="71"/>
  <c r="C74" i="71"/>
  <c r="D74" i="7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c r="D94" i="40"/>
  <c r="E94" i="40"/>
  <c r="F94" i="40"/>
  <c r="G94" i="40"/>
  <c r="F25" i="40"/>
  <c r="Q29" i="39"/>
  <c r="Z29" i="39"/>
  <c r="D102" i="39"/>
  <c r="E102" i="39"/>
  <c r="F102" i="39"/>
  <c r="G102" i="39"/>
  <c r="F29" i="39"/>
  <c r="AA29" i="39"/>
  <c r="Q18" i="36"/>
  <c r="Z18" i="36"/>
  <c r="D66" i="36"/>
  <c r="E66" i="36"/>
  <c r="F66" i="36"/>
  <c r="G66" i="36"/>
  <c r="H18" i="36"/>
  <c r="AB18" i="36"/>
  <c r="F18" i="36"/>
  <c r="AA18" i="36"/>
  <c r="C18" i="36"/>
  <c r="Q18" i="35"/>
  <c r="Z18" i="35"/>
  <c r="D68" i="35"/>
  <c r="E68" i="35"/>
  <c r="F68" i="35"/>
  <c r="G68" i="35"/>
  <c r="F18" i="35"/>
  <c r="S18" i="35"/>
  <c r="C18" i="35"/>
  <c r="Z21" i="37"/>
  <c r="Q21" i="37"/>
  <c r="D77" i="37"/>
  <c r="E77" i="37"/>
  <c r="F77" i="37"/>
  <c r="G77" i="37"/>
  <c r="C21" i="37"/>
  <c r="Q21" i="34"/>
  <c r="Z21" i="34"/>
  <c r="D84" i="34"/>
  <c r="E84" i="34"/>
  <c r="F21" i="34"/>
  <c r="S21" i="34"/>
  <c r="C21" i="34"/>
  <c r="Q21" i="33"/>
  <c r="Z21" i="33"/>
  <c r="D83" i="33"/>
  <c r="E83" i="33"/>
  <c r="F83" i="33"/>
  <c r="G83" i="33"/>
  <c r="C21" i="33"/>
  <c r="C21" i="21"/>
  <c r="Q21" i="21"/>
  <c r="Z21" i="21"/>
  <c r="H19" i="21"/>
  <c r="D83" i="21"/>
  <c r="F21" i="21"/>
  <c r="AA21" i="21"/>
  <c r="D81" i="21"/>
  <c r="G20" i="20"/>
  <c r="C25" i="40"/>
  <c r="C22" i="20"/>
  <c r="B100" i="43"/>
  <c r="B57" i="43"/>
  <c r="B68" i="43"/>
  <c r="C29" i="39"/>
  <c r="S18" i="36"/>
  <c r="H25" i="40"/>
  <c r="AB25" i="40"/>
  <c r="J25" i="40"/>
  <c r="H29" i="39"/>
  <c r="J29" i="39"/>
  <c r="J18" i="36"/>
  <c r="AC18" i="36"/>
  <c r="H18" i="35"/>
  <c r="AB18" i="35"/>
  <c r="J18" i="35"/>
  <c r="H21" i="37"/>
  <c r="F21" i="37"/>
  <c r="F84" i="34"/>
  <c r="G84" i="34"/>
  <c r="H21" i="34"/>
  <c r="AB21" i="34"/>
  <c r="H21" i="33"/>
  <c r="U21" i="33"/>
  <c r="F21" i="33"/>
  <c r="E83" i="21"/>
  <c r="F83" i="21"/>
  <c r="G83" i="21"/>
  <c r="H1" i="69"/>
  <c r="AC25" i="40"/>
  <c r="W25" i="40"/>
  <c r="U25" i="40"/>
  <c r="W18" i="36"/>
  <c r="AB21" i="37"/>
  <c r="U21" i="37"/>
  <c r="U21" i="34"/>
  <c r="AB21" i="33"/>
  <c r="AC18" i="35"/>
  <c r="W18" i="35"/>
  <c r="J21" i="37"/>
  <c r="W21" i="37"/>
  <c r="J21" i="34"/>
  <c r="W21" i="34"/>
  <c r="J21" i="33"/>
  <c r="W21" i="33"/>
  <c r="H21" i="21"/>
  <c r="U21" i="21"/>
  <c r="F38" i="69"/>
  <c r="E37" i="69"/>
  <c r="F36" i="69"/>
  <c r="F35" i="69"/>
  <c r="F21" i="69"/>
  <c r="F40" i="69"/>
  <c r="F20" i="69"/>
  <c r="F39" i="69"/>
  <c r="E10" i="69"/>
  <c r="E9" i="69"/>
  <c r="AC21" i="37"/>
  <c r="AC21" i="33"/>
  <c r="J21" i="21"/>
  <c r="AC21" i="21"/>
  <c r="F38" i="68"/>
  <c r="E37" i="68"/>
  <c r="F36" i="68"/>
  <c r="F35" i="68"/>
  <c r="F21" i="68"/>
  <c r="F20" i="68"/>
  <c r="F39" i="68"/>
  <c r="E10" i="68"/>
  <c r="E9"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M55" i="43"/>
  <c r="N55" i="43"/>
  <c r="K55" i="43"/>
  <c r="J55" i="43"/>
  <c r="D55" i="43"/>
  <c r="M54" i="43"/>
  <c r="N54" i="43"/>
  <c r="K54" i="43"/>
  <c r="J54" i="43"/>
  <c r="D54" i="43"/>
  <c r="M53" i="43"/>
  <c r="N53" i="43"/>
  <c r="K53" i="43"/>
  <c r="J53" i="43"/>
  <c r="D53" i="43"/>
  <c r="M52" i="43"/>
  <c r="N52" i="43"/>
  <c r="K52" i="43"/>
  <c r="J52" i="43"/>
  <c r="M51" i="43"/>
  <c r="N51" i="43"/>
  <c r="K51" i="43"/>
  <c r="J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A7" i="1"/>
  <c r="B7" i="1"/>
  <c r="E7" i="1"/>
  <c r="A8" i="1"/>
  <c r="B8" i="1"/>
  <c r="E8" i="1"/>
  <c r="A9" i="1"/>
  <c r="A10" i="1"/>
  <c r="A11" i="1"/>
  <c r="B11" i="1"/>
  <c r="E11" i="1"/>
  <c r="A12" i="1"/>
  <c r="A13" i="1"/>
  <c r="B13" i="1"/>
  <c r="E13" i="1"/>
  <c r="A6"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c r="H103" i="3"/>
  <c r="BT102" i="3"/>
  <c r="BS102" i="3"/>
  <c r="BR102" i="3"/>
  <c r="BQ102" i="3"/>
  <c r="BP102" i="3"/>
  <c r="BO102" i="3"/>
  <c r="BN102" i="3"/>
  <c r="BM102" i="3"/>
  <c r="BK102" i="3"/>
  <c r="BJ102" i="3"/>
  <c r="BI102" i="3"/>
  <c r="BH102" i="3"/>
  <c r="BG102" i="3"/>
  <c r="BF102" i="3"/>
  <c r="BE102" i="3"/>
  <c r="BD102" i="3"/>
  <c r="BC102" i="3"/>
  <c r="BA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G101" i="3"/>
  <c r="H101" i="3"/>
  <c r="BT100" i="3"/>
  <c r="BS100" i="3"/>
  <c r="BR100" i="3"/>
  <c r="BQ100" i="3"/>
  <c r="BP100" i="3"/>
  <c r="BO100" i="3"/>
  <c r="BN100" i="3"/>
  <c r="BM100" i="3"/>
  <c r="BK100" i="3"/>
  <c r="BJ100" i="3"/>
  <c r="BI100" i="3"/>
  <c r="BH100" i="3"/>
  <c r="BG100" i="3"/>
  <c r="BF100" i="3"/>
  <c r="BE100" i="3"/>
  <c r="BD100" i="3"/>
  <c r="BC100" i="3"/>
  <c r="BA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A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G88" i="3"/>
  <c r="H88" i="3"/>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c r="BT83" i="3"/>
  <c r="BS83" i="3"/>
  <c r="BR83" i="3"/>
  <c r="BQ83" i="3"/>
  <c r="BP83" i="3"/>
  <c r="BO83" i="3"/>
  <c r="BL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c r="BM82" i="3"/>
  <c r="BK82" i="3"/>
  <c r="BJ82" i="3"/>
  <c r="BI82" i="3"/>
  <c r="BH82" i="3"/>
  <c r="BG82" i="3"/>
  <c r="BF82" i="3"/>
  <c r="BE82" i="3"/>
  <c r="BD82" i="3"/>
  <c r="BC82" i="3"/>
  <c r="BB82" i="3"/>
  <c r="BA82" i="3"/>
  <c r="AX82" i="3"/>
  <c r="AW82" i="3"/>
  <c r="AV82" i="3"/>
  <c r="AC82" i="3"/>
  <c r="H82" i="3"/>
  <c r="BT81" i="3"/>
  <c r="BS81" i="3"/>
  <c r="BR81" i="3"/>
  <c r="BQ81" i="3"/>
  <c r="BP81" i="3"/>
  <c r="BO81" i="3"/>
  <c r="BN81" i="3"/>
  <c r="BL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c r="BK77" i="3"/>
  <c r="BJ77" i="3"/>
  <c r="BI77" i="3"/>
  <c r="BH77" i="3"/>
  <c r="BG77" i="3"/>
  <c r="BF77" i="3"/>
  <c r="BE77" i="3"/>
  <c r="BD77" i="3"/>
  <c r="BC77" i="3"/>
  <c r="BA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c r="BB72" i="3"/>
  <c r="AX72" i="3"/>
  <c r="AW72" i="3"/>
  <c r="AV72" i="3"/>
  <c r="AC72" i="3"/>
  <c r="G72" i="3"/>
  <c r="H72" i="3"/>
  <c r="BT71" i="3"/>
  <c r="BS71" i="3"/>
  <c r="BR71" i="3"/>
  <c r="BQ71" i="3"/>
  <c r="BP71" i="3"/>
  <c r="BO71" i="3"/>
  <c r="BN71" i="3"/>
  <c r="BM71" i="3"/>
  <c r="BK71" i="3"/>
  <c r="BJ71" i="3"/>
  <c r="BI71" i="3"/>
  <c r="BH71" i="3"/>
  <c r="BG71" i="3"/>
  <c r="BF71" i="3"/>
  <c r="BE71" i="3"/>
  <c r="BD71" i="3"/>
  <c r="BC71" i="3"/>
  <c r="BA71" i="3"/>
  <c r="BB71" i="3"/>
  <c r="AX71" i="3"/>
  <c r="AW71" i="3"/>
  <c r="AV71" i="3"/>
  <c r="AC71" i="3"/>
  <c r="H71" i="3"/>
  <c r="G71" i="3"/>
  <c r="BT70" i="3"/>
  <c r="BS70" i="3"/>
  <c r="BR70" i="3"/>
  <c r="BQ70" i="3"/>
  <c r="BP70" i="3"/>
  <c r="BO70" i="3"/>
  <c r="BN70" i="3"/>
  <c r="BM70" i="3"/>
  <c r="BK70" i="3"/>
  <c r="BJ70" i="3"/>
  <c r="BI70" i="3"/>
  <c r="BH70" i="3"/>
  <c r="BG70" i="3"/>
  <c r="BF70" i="3"/>
  <c r="BE70" i="3"/>
  <c r="BD70" i="3"/>
  <c r="BC70" i="3"/>
  <c r="BA70" i="3"/>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c r="BB67" i="3"/>
  <c r="AX67" i="3"/>
  <c r="AW67" i="3"/>
  <c r="AV67" i="3"/>
  <c r="AC67" i="3"/>
  <c r="G67" i="3"/>
  <c r="H67" i="3"/>
  <c r="BT66" i="3"/>
  <c r="BS66" i="3"/>
  <c r="BR66" i="3"/>
  <c r="BQ66" i="3"/>
  <c r="BP66" i="3"/>
  <c r="BO66" i="3"/>
  <c r="BN66" i="3"/>
  <c r="BM66" i="3"/>
  <c r="BK66" i="3"/>
  <c r="BJ66" i="3"/>
  <c r="BI66" i="3"/>
  <c r="BH66" i="3"/>
  <c r="BG66" i="3"/>
  <c r="BF66" i="3"/>
  <c r="BE66" i="3"/>
  <c r="BD66" i="3"/>
  <c r="BC66" i="3"/>
  <c r="BA66" i="3"/>
  <c r="BB66" i="3"/>
  <c r="AX66" i="3"/>
  <c r="AW66" i="3"/>
  <c r="AV66" i="3"/>
  <c r="AC66" i="3"/>
  <c r="H66" i="3"/>
  <c r="G66" i="3"/>
  <c r="BT65" i="3"/>
  <c r="BS65" i="3"/>
  <c r="BR65" i="3"/>
  <c r="BQ65" i="3"/>
  <c r="BP65" i="3"/>
  <c r="BO65" i="3"/>
  <c r="BN65" i="3"/>
  <c r="BM65" i="3"/>
  <c r="BK65" i="3"/>
  <c r="BJ65" i="3"/>
  <c r="BI65" i="3"/>
  <c r="BH65" i="3"/>
  <c r="BG65" i="3"/>
  <c r="BF65" i="3"/>
  <c r="BE65" i="3"/>
  <c r="BD65" i="3"/>
  <c r="BC65" i="3"/>
  <c r="BA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c r="H64" i="3"/>
  <c r="BT63" i="3"/>
  <c r="BS63" i="3"/>
  <c r="BR63" i="3"/>
  <c r="BQ63" i="3"/>
  <c r="BP63" i="3"/>
  <c r="BO63" i="3"/>
  <c r="BN63" i="3"/>
  <c r="BM63" i="3"/>
  <c r="BK63" i="3"/>
  <c r="BJ63" i="3"/>
  <c r="BI63" i="3"/>
  <c r="BH63" i="3"/>
  <c r="BG63" i="3"/>
  <c r="BF63" i="3"/>
  <c r="BE63" i="3"/>
  <c r="BD63" i="3"/>
  <c r="BC63" i="3"/>
  <c r="BA63" i="3"/>
  <c r="BB63" i="3"/>
  <c r="AX63" i="3"/>
  <c r="AW63" i="3"/>
  <c r="AV63" i="3"/>
  <c r="AC63" i="3"/>
  <c r="H63" i="3"/>
  <c r="G63" i="3"/>
  <c r="BT62" i="3"/>
  <c r="BS62" i="3"/>
  <c r="BR62" i="3"/>
  <c r="BQ62" i="3"/>
  <c r="BP62" i="3"/>
  <c r="BO62" i="3"/>
  <c r="BN62" i="3"/>
  <c r="BM62" i="3"/>
  <c r="BK62" i="3"/>
  <c r="BJ62" i="3"/>
  <c r="BI62" i="3"/>
  <c r="BH62" i="3"/>
  <c r="BG62" i="3"/>
  <c r="BF62" i="3"/>
  <c r="BE62" i="3"/>
  <c r="BD62" i="3"/>
  <c r="BC62" i="3"/>
  <c r="BA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c r="AX60" i="3"/>
  <c r="AW60" i="3"/>
  <c r="AV60" i="3"/>
  <c r="AC60" i="3"/>
  <c r="G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c r="BK58" i="3"/>
  <c r="BJ58" i="3"/>
  <c r="BI58" i="3"/>
  <c r="BH58" i="3"/>
  <c r="BG58" i="3"/>
  <c r="BF58" i="3"/>
  <c r="BE58" i="3"/>
  <c r="BD58" i="3"/>
  <c r="BC58" i="3"/>
  <c r="BB58" i="3"/>
  <c r="AX58" i="3"/>
  <c r="AW58" i="3"/>
  <c r="AV58" i="3"/>
  <c r="AC58" i="3"/>
  <c r="G58" i="3"/>
  <c r="H58" i="3"/>
  <c r="BT57" i="3"/>
  <c r="BS57" i="3"/>
  <c r="BR57" i="3"/>
  <c r="BQ57" i="3"/>
  <c r="BP57" i="3"/>
  <c r="BO57" i="3"/>
  <c r="BN57" i="3"/>
  <c r="BM57" i="3"/>
  <c r="BK57" i="3"/>
  <c r="BJ57" i="3"/>
  <c r="BI57" i="3"/>
  <c r="BH57" i="3"/>
  <c r="BG57" i="3"/>
  <c r="BF57" i="3"/>
  <c r="BE57" i="3"/>
  <c r="BD57" i="3"/>
  <c r="BC57" i="3"/>
  <c r="BA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BA56" i="3"/>
  <c r="AX56" i="3"/>
  <c r="AW56" i="3"/>
  <c r="AV56" i="3"/>
  <c r="AC56" i="3"/>
  <c r="G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c r="BB47" i="3"/>
  <c r="AX47" i="3"/>
  <c r="AW47" i="3"/>
  <c r="AV47" i="3"/>
  <c r="AC47" i="3"/>
  <c r="G47" i="3"/>
  <c r="H47" i="3"/>
  <c r="BT46" i="3"/>
  <c r="BS46" i="3"/>
  <c r="BR46" i="3"/>
  <c r="BQ46" i="3"/>
  <c r="BP46" i="3"/>
  <c r="BO46" i="3"/>
  <c r="BN46" i="3"/>
  <c r="BM46" i="3"/>
  <c r="BK46" i="3"/>
  <c r="BJ46" i="3"/>
  <c r="BI46" i="3"/>
  <c r="BH46" i="3"/>
  <c r="BG46" i="3"/>
  <c r="BF46" i="3"/>
  <c r="BE46" i="3"/>
  <c r="BD46" i="3"/>
  <c r="BC46" i="3"/>
  <c r="BA46" i="3"/>
  <c r="BB46" i="3"/>
  <c r="AX46" i="3"/>
  <c r="AW46" i="3"/>
  <c r="AV46" i="3"/>
  <c r="AC46" i="3"/>
  <c r="H46" i="3"/>
  <c r="G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c r="BM44" i="3"/>
  <c r="BK44" i="3"/>
  <c r="BJ44" i="3"/>
  <c r="BI44" i="3"/>
  <c r="BH44" i="3"/>
  <c r="BG44" i="3"/>
  <c r="BF44" i="3"/>
  <c r="BE44" i="3"/>
  <c r="BD44" i="3"/>
  <c r="BC44" i="3"/>
  <c r="BB44" i="3"/>
  <c r="AX44" i="3"/>
  <c r="AW44" i="3"/>
  <c r="AV44" i="3"/>
  <c r="AC44" i="3"/>
  <c r="G44" i="3"/>
  <c r="H44" i="3"/>
  <c r="BT43" i="3"/>
  <c r="BS43" i="3"/>
  <c r="BR43" i="3"/>
  <c r="BQ43" i="3"/>
  <c r="BP43" i="3"/>
  <c r="BO43" i="3"/>
  <c r="BN43" i="3"/>
  <c r="BM43" i="3"/>
  <c r="BK43" i="3"/>
  <c r="BJ43" i="3"/>
  <c r="BI43" i="3"/>
  <c r="BH43" i="3"/>
  <c r="BG43" i="3"/>
  <c r="BF43" i="3"/>
  <c r="BE43" i="3"/>
  <c r="BD43" i="3"/>
  <c r="BC43" i="3"/>
  <c r="BB43" i="3"/>
  <c r="BA43" i="3"/>
  <c r="AX43" i="3"/>
  <c r="AW43" i="3"/>
  <c r="AV43" i="3"/>
  <c r="AC43" i="3"/>
  <c r="G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c r="BM39" i="3"/>
  <c r="BK39" i="3"/>
  <c r="BJ39" i="3"/>
  <c r="BI39" i="3"/>
  <c r="BH39" i="3"/>
  <c r="BG39" i="3"/>
  <c r="BF39" i="3"/>
  <c r="BE39" i="3"/>
  <c r="BD39" i="3"/>
  <c r="BC39" i="3"/>
  <c r="BB39" i="3"/>
  <c r="AX39" i="3"/>
  <c r="AW39" i="3"/>
  <c r="AV39" i="3"/>
  <c r="AC39" i="3"/>
  <c r="H39" i="3"/>
  <c r="G39" i="3"/>
  <c r="BT38" i="3"/>
  <c r="BS38" i="3"/>
  <c r="BR38" i="3"/>
  <c r="BQ38" i="3"/>
  <c r="BP38" i="3"/>
  <c r="BO38" i="3"/>
  <c r="BN38" i="3"/>
  <c r="BM38" i="3"/>
  <c r="BK38" i="3"/>
  <c r="BJ38" i="3"/>
  <c r="BI38" i="3"/>
  <c r="BH38" i="3"/>
  <c r="BG38" i="3"/>
  <c r="BF38" i="3"/>
  <c r="BE38" i="3"/>
  <c r="BD38" i="3"/>
  <c r="BC38" i="3"/>
  <c r="BB38" i="3"/>
  <c r="AX38" i="3"/>
  <c r="AW38" i="3"/>
  <c r="AV38" i="3"/>
  <c r="AC38" i="3"/>
  <c r="G38" i="3"/>
  <c r="H38" i="3"/>
  <c r="BT37" i="3"/>
  <c r="BS37" i="3"/>
  <c r="BR37" i="3"/>
  <c r="BQ37" i="3"/>
  <c r="BP37" i="3"/>
  <c r="BO37" i="3"/>
  <c r="BN37" i="3"/>
  <c r="BM37" i="3"/>
  <c r="BK37" i="3"/>
  <c r="BJ37" i="3"/>
  <c r="BI37" i="3"/>
  <c r="BH37" i="3"/>
  <c r="BG37" i="3"/>
  <c r="BF37" i="3"/>
  <c r="BE37" i="3"/>
  <c r="BD37" i="3"/>
  <c r="BC37" i="3"/>
  <c r="BA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c r="BM35" i="3"/>
  <c r="BK35" i="3"/>
  <c r="BJ35" i="3"/>
  <c r="BI35" i="3"/>
  <c r="BH35" i="3"/>
  <c r="BG35" i="3"/>
  <c r="BF35" i="3"/>
  <c r="BE35" i="3"/>
  <c r="BD35" i="3"/>
  <c r="BC35" i="3"/>
  <c r="BB35" i="3"/>
  <c r="AX35" i="3"/>
  <c r="AW35" i="3"/>
  <c r="AV35" i="3"/>
  <c r="AC35" i="3"/>
  <c r="H35" i="3"/>
  <c r="BT34" i="3"/>
  <c r="BS34" i="3"/>
  <c r="BR34" i="3"/>
  <c r="BQ34" i="3"/>
  <c r="BP34" i="3"/>
  <c r="BO34" i="3"/>
  <c r="BN34" i="3"/>
  <c r="BL34" i="3"/>
  <c r="BM34" i="3"/>
  <c r="BK34" i="3"/>
  <c r="BJ34" i="3"/>
  <c r="BI34" i="3"/>
  <c r="BH34" i="3"/>
  <c r="BG34" i="3"/>
  <c r="BF34" i="3"/>
  <c r="BE34" i="3"/>
  <c r="BD34" i="3"/>
  <c r="BC34" i="3"/>
  <c r="BB34" i="3"/>
  <c r="AX34" i="3"/>
  <c r="AW34" i="3"/>
  <c r="AV34" i="3"/>
  <c r="AC34" i="3"/>
  <c r="G34" i="3"/>
  <c r="H34" i="3"/>
  <c r="BT33" i="3"/>
  <c r="BS33" i="3"/>
  <c r="BR33" i="3"/>
  <c r="BQ33" i="3"/>
  <c r="BP33" i="3"/>
  <c r="BO33" i="3"/>
  <c r="BN33" i="3"/>
  <c r="BM33" i="3"/>
  <c r="BK33" i="3"/>
  <c r="BJ33" i="3"/>
  <c r="BI33" i="3"/>
  <c r="BH33" i="3"/>
  <c r="BG33" i="3"/>
  <c r="BF33" i="3"/>
  <c r="BE33" i="3"/>
  <c r="BD33" i="3"/>
  <c r="BC33" i="3"/>
  <c r="BB33" i="3"/>
  <c r="BA33" i="3"/>
  <c r="AX33" i="3"/>
  <c r="AW33" i="3"/>
  <c r="AV33" i="3"/>
  <c r="AC33" i="3"/>
  <c r="G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c r="BM24" i="3"/>
  <c r="BK24" i="3"/>
  <c r="BJ24" i="3"/>
  <c r="BI24" i="3"/>
  <c r="BH24" i="3"/>
  <c r="BG24" i="3"/>
  <c r="BF24" i="3"/>
  <c r="BE24" i="3"/>
  <c r="BD24" i="3"/>
  <c r="BC24" i="3"/>
  <c r="BB24" i="3"/>
  <c r="AX24" i="3"/>
  <c r="AW24" i="3"/>
  <c r="AV24" i="3"/>
  <c r="AC24" i="3"/>
  <c r="H24" i="3"/>
  <c r="BT23" i="3"/>
  <c r="BS23" i="3"/>
  <c r="BR23" i="3"/>
  <c r="BQ23" i="3"/>
  <c r="BP23" i="3"/>
  <c r="BO23" i="3"/>
  <c r="BN23" i="3"/>
  <c r="BL23" i="3"/>
  <c r="BM23" i="3"/>
  <c r="BK23" i="3"/>
  <c r="BJ23" i="3"/>
  <c r="BI23" i="3"/>
  <c r="BH23" i="3"/>
  <c r="BG23" i="3"/>
  <c r="BF23" i="3"/>
  <c r="BE23" i="3"/>
  <c r="BD23" i="3"/>
  <c r="BC23" i="3"/>
  <c r="BB23" i="3"/>
  <c r="AX23" i="3"/>
  <c r="AW23" i="3"/>
  <c r="AV23" i="3"/>
  <c r="AC23" i="3"/>
  <c r="G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c r="BM21" i="3"/>
  <c r="BK21" i="3"/>
  <c r="BJ21" i="3"/>
  <c r="BI21" i="3"/>
  <c r="BH21" i="3"/>
  <c r="BG21" i="3"/>
  <c r="BF21" i="3"/>
  <c r="BE21" i="3"/>
  <c r="BD21" i="3"/>
  <c r="BC21" i="3"/>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BA18" i="3"/>
  <c r="AX18" i="3"/>
  <c r="AW18" i="3"/>
  <c r="AV18" i="3"/>
  <c r="AC18" i="3"/>
  <c r="G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c r="H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L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G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c r="BT181" i="3"/>
  <c r="BS181" i="3"/>
  <c r="BR181" i="3"/>
  <c r="BQ181" i="3"/>
  <c r="BP181" i="3"/>
  <c r="BO181" i="3"/>
  <c r="BL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A177" i="3"/>
  <c r="AZ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c r="BT173" i="3"/>
  <c r="BS173" i="3"/>
  <c r="BR173" i="3"/>
  <c r="BQ173" i="3"/>
  <c r="BP173" i="3"/>
  <c r="BO173" i="3"/>
  <c r="BL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A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c r="BC156" i="3"/>
  <c r="BB156" i="3"/>
  <c r="AX156" i="3"/>
  <c r="AW156" i="3"/>
  <c r="AV156" i="3"/>
  <c r="AC156" i="3"/>
  <c r="H156" i="3"/>
  <c r="G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A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L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A125" i="3"/>
  <c r="AZ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c r="AZ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c r="BN118" i="3"/>
  <c r="BM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c r="BB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BT287" i="3"/>
  <c r="BS287" i="3"/>
  <c r="BR287" i="3"/>
  <c r="BQ287" i="3"/>
  <c r="BP287" i="3"/>
  <c r="BO287" i="3"/>
  <c r="BL287" i="3"/>
  <c r="BN287" i="3"/>
  <c r="BM287" i="3"/>
  <c r="BK287" i="3"/>
  <c r="BJ287" i="3"/>
  <c r="BI287" i="3"/>
  <c r="BH287" i="3"/>
  <c r="BG287" i="3"/>
  <c r="BF287" i="3"/>
  <c r="BE287" i="3"/>
  <c r="BD287" i="3"/>
  <c r="BC287" i="3"/>
  <c r="BB287" i="3"/>
  <c r="AX287" i="3"/>
  <c r="AW287" i="3"/>
  <c r="AV287" i="3"/>
  <c r="AC287" i="3"/>
  <c r="G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L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A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c r="AZ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A270" i="3"/>
  <c r="AZ270" i="3"/>
  <c r="BC270" i="3"/>
  <c r="BB270" i="3"/>
  <c r="AX270" i="3"/>
  <c r="AW270" i="3"/>
  <c r="AV270" i="3"/>
  <c r="AC270" i="3"/>
  <c r="H270" i="3"/>
  <c r="G270" i="3"/>
  <c r="BT269" i="3"/>
  <c r="BS269" i="3"/>
  <c r="BR269" i="3"/>
  <c r="BQ269" i="3"/>
  <c r="BP269" i="3"/>
  <c r="BO269" i="3"/>
  <c r="BN269" i="3"/>
  <c r="BL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L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c r="BC260" i="3"/>
  <c r="BB260" i="3"/>
  <c r="AX260" i="3"/>
  <c r="AW260" i="3"/>
  <c r="AV260" i="3"/>
  <c r="AC260" i="3"/>
  <c r="H260" i="3"/>
  <c r="G260" i="3"/>
  <c r="BT259" i="3"/>
  <c r="BS259" i="3"/>
  <c r="BR259" i="3"/>
  <c r="BQ259" i="3"/>
  <c r="BP259" i="3"/>
  <c r="BO259" i="3"/>
  <c r="BN259" i="3"/>
  <c r="BL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c r="H255" i="3"/>
  <c r="BT254" i="3"/>
  <c r="BS254" i="3"/>
  <c r="BR254" i="3"/>
  <c r="BQ254" i="3"/>
  <c r="BP254" i="3"/>
  <c r="BO254" i="3"/>
  <c r="BL254" i="3"/>
  <c r="BN254" i="3"/>
  <c r="BM254" i="3"/>
  <c r="BK254" i="3"/>
  <c r="BJ254" i="3"/>
  <c r="BI254" i="3"/>
  <c r="BH254" i="3"/>
  <c r="BG254" i="3"/>
  <c r="BF254" i="3"/>
  <c r="BE254" i="3"/>
  <c r="BD254" i="3"/>
  <c r="BC254" i="3"/>
  <c r="BB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G253" i="3"/>
  <c r="H253" i="3"/>
  <c r="BT252" i="3"/>
  <c r="BS252" i="3"/>
  <c r="BR252" i="3"/>
  <c r="BQ252" i="3"/>
  <c r="BP252" i="3"/>
  <c r="BO252" i="3"/>
  <c r="BL252" i="3"/>
  <c r="BN252" i="3"/>
  <c r="BM252" i="3"/>
  <c r="BK252" i="3"/>
  <c r="BJ252" i="3"/>
  <c r="BI252" i="3"/>
  <c r="BH252" i="3"/>
  <c r="BG252" i="3"/>
  <c r="BF252" i="3"/>
  <c r="BE252" i="3"/>
  <c r="BD252" i="3"/>
  <c r="BC252" i="3"/>
  <c r="BB252" i="3"/>
  <c r="AX252" i="3"/>
  <c r="AW252" i="3"/>
  <c r="AV252" i="3"/>
  <c r="AC252" i="3"/>
  <c r="H252" i="3"/>
  <c r="G252" i="3"/>
  <c r="BT251" i="3"/>
  <c r="BS251" i="3"/>
  <c r="BR251" i="3"/>
  <c r="BQ251" i="3"/>
  <c r="BP251" i="3"/>
  <c r="BO251" i="3"/>
  <c r="BL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L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L247" i="3"/>
  <c r="BN247" i="3"/>
  <c r="BM247" i="3"/>
  <c r="BK247" i="3"/>
  <c r="BJ247" i="3"/>
  <c r="BI247" i="3"/>
  <c r="BH247" i="3"/>
  <c r="BG247" i="3"/>
  <c r="BF247" i="3"/>
  <c r="BE247" i="3"/>
  <c r="BD247" i="3"/>
  <c r="BC247" i="3"/>
  <c r="BB247" i="3"/>
  <c r="BA247" i="3"/>
  <c r="AZ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c r="BC235" i="3"/>
  <c r="BB235" i="3"/>
  <c r="AX235" i="3"/>
  <c r="AW235" i="3"/>
  <c r="AV235" i="3"/>
  <c r="AC235" i="3"/>
  <c r="H235" i="3"/>
  <c r="G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c r="BC233" i="3"/>
  <c r="BB233" i="3"/>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c r="BC231" i="3"/>
  <c r="BB231" i="3"/>
  <c r="AX231" i="3"/>
  <c r="AW231" i="3"/>
  <c r="AV231" i="3"/>
  <c r="AC231" i="3"/>
  <c r="H231" i="3"/>
  <c r="G231" i="3"/>
  <c r="BT230" i="3"/>
  <c r="BS230" i="3"/>
  <c r="BR230" i="3"/>
  <c r="BQ230" i="3"/>
  <c r="BP230" i="3"/>
  <c r="BO230" i="3"/>
  <c r="BN230" i="3"/>
  <c r="BL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c r="BC220" i="3"/>
  <c r="BB220" i="3"/>
  <c r="AX220" i="3"/>
  <c r="AW220" i="3"/>
  <c r="AV220" i="3"/>
  <c r="AC220" i="3"/>
  <c r="H220" i="3"/>
  <c r="G220" i="3"/>
  <c r="BT219" i="3"/>
  <c r="BS219" i="3"/>
  <c r="BR219" i="3"/>
  <c r="BQ219" i="3"/>
  <c r="BP219" i="3"/>
  <c r="BO219" i="3"/>
  <c r="BN219" i="3"/>
  <c r="BL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c r="BN218" i="3"/>
  <c r="BM218" i="3"/>
  <c r="BK218" i="3"/>
  <c r="BJ218" i="3"/>
  <c r="BI218" i="3"/>
  <c r="BH218" i="3"/>
  <c r="BG218" i="3"/>
  <c r="BF218" i="3"/>
  <c r="BE218" i="3"/>
  <c r="BD218" i="3"/>
  <c r="BC218" i="3"/>
  <c r="BB218" i="3"/>
  <c r="BA218" i="3"/>
  <c r="AX218" i="3"/>
  <c r="AW218" i="3"/>
  <c r="AV218" i="3"/>
  <c r="AC218" i="3"/>
  <c r="G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c r="AZ216" i="3"/>
  <c r="BC216" i="3"/>
  <c r="BB216" i="3"/>
  <c r="AX216" i="3"/>
  <c r="AW216" i="3"/>
  <c r="AV216" i="3"/>
  <c r="AC216" i="3"/>
  <c r="H216" i="3"/>
  <c r="G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c r="H351" i="3"/>
  <c r="BT350" i="3"/>
  <c r="BS350" i="3"/>
  <c r="BR350" i="3"/>
  <c r="BQ350" i="3"/>
  <c r="BP350" i="3"/>
  <c r="BO350" i="3"/>
  <c r="BL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c r="BN332" i="3"/>
  <c r="BM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c r="H489" i="3"/>
  <c r="BT488" i="3"/>
  <c r="BS488" i="3"/>
  <c r="BR488" i="3"/>
  <c r="BQ488" i="3"/>
  <c r="BP488" i="3"/>
  <c r="BO488" i="3"/>
  <c r="BL488" i="3"/>
  <c r="BN488" i="3"/>
  <c r="BM488" i="3"/>
  <c r="BK488" i="3"/>
  <c r="BJ488" i="3"/>
  <c r="BI488" i="3"/>
  <c r="BH488" i="3"/>
  <c r="BG488" i="3"/>
  <c r="BF488" i="3"/>
  <c r="BE488" i="3"/>
  <c r="BD488" i="3"/>
  <c r="BC488" i="3"/>
  <c r="BB488" i="3"/>
  <c r="AX488" i="3"/>
  <c r="AW488" i="3"/>
  <c r="AV488" i="3"/>
  <c r="AC488" i="3"/>
  <c r="H488" i="3"/>
  <c r="G488" i="3"/>
  <c r="BT487" i="3"/>
  <c r="BS487" i="3"/>
  <c r="BR487" i="3"/>
  <c r="BQ487" i="3"/>
  <c r="BP487" i="3"/>
  <c r="BO487" i="3"/>
  <c r="BL487" i="3"/>
  <c r="BN487" i="3"/>
  <c r="BM487" i="3"/>
  <c r="BK487" i="3"/>
  <c r="BJ487" i="3"/>
  <c r="BI487" i="3"/>
  <c r="BH487" i="3"/>
  <c r="BG487" i="3"/>
  <c r="BF487" i="3"/>
  <c r="BE487" i="3"/>
  <c r="BD487" i="3"/>
  <c r="BC487" i="3"/>
  <c r="BA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L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A470" i="3"/>
  <c r="BC470" i="3"/>
  <c r="BB470" i="3"/>
  <c r="AX470" i="3"/>
  <c r="AW470" i="3"/>
  <c r="AV470" i="3"/>
  <c r="AC470" i="3"/>
  <c r="H470" i="3"/>
  <c r="G470" i="3"/>
  <c r="BT469" i="3"/>
  <c r="BS469" i="3"/>
  <c r="BR469" i="3"/>
  <c r="BQ469" i="3"/>
  <c r="BP469" i="3"/>
  <c r="BO469" i="3"/>
  <c r="BN469" i="3"/>
  <c r="BL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c r="H466" i="3"/>
  <c r="BT465" i="3"/>
  <c r="BS465" i="3"/>
  <c r="BR465" i="3"/>
  <c r="BQ465" i="3"/>
  <c r="BP465" i="3"/>
  <c r="BO465" i="3"/>
  <c r="BL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G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G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G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c r="BM455" i="3"/>
  <c r="BK455" i="3"/>
  <c r="BJ455" i="3"/>
  <c r="BI455" i="3"/>
  <c r="BH455" i="3"/>
  <c r="BG455" i="3"/>
  <c r="BF455" i="3"/>
  <c r="BE455" i="3"/>
  <c r="BD455" i="3"/>
  <c r="BC455" i="3"/>
  <c r="BB455" i="3"/>
  <c r="AX455" i="3"/>
  <c r="AW455" i="3"/>
  <c r="AV455" i="3"/>
  <c r="AC455" i="3"/>
  <c r="G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c r="BC452" i="3"/>
  <c r="BB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G451" i="3"/>
  <c r="H451" i="3"/>
  <c r="BT450" i="3"/>
  <c r="BS450" i="3"/>
  <c r="BR450" i="3"/>
  <c r="BQ450" i="3"/>
  <c r="BP450" i="3"/>
  <c r="BO450" i="3"/>
  <c r="BL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L447" i="3"/>
  <c r="BN447" i="3"/>
  <c r="BM447" i="3"/>
  <c r="BK447" i="3"/>
  <c r="BJ447" i="3"/>
  <c r="BI447" i="3"/>
  <c r="BH447" i="3"/>
  <c r="BG447" i="3"/>
  <c r="BF447" i="3"/>
  <c r="BE447" i="3"/>
  <c r="BD447" i="3"/>
  <c r="BC447" i="3"/>
  <c r="BB447" i="3"/>
  <c r="AX447" i="3"/>
  <c r="AW447" i="3"/>
  <c r="AV447" i="3"/>
  <c r="AC447" i="3"/>
  <c r="G447" i="3"/>
  <c r="H447" i="3"/>
  <c r="BT446" i="3"/>
  <c r="BS446" i="3"/>
  <c r="BR446" i="3"/>
  <c r="BQ446" i="3"/>
  <c r="BP446" i="3"/>
  <c r="BO446" i="3"/>
  <c r="BL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L443" i="3"/>
  <c r="BN443" i="3"/>
  <c r="BM443" i="3"/>
  <c r="BK443" i="3"/>
  <c r="BJ443" i="3"/>
  <c r="BI443" i="3"/>
  <c r="BH443" i="3"/>
  <c r="BG443" i="3"/>
  <c r="BF443" i="3"/>
  <c r="BE443" i="3"/>
  <c r="BD443" i="3"/>
  <c r="BC443" i="3"/>
  <c r="BB443" i="3"/>
  <c r="BA443" i="3"/>
  <c r="AZ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L440" i="3"/>
  <c r="BN440" i="3"/>
  <c r="BM440" i="3"/>
  <c r="BK440" i="3"/>
  <c r="BJ440" i="3"/>
  <c r="BI440" i="3"/>
  <c r="BH440" i="3"/>
  <c r="BG440" i="3"/>
  <c r="BF440" i="3"/>
  <c r="BE440" i="3"/>
  <c r="BD440" i="3"/>
  <c r="BC440" i="3"/>
  <c r="BB440" i="3"/>
  <c r="AX440" i="3"/>
  <c r="AW440" i="3"/>
  <c r="AV440" i="3"/>
  <c r="AC440" i="3"/>
  <c r="G440" i="3"/>
  <c r="H440" i="3"/>
  <c r="BT439" i="3"/>
  <c r="BS439" i="3"/>
  <c r="BR439" i="3"/>
  <c r="BQ439" i="3"/>
  <c r="BP439" i="3"/>
  <c r="BO439" i="3"/>
  <c r="BL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A431" i="3"/>
  <c r="BC431" i="3"/>
  <c r="BB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G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c r="BC422" i="3"/>
  <c r="BB422" i="3"/>
  <c r="AX422" i="3"/>
  <c r="AW422" i="3"/>
  <c r="AV422" i="3"/>
  <c r="AC422" i="3"/>
  <c r="H422" i="3"/>
  <c r="G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G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A410" i="3"/>
  <c r="BC410" i="3"/>
  <c r="BB410" i="3"/>
  <c r="AX410" i="3"/>
  <c r="AW410" i="3"/>
  <c r="AV410" i="3"/>
  <c r="AC410" i="3"/>
  <c r="H410" i="3"/>
  <c r="G410" i="3"/>
  <c r="BT409" i="3"/>
  <c r="BS409" i="3"/>
  <c r="BR409" i="3"/>
  <c r="BQ409" i="3"/>
  <c r="BP409" i="3"/>
  <c r="BO409" i="3"/>
  <c r="BN409" i="3"/>
  <c r="BL409" i="3"/>
  <c r="BM409" i="3"/>
  <c r="BK409" i="3"/>
  <c r="BJ409" i="3"/>
  <c r="BI409" i="3"/>
  <c r="BH409" i="3"/>
  <c r="BG409" i="3"/>
  <c r="BF409" i="3"/>
  <c r="BE409" i="3"/>
  <c r="BD409" i="3"/>
  <c r="BC409" i="3"/>
  <c r="BB409" i="3"/>
  <c r="AX409" i="3"/>
  <c r="AW409" i="3"/>
  <c r="AV409" i="3"/>
  <c r="AC409" i="3"/>
  <c r="G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L406" i="3"/>
  <c r="BN406" i="3"/>
  <c r="BM406" i="3"/>
  <c r="BK406" i="3"/>
  <c r="BJ406" i="3"/>
  <c r="BI406" i="3"/>
  <c r="BH406" i="3"/>
  <c r="BG406" i="3"/>
  <c r="BF406" i="3"/>
  <c r="BE406" i="3"/>
  <c r="BD406" i="3"/>
  <c r="BC406" i="3"/>
  <c r="BB406" i="3"/>
  <c r="BA406" i="3"/>
  <c r="AZ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L402" i="3"/>
  <c r="BN402" i="3"/>
  <c r="BM402" i="3"/>
  <c r="BK402" i="3"/>
  <c r="BJ402" i="3"/>
  <c r="BI402" i="3"/>
  <c r="BH402" i="3"/>
  <c r="BG402" i="3"/>
  <c r="BF402" i="3"/>
  <c r="BE402" i="3"/>
  <c r="BD402" i="3"/>
  <c r="BC402" i="3"/>
  <c r="BB402" i="3"/>
  <c r="BA402" i="3"/>
  <c r="AZ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F11" i="1"/>
  <c r="G11" i="1"/>
  <c r="D15" i="4"/>
  <c r="F7" i="1"/>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F34" i="68"/>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c r="BN17" i="3"/>
  <c r="BP13" i="3"/>
  <c r="BP14" i="3"/>
  <c r="BP15" i="3"/>
  <c r="BP16" i="3"/>
  <c r="BP17" i="3"/>
  <c r="E19" i="6"/>
  <c r="D3" i="81"/>
  <c r="E20" i="6"/>
  <c r="E21" i="6"/>
  <c r="K8" i="1"/>
  <c r="M8" i="1"/>
  <c r="F23" i="15"/>
  <c r="D24" i="15"/>
  <c r="E22" i="6"/>
  <c r="E23" i="6"/>
  <c r="K10" i="1"/>
  <c r="M10" i="1"/>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c r="AC13" i="3"/>
  <c r="H14" i="3"/>
  <c r="G14" i="3"/>
  <c r="AC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C18" i="9"/>
  <c r="D18"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F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G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c r="H30" i="36"/>
  <c r="F30" i="36"/>
  <c r="AA30" i="36"/>
  <c r="C26" i="35"/>
  <c r="C79" i="35"/>
  <c r="J31" i="35"/>
  <c r="H31" i="35"/>
  <c r="U31" i="35"/>
  <c r="F31" i="35"/>
  <c r="AA31" i="35"/>
  <c r="D87" i="35"/>
  <c r="E87" i="35"/>
  <c r="F87" i="35"/>
  <c r="G87" i="35"/>
  <c r="H87" i="35"/>
  <c r="I87" i="35"/>
  <c r="J87" i="35"/>
  <c r="K87" i="35"/>
  <c r="L87" i="35"/>
  <c r="M87" i="35"/>
  <c r="H34" i="37"/>
  <c r="AB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AC41" i="33"/>
  <c r="D113" i="33"/>
  <c r="F37" i="33"/>
  <c r="D111" i="33"/>
  <c r="E111" i="33"/>
  <c r="F111" i="33"/>
  <c r="S515" i="31"/>
  <c r="S516" i="31"/>
  <c r="S517" i="31"/>
  <c r="S518" i="31"/>
  <c r="S519" i="31"/>
  <c r="S520" i="31"/>
  <c r="S521" i="31"/>
  <c r="S522" i="31"/>
  <c r="S523" i="31"/>
  <c r="S524" i="31"/>
  <c r="F41" i="21"/>
  <c r="S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Q37" i="40"/>
  <c r="Z37" i="40"/>
  <c r="Q36" i="40"/>
  <c r="Z36" i="40"/>
  <c r="Q35" i="40"/>
  <c r="Z35" i="40"/>
  <c r="Q34" i="40"/>
  <c r="Z34" i="40"/>
  <c r="J34" i="40"/>
  <c r="AC34" i="40"/>
  <c r="H34" i="40"/>
  <c r="AB34" i="40"/>
  <c r="F34" i="40"/>
  <c r="S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E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E103" i="37"/>
  <c r="F103" i="37"/>
  <c r="G103" i="37"/>
  <c r="H103" i="37"/>
  <c r="I103" i="37"/>
  <c r="J103" i="37"/>
  <c r="K103" i="37"/>
  <c r="L103" i="37"/>
  <c r="M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E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Q22" i="36"/>
  <c r="Z22" i="36"/>
  <c r="J22" i="36"/>
  <c r="AC22" i="36"/>
  <c r="Q20" i="36"/>
  <c r="Z20" i="36"/>
  <c r="Q16" i="36"/>
  <c r="Z16" i="36"/>
  <c r="Q14" i="36"/>
  <c r="Z14" i="36"/>
  <c r="Q13" i="36"/>
  <c r="Z13" i="36"/>
  <c r="Q12" i="36"/>
  <c r="Z12" i="36"/>
  <c r="H12" i="36"/>
  <c r="AB12" i="36"/>
  <c r="U12" i="36"/>
  <c r="Q11" i="36"/>
  <c r="Z11" i="36"/>
  <c r="Q10" i="36"/>
  <c r="Z10" i="36"/>
  <c r="F10" i="36"/>
  <c r="AA10" i="36"/>
  <c r="Q9" i="36"/>
  <c r="Z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B101" i="35"/>
  <c r="H36" i="35"/>
  <c r="AB36" i="35"/>
  <c r="B99" i="35"/>
  <c r="B97" i="35"/>
  <c r="B77" i="35"/>
  <c r="B75" i="35"/>
  <c r="J24" i="35"/>
  <c r="AC24" i="35"/>
  <c r="B7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H12" i="33"/>
  <c r="U12"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C21" i="20"/>
  <c r="B99" i="43"/>
  <c r="C20" i="20"/>
  <c r="C18" i="20"/>
  <c r="B94" i="43"/>
  <c r="C17" i="20"/>
  <c r="B61" i="43"/>
  <c r="C16" i="20"/>
  <c r="C17" i="39"/>
  <c r="C15" i="20"/>
  <c r="B72" i="43"/>
  <c r="E54" i="21"/>
  <c r="F54" i="21"/>
  <c r="I54" i="21"/>
  <c r="J54" i="21"/>
  <c r="G54" i="21"/>
  <c r="H54" i="21"/>
  <c r="D125" i="21"/>
  <c r="E125" i="21"/>
  <c r="F125" i="21"/>
  <c r="G125" i="21"/>
  <c r="D123" i="21"/>
  <c r="E123" i="21"/>
  <c r="F123" i="21"/>
  <c r="G123" i="21"/>
  <c r="H123" i="21"/>
  <c r="I123" i="21"/>
  <c r="J123" i="21"/>
  <c r="K123" i="21"/>
  <c r="L123" i="21"/>
  <c r="M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AB38"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AA41" i="21"/>
  <c r="F45" i="39"/>
  <c r="S45" i="39"/>
  <c r="J44" i="39"/>
  <c r="AC44" i="39"/>
  <c r="F36" i="39"/>
  <c r="S36" i="39"/>
  <c r="H36" i="39"/>
  <c r="AB36" i="39"/>
  <c r="J35" i="39"/>
  <c r="AC35" i="39"/>
  <c r="F35" i="39"/>
  <c r="AA35" i="39"/>
  <c r="J36" i="39"/>
  <c r="AC36" i="39"/>
  <c r="U9" i="39"/>
  <c r="W40" i="39"/>
  <c r="W25" i="37"/>
  <c r="U30" i="37"/>
  <c r="W31" i="37"/>
  <c r="F39" i="37"/>
  <c r="S39" i="37"/>
  <c r="F29" i="36"/>
  <c r="AA29" i="36"/>
  <c r="F16" i="36"/>
  <c r="AA16" i="36"/>
  <c r="W28" i="36"/>
  <c r="U31" i="36"/>
  <c r="J33" i="36"/>
  <c r="AC33" i="36"/>
  <c r="H22" i="35"/>
  <c r="AB22" i="35"/>
  <c r="AC27" i="35"/>
  <c r="W28" i="35"/>
  <c r="S31" i="35"/>
  <c r="U34" i="35"/>
  <c r="F36" i="34"/>
  <c r="J35" i="34"/>
  <c r="W9" i="34"/>
  <c r="U34" i="34"/>
  <c r="H39" i="33"/>
  <c r="AB39" i="33"/>
  <c r="F26" i="33"/>
  <c r="S40" i="33"/>
  <c r="W33" i="33"/>
  <c r="W39" i="33"/>
  <c r="H39" i="37"/>
  <c r="AB39" i="37"/>
  <c r="S27" i="35"/>
  <c r="F11" i="40"/>
  <c r="AA11" i="40"/>
  <c r="H11" i="40"/>
  <c r="AB11" i="40"/>
  <c r="AA9" i="40"/>
  <c r="U9" i="40"/>
  <c r="W31" i="40"/>
  <c r="U34" i="40"/>
  <c r="F42" i="39"/>
  <c r="AA42" i="39"/>
  <c r="F41" i="39"/>
  <c r="S41" i="39"/>
  <c r="H40" i="39"/>
  <c r="AB40" i="39"/>
  <c r="H39" i="39"/>
  <c r="U39" i="39"/>
  <c r="S38" i="39"/>
  <c r="S34" i="39"/>
  <c r="H34" i="39"/>
  <c r="U34" i="39"/>
  <c r="F31" i="39"/>
  <c r="AA31" i="39"/>
  <c r="E100" i="39"/>
  <c r="F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H27" i="39"/>
  <c r="U27" i="39"/>
  <c r="J19" i="39"/>
  <c r="AC19" i="39"/>
  <c r="J17" i="39"/>
  <c r="J27" i="39"/>
  <c r="AC27" i="39"/>
  <c r="F27" i="39"/>
  <c r="F11" i="21"/>
  <c r="S11" i="21"/>
  <c r="S40" i="21"/>
  <c r="U34" i="21"/>
  <c r="C25" i="39"/>
  <c r="H11" i="39"/>
  <c r="C15" i="39"/>
  <c r="H32" i="33"/>
  <c r="H11" i="21"/>
  <c r="U11" i="21"/>
  <c r="J11" i="21"/>
  <c r="W11" i="21"/>
  <c r="H37" i="40"/>
  <c r="U37" i="40"/>
  <c r="H36" i="40"/>
  <c r="AB36" i="40"/>
  <c r="F35" i="40"/>
  <c r="AA35" i="40"/>
  <c r="H23" i="40"/>
  <c r="AB23" i="40"/>
  <c r="H17" i="40"/>
  <c r="U17" i="40"/>
  <c r="J15" i="40"/>
  <c r="W15" i="40"/>
  <c r="J11" i="40"/>
  <c r="W11" i="40"/>
  <c r="AB8" i="39"/>
  <c r="AC12" i="34"/>
  <c r="W32" i="40"/>
  <c r="S44" i="39"/>
  <c r="F37" i="39"/>
  <c r="AA37" i="39"/>
  <c r="J34" i="36"/>
  <c r="W34" i="36"/>
  <c r="U30" i="36"/>
  <c r="J30" i="35"/>
  <c r="W30" i="35"/>
  <c r="H30" i="35"/>
  <c r="AB30" i="35"/>
  <c r="F22" i="35"/>
  <c r="AA22" i="35"/>
  <c r="H10" i="35"/>
  <c r="U10" i="35"/>
  <c r="F33" i="36"/>
  <c r="AA33" i="36"/>
  <c r="W30" i="36"/>
  <c r="H16" i="36"/>
  <c r="AB16"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J33" i="37"/>
  <c r="AC33" i="37"/>
  <c r="U42" i="34"/>
  <c r="H40" i="34"/>
  <c r="U40" i="34"/>
  <c r="E114" i="34"/>
  <c r="H36" i="34"/>
  <c r="U36" i="34"/>
  <c r="F37" i="34"/>
  <c r="AA37" i="34"/>
  <c r="F25" i="34"/>
  <c r="S25" i="34"/>
  <c r="H23" i="34"/>
  <c r="AB23" i="34"/>
  <c r="U23" i="34"/>
  <c r="J23" i="34"/>
  <c r="F19" i="34"/>
  <c r="H17" i="34"/>
  <c r="U17" i="34"/>
  <c r="F15" i="34"/>
  <c r="AA15" i="34"/>
  <c r="J15" i="34"/>
  <c r="H15" i="34"/>
  <c r="AB15" i="34"/>
  <c r="W8" i="34"/>
  <c r="F41" i="33"/>
  <c r="AA41" i="33"/>
  <c r="S38" i="33"/>
  <c r="E113" i="33"/>
  <c r="F32" i="33"/>
  <c r="AA32" i="33"/>
  <c r="J19" i="33"/>
  <c r="AC19" i="33"/>
  <c r="J15" i="33"/>
  <c r="AC15" i="33"/>
  <c r="F11" i="33"/>
  <c r="AA11"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J44" i="34"/>
  <c r="F44" i="34"/>
  <c r="AA44" i="34"/>
  <c r="J10" i="35"/>
  <c r="AC10" i="35"/>
  <c r="J14" i="21"/>
  <c r="W14" i="21"/>
  <c r="F14" i="21"/>
  <c r="S14" i="21"/>
  <c r="H14" i="21"/>
  <c r="U14" i="21"/>
  <c r="H28" i="21"/>
  <c r="AB28" i="21"/>
  <c r="F28" i="21"/>
  <c r="AA28" i="21"/>
  <c r="J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J14" i="34"/>
  <c r="W14" i="34"/>
  <c r="F14" i="34"/>
  <c r="S14" i="34"/>
  <c r="H14" i="34"/>
  <c r="H30" i="34"/>
  <c r="F30" i="34"/>
  <c r="S30" i="34"/>
  <c r="J30" i="34"/>
  <c r="H32" i="34"/>
  <c r="F32" i="34"/>
  <c r="J32" i="34"/>
  <c r="W32" i="34"/>
  <c r="H46" i="34"/>
  <c r="U46" i="34"/>
  <c r="F46" i="34"/>
  <c r="J46" i="34"/>
  <c r="H11" i="35"/>
  <c r="AB11" i="35"/>
  <c r="J11" i="35"/>
  <c r="W11" i="35"/>
  <c r="F11" i="35"/>
  <c r="S11" i="35"/>
  <c r="J26" i="36"/>
  <c r="W26" i="36"/>
  <c r="H28" i="36"/>
  <c r="U28" i="36"/>
  <c r="H32" i="36"/>
  <c r="AB32" i="36"/>
  <c r="J32" i="36"/>
  <c r="W32" i="36"/>
  <c r="J11" i="36"/>
  <c r="AC11" i="36"/>
  <c r="H11" i="36"/>
  <c r="U11" i="36"/>
  <c r="F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F40" i="37"/>
  <c r="AA40" i="37"/>
  <c r="AC12" i="40"/>
  <c r="W12" i="40"/>
  <c r="H14" i="33"/>
  <c r="U14" i="33"/>
  <c r="F14" i="33"/>
  <c r="S14" i="33"/>
  <c r="J14" i="33"/>
  <c r="H30" i="33"/>
  <c r="AB30" i="33"/>
  <c r="F30" i="33"/>
  <c r="J30" i="33"/>
  <c r="H44" i="33"/>
  <c r="J44" i="33"/>
  <c r="AC44" i="33"/>
  <c r="F44" i="33"/>
  <c r="S44" i="33"/>
  <c r="J46" i="33"/>
  <c r="AC46" i="33"/>
  <c r="F46" i="33"/>
  <c r="AA46" i="33"/>
  <c r="H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J14" i="40"/>
  <c r="W14" i="40"/>
  <c r="F14" i="40"/>
  <c r="AA14" i="40"/>
  <c r="J14" i="37"/>
  <c r="J27" i="37"/>
  <c r="AC27" i="37"/>
  <c r="AA14" i="33"/>
  <c r="J36" i="37"/>
  <c r="AC36" i="37"/>
  <c r="J10" i="36"/>
  <c r="AC10" i="36"/>
  <c r="AB30" i="21"/>
  <c r="AA14" i="37"/>
  <c r="AB46" i="34"/>
  <c r="AA14" i="34"/>
  <c r="AB45" i="33"/>
  <c r="S44" i="34"/>
  <c r="BA586" i="3"/>
  <c r="BA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c r="BL538" i="3"/>
  <c r="BL534" i="3"/>
  <c r="BL530" i="3"/>
  <c r="BL526" i="3"/>
  <c r="BL522" i="3"/>
  <c r="BL516" i="3"/>
  <c r="BL512" i="3"/>
  <c r="BL506" i="3"/>
  <c r="AZ506" i="3"/>
  <c r="BL502" i="3"/>
  <c r="BL498" i="3"/>
  <c r="BL494" i="3"/>
  <c r="BL582" i="3"/>
  <c r="BL578" i="3"/>
  <c r="BL574" i="3"/>
  <c r="BL570" i="3"/>
  <c r="BL566" i="3"/>
  <c r="BL562" i="3"/>
  <c r="BL556" i="3"/>
  <c r="BL552" i="3"/>
  <c r="BL544" i="3"/>
  <c r="AZ544" i="3"/>
  <c r="BL540" i="3"/>
  <c r="BL536" i="3"/>
  <c r="G533" i="3"/>
  <c r="BL532" i="3"/>
  <c r="G529" i="3"/>
  <c r="BL528" i="3"/>
  <c r="G525" i="3"/>
  <c r="BL524" i="3"/>
  <c r="BL518" i="3"/>
  <c r="BL514" i="3"/>
  <c r="BL510" i="3"/>
  <c r="BL504" i="3"/>
  <c r="AZ504" i="3"/>
  <c r="BL500" i="3"/>
  <c r="BL496" i="3"/>
  <c r="G493" i="3"/>
  <c r="BA584" i="3"/>
  <c r="AZ584" i="3"/>
  <c r="BA582" i="3"/>
  <c r="BA580" i="3"/>
  <c r="BA578" i="3"/>
  <c r="BA576" i="3"/>
  <c r="AZ576" i="3"/>
  <c r="BA574" i="3"/>
  <c r="BA572" i="3"/>
  <c r="AZ572" i="3"/>
  <c r="BA570" i="3"/>
  <c r="AZ570" i="3"/>
  <c r="BA568" i="3"/>
  <c r="AZ568" i="3"/>
  <c r="BA566" i="3"/>
  <c r="BA564" i="3"/>
  <c r="BA562" i="3"/>
  <c r="BA560" i="3"/>
  <c r="AZ560" i="3"/>
  <c r="BA558" i="3"/>
  <c r="BA556" i="3"/>
  <c r="AZ556" i="3"/>
  <c r="BA554" i="3"/>
  <c r="AZ554" i="3"/>
  <c r="BA552" i="3"/>
  <c r="AZ552" i="3"/>
  <c r="BA548" i="3"/>
  <c r="BA546" i="3"/>
  <c r="AZ546" i="3"/>
  <c r="BA544" i="3"/>
  <c r="BA542" i="3"/>
  <c r="BA540" i="3"/>
  <c r="BA538" i="3"/>
  <c r="AZ538" i="3"/>
  <c r="BA536" i="3"/>
  <c r="AZ536" i="3"/>
  <c r="BA534" i="3"/>
  <c r="AZ534" i="3"/>
  <c r="BA532" i="3"/>
  <c r="BA530" i="3"/>
  <c r="BA528" i="3"/>
  <c r="BA526" i="3"/>
  <c r="BA524" i="3"/>
  <c r="BA522" i="3"/>
  <c r="BA520" i="3"/>
  <c r="BA518" i="3"/>
  <c r="AZ518" i="3"/>
  <c r="BA516" i="3"/>
  <c r="BA514" i="3"/>
  <c r="AZ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c r="BA557" i="3"/>
  <c r="AC557" i="3"/>
  <c r="G557" i="3"/>
  <c r="BQ557" i="3"/>
  <c r="BL557" i="3"/>
  <c r="BQ583" i="3"/>
  <c r="BL583" i="3"/>
  <c r="AZ583" i="3"/>
  <c r="BQ581" i="3"/>
  <c r="BL581" i="3"/>
  <c r="BQ579" i="3"/>
  <c r="BL579" i="3"/>
  <c r="BQ577" i="3"/>
  <c r="BL577" i="3"/>
  <c r="BQ575" i="3"/>
  <c r="BL575" i="3"/>
  <c r="BQ573" i="3"/>
  <c r="BL573" i="3"/>
  <c r="AZ573" i="3"/>
  <c r="BQ571" i="3"/>
  <c r="BL571" i="3"/>
  <c r="BQ569" i="3"/>
  <c r="BL569" i="3"/>
  <c r="BQ567" i="3"/>
  <c r="BL567" i="3"/>
  <c r="BQ565" i="3"/>
  <c r="BL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7" i="3"/>
  <c r="BL537" i="3"/>
  <c r="BQ535" i="3"/>
  <c r="BL535" i="3"/>
  <c r="BQ533" i="3"/>
  <c r="BL533" i="3"/>
  <c r="AZ533" i="3"/>
  <c r="BQ531" i="3"/>
  <c r="BL531" i="3"/>
  <c r="AZ531" i="3"/>
  <c r="BQ529" i="3"/>
  <c r="BL529" i="3"/>
  <c r="BQ527" i="3"/>
  <c r="BL527" i="3"/>
  <c r="AZ527" i="3"/>
  <c r="BQ525" i="3"/>
  <c r="BL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BQ513" i="3"/>
  <c r="BL513" i="3"/>
  <c r="BQ511" i="3"/>
  <c r="BL511" i="3"/>
  <c r="AZ511" i="3"/>
  <c r="BA509" i="3"/>
  <c r="AC509" i="3"/>
  <c r="BQ509" i="3"/>
  <c r="BL509" i="3"/>
  <c r="BL508" i="3"/>
  <c r="AZ508" i="3"/>
  <c r="G507" i="3"/>
  <c r="G505" i="3"/>
  <c r="G503" i="3"/>
  <c r="G501" i="3"/>
  <c r="G499" i="3"/>
  <c r="G497" i="3"/>
  <c r="G495" i="3"/>
  <c r="BQ507" i="3"/>
  <c r="BQ505" i="3"/>
  <c r="BL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c r="H43" i="33"/>
  <c r="H17" i="37"/>
  <c r="U17" i="37"/>
  <c r="AB27" i="37"/>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39" i="37"/>
  <c r="U26" i="37"/>
  <c r="W47" i="34"/>
  <c r="AC36" i="34"/>
  <c r="AA13" i="33"/>
  <c r="AC31" i="33"/>
  <c r="AC45" i="33"/>
  <c r="W44" i="33"/>
  <c r="U11" i="33"/>
  <c r="U19" i="21"/>
  <c r="W44" i="21"/>
  <c r="F43" i="33"/>
  <c r="AA43" i="33"/>
  <c r="W15" i="34"/>
  <c r="AC15" i="34"/>
  <c r="W16" i="35"/>
  <c r="G107" i="37"/>
  <c r="H107" i="37"/>
  <c r="I107" i="37"/>
  <c r="J107" i="37"/>
  <c r="K107" i="37"/>
  <c r="L107" i="37"/>
  <c r="M107" i="37"/>
  <c r="H37" i="21"/>
  <c r="U37" i="21"/>
  <c r="H19" i="34"/>
  <c r="AB19" i="34"/>
  <c r="F36" i="35"/>
  <c r="S36" i="35"/>
  <c r="J9" i="37"/>
  <c r="W9" i="37"/>
  <c r="H9" i="37"/>
  <c r="U9" i="37"/>
  <c r="F9" i="37"/>
  <c r="S9" i="37"/>
  <c r="J12" i="37"/>
  <c r="H12" i="37"/>
  <c r="AB12" i="37"/>
  <c r="F12" i="37"/>
  <c r="S12" i="37"/>
  <c r="E71" i="37"/>
  <c r="F71" i="37"/>
  <c r="G71" i="37"/>
  <c r="F15" i="37"/>
  <c r="AA15" i="37"/>
  <c r="E94" i="37"/>
  <c r="F31" i="37"/>
  <c r="S31" i="37"/>
  <c r="F12" i="39"/>
  <c r="S12" i="39"/>
  <c r="J42" i="39"/>
  <c r="AC42" i="39"/>
  <c r="H21" i="40"/>
  <c r="AB21" i="40"/>
  <c r="F94" i="37"/>
  <c r="G94" i="37"/>
  <c r="H94" i="37"/>
  <c r="I94" i="37"/>
  <c r="J94" i="37"/>
  <c r="K94" i="37"/>
  <c r="L94" i="37"/>
  <c r="M94" i="37"/>
  <c r="H31" i="37"/>
  <c r="U31" i="37"/>
  <c r="J15" i="37"/>
  <c r="W15" i="37"/>
  <c r="AT6" i="3"/>
  <c r="AA25" i="21"/>
  <c r="H19" i="40"/>
  <c r="U19" i="40"/>
  <c r="F88" i="40"/>
  <c r="G88" i="40"/>
  <c r="F19" i="40"/>
  <c r="S19" i="40"/>
  <c r="S14" i="40"/>
  <c r="AC13" i="40"/>
  <c r="AB33" i="40"/>
  <c r="W23" i="39"/>
  <c r="AC43" i="39"/>
  <c r="W43"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497" i="3"/>
  <c r="BL549" i="3"/>
  <c r="AZ549" i="3"/>
  <c r="AZ494" i="3"/>
  <c r="AZ522" i="3"/>
  <c r="AZ530" i="3"/>
  <c r="G546" i="3"/>
  <c r="G524" i="3"/>
  <c r="G303" i="3"/>
  <c r="BL304" i="3"/>
  <c r="G305" i="3"/>
  <c r="BL306" i="3"/>
  <c r="BA308" i="3"/>
  <c r="AZ308" i="3"/>
  <c r="BA309" i="3"/>
  <c r="AZ309" i="3"/>
  <c r="BL309" i="3"/>
  <c r="G310" i="3"/>
  <c r="BA311" i="3"/>
  <c r="G319" i="3"/>
  <c r="BL320" i="3"/>
  <c r="G321" i="3"/>
  <c r="BL322" i="3"/>
  <c r="BA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BA376" i="3"/>
  <c r="BL376" i="3"/>
  <c r="G377" i="3"/>
  <c r="BA378" i="3"/>
  <c r="AZ378" i="3"/>
  <c r="BL378" i="3"/>
  <c r="G379" i="3"/>
  <c r="BA380" i="3"/>
  <c r="G388" i="3"/>
  <c r="BL389" i="3"/>
  <c r="G390" i="3"/>
  <c r="BL391" i="3"/>
  <c r="BA393" i="3"/>
  <c r="BA394" i="3"/>
  <c r="AZ394" i="3"/>
  <c r="BL394" i="3"/>
  <c r="G113" i="3"/>
  <c r="BA115" i="3"/>
  <c r="AZ115" i="3"/>
  <c r="BL116" i="3"/>
  <c r="G117" i="3"/>
  <c r="BA119" i="3"/>
  <c r="BL120" i="3"/>
  <c r="G121" i="3"/>
  <c r="BA123" i="3"/>
  <c r="BL124" i="3"/>
  <c r="G125" i="3"/>
  <c r="BA127" i="3"/>
  <c r="BL128" i="3"/>
  <c r="AZ128" i="3"/>
  <c r="G129" i="3"/>
  <c r="BA131" i="3"/>
  <c r="BL132" i="3"/>
  <c r="AZ132" i="3"/>
  <c r="G133" i="3"/>
  <c r="BA135" i="3"/>
  <c r="AZ135" i="3"/>
  <c r="BL136" i="3"/>
  <c r="G137" i="3"/>
  <c r="BA139" i="3"/>
  <c r="BL140" i="3"/>
  <c r="G141" i="3"/>
  <c r="BA143" i="3"/>
  <c r="BL144" i="3"/>
  <c r="G145" i="3"/>
  <c r="BA147" i="3"/>
  <c r="BL148" i="3"/>
  <c r="AZ148" i="3"/>
  <c r="G149" i="3"/>
  <c r="BA151" i="3"/>
  <c r="BL152" i="3"/>
  <c r="G153" i="3"/>
  <c r="BA155" i="3"/>
  <c r="BL156" i="3"/>
  <c r="AZ156" i="3"/>
  <c r="G157" i="3"/>
  <c r="BA159" i="3"/>
  <c r="AZ159" i="3"/>
  <c r="BL160" i="3"/>
  <c r="G161" i="3"/>
  <c r="BA163" i="3"/>
  <c r="AZ163" i="3"/>
  <c r="BL164" i="3"/>
  <c r="G165" i="3"/>
  <c r="BA167" i="3"/>
  <c r="BL168" i="3"/>
  <c r="AZ168" i="3"/>
  <c r="G169" i="3"/>
  <c r="BA171" i="3"/>
  <c r="BL172" i="3"/>
  <c r="G173" i="3"/>
  <c r="BA175" i="3"/>
  <c r="AZ175" i="3"/>
  <c r="BL176" i="3"/>
  <c r="G177" i="3"/>
  <c r="BA179" i="3"/>
  <c r="BL180" i="3"/>
  <c r="G181" i="3"/>
  <c r="BA183" i="3"/>
  <c r="AZ183" i="3"/>
  <c r="BL184" i="3"/>
  <c r="G185" i="3"/>
  <c r="BA187" i="3"/>
  <c r="BL188" i="3"/>
  <c r="AZ188" i="3"/>
  <c r="G189" i="3"/>
  <c r="BA191" i="3"/>
  <c r="BL192" i="3"/>
  <c r="G193" i="3"/>
  <c r="BA195" i="3"/>
  <c r="AZ195" i="3"/>
  <c r="BL196" i="3"/>
  <c r="G197" i="3"/>
  <c r="BA199" i="3"/>
  <c r="BL200" i="3"/>
  <c r="G201" i="3"/>
  <c r="BA203" i="3"/>
  <c r="AZ203" i="3"/>
  <c r="BL204" i="3"/>
  <c r="AZ204" i="3"/>
  <c r="AZ120" i="3"/>
  <c r="G534" i="3"/>
  <c r="G530" i="3"/>
  <c r="G522" i="3"/>
  <c r="G516" i="3"/>
  <c r="G512" i="3"/>
  <c r="G506" i="3"/>
  <c r="G498" i="3"/>
  <c r="G494" i="3"/>
  <c r="G16" i="3"/>
  <c r="G15" i="3"/>
  <c r="BA304" i="3"/>
  <c r="BA305" i="3"/>
  <c r="AZ305" i="3"/>
  <c r="BL305" i="3"/>
  <c r="G306" i="3"/>
  <c r="G309" i="3"/>
  <c r="BL310" i="3"/>
  <c r="BA312" i="3"/>
  <c r="BA313" i="3"/>
  <c r="AZ313" i="3"/>
  <c r="BL313" i="3"/>
  <c r="G314" i="3"/>
  <c r="G317" i="3"/>
  <c r="BL318" i="3"/>
  <c r="BA320" i="3"/>
  <c r="AZ320" i="3"/>
  <c r="BA321" i="3"/>
  <c r="BL321" i="3"/>
  <c r="G322" i="3"/>
  <c r="G325" i="3"/>
  <c r="BL326" i="3"/>
  <c r="BA328" i="3"/>
  <c r="BA329" i="3"/>
  <c r="BL329" i="3"/>
  <c r="G330" i="3"/>
  <c r="G333" i="3"/>
  <c r="BL334" i="3"/>
  <c r="BA336" i="3"/>
  <c r="AZ336" i="3"/>
  <c r="BA337" i="3"/>
  <c r="BL337" i="3"/>
  <c r="G338" i="3"/>
  <c r="G341" i="3"/>
  <c r="BA342" i="3"/>
  <c r="AZ342" i="3"/>
  <c r="BL342" i="3"/>
  <c r="BA344" i="3"/>
  <c r="BL344" i="3"/>
  <c r="AZ344" i="3"/>
  <c r="BA346" i="3"/>
  <c r="BA347" i="3"/>
  <c r="BL347" i="3"/>
  <c r="G350" i="3"/>
  <c r="BA351" i="3"/>
  <c r="BL351" i="3"/>
  <c r="AZ351" i="3"/>
  <c r="G352" i="3"/>
  <c r="G354" i="3"/>
  <c r="BA355" i="3"/>
  <c r="AZ355" i="3"/>
  <c r="BA356" i="3"/>
  <c r="BL356" i="3"/>
  <c r="AZ356" i="3"/>
  <c r="G357" i="3"/>
  <c r="G360" i="3"/>
  <c r="BL361" i="3"/>
  <c r="BA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AZ390" i="3"/>
  <c r="G391" i="3"/>
  <c r="G394" i="3"/>
  <c r="AZ186" i="3"/>
  <c r="AZ500" i="3"/>
  <c r="BA16" i="3"/>
  <c r="AZ16" i="3"/>
  <c r="BL303" i="3"/>
  <c r="AZ303" i="3"/>
  <c r="G304" i="3"/>
  <c r="BA306" i="3"/>
  <c r="BL307" i="3"/>
  <c r="AZ307" i="3"/>
  <c r="G308" i="3"/>
  <c r="BA310" i="3"/>
  <c r="AZ310" i="3"/>
  <c r="BL311" i="3"/>
  <c r="AZ311" i="3"/>
  <c r="G312" i="3"/>
  <c r="BA314" i="3"/>
  <c r="AZ314" i="3"/>
  <c r="BL315" i="3"/>
  <c r="G316" i="3"/>
  <c r="BA318" i="3"/>
  <c r="BL319" i="3"/>
  <c r="AZ319" i="3"/>
  <c r="G320" i="3"/>
  <c r="BA322" i="3"/>
  <c r="AZ322" i="3"/>
  <c r="BL323" i="3"/>
  <c r="G324" i="3"/>
  <c r="BA326" i="3"/>
  <c r="AZ326" i="3"/>
  <c r="BL327" i="3"/>
  <c r="G328" i="3"/>
  <c r="BA330" i="3"/>
  <c r="BL331" i="3"/>
  <c r="AZ331" i="3"/>
  <c r="G332" i="3"/>
  <c r="BA334" i="3"/>
  <c r="AZ334" i="3"/>
  <c r="BL335" i="3"/>
  <c r="G336" i="3"/>
  <c r="BA338" i="3"/>
  <c r="BL339" i="3"/>
  <c r="G340" i="3"/>
  <c r="BL343" i="3"/>
  <c r="G344" i="3"/>
  <c r="G348" i="3"/>
  <c r="G355" i="3"/>
  <c r="AZ218" i="3"/>
  <c r="G342" i="3"/>
  <c r="BL345" i="3"/>
  <c r="AZ345" i="3"/>
  <c r="G346" i="3"/>
  <c r="BL349" i="3"/>
  <c r="BL352" i="3"/>
  <c r="G353" i="3"/>
  <c r="BA357" i="3"/>
  <c r="AZ357" i="3"/>
  <c r="BL358" i="3"/>
  <c r="G359" i="3"/>
  <c r="BA361" i="3"/>
  <c r="AZ361" i="3"/>
  <c r="BL362" i="3"/>
  <c r="AZ362" i="3"/>
  <c r="G363" i="3"/>
  <c r="BA365" i="3"/>
  <c r="BL366" i="3"/>
  <c r="G367" i="3"/>
  <c r="BA369" i="3"/>
  <c r="AZ369" i="3"/>
  <c r="BL370" i="3"/>
  <c r="AZ370" i="3"/>
  <c r="G371" i="3"/>
  <c r="BA373" i="3"/>
  <c r="AZ373" i="3"/>
  <c r="BL374" i="3"/>
  <c r="G375" i="3"/>
  <c r="BA377" i="3"/>
  <c r="AZ377" i="3"/>
  <c r="AZ229" i="3"/>
  <c r="AZ233" i="3"/>
  <c r="AZ249" i="3"/>
  <c r="BA379" i="3"/>
  <c r="AZ379" i="3"/>
  <c r="BL380" i="3"/>
  <c r="G381" i="3"/>
  <c r="BA383" i="3"/>
  <c r="AZ383" i="3"/>
  <c r="BL384" i="3"/>
  <c r="G385" i="3"/>
  <c r="BA387" i="3"/>
  <c r="AZ387" i="3"/>
  <c r="BL388" i="3"/>
  <c r="G389" i="3"/>
  <c r="BA391" i="3"/>
  <c r="BL392" i="3"/>
  <c r="AZ392" i="3"/>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c r="F50" i="43"/>
  <c r="H54" i="43"/>
  <c r="F72" i="43"/>
  <c r="H75" i="43"/>
  <c r="U17" i="39"/>
  <c r="S14" i="35"/>
  <c r="U35" i="21"/>
  <c r="AC35" i="21"/>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9" i="36"/>
  <c r="U29" i="36"/>
  <c r="H32" i="37"/>
  <c r="AB32" i="37"/>
  <c r="F96" i="37"/>
  <c r="G96" i="37"/>
  <c r="H96" i="37"/>
  <c r="I96" i="37"/>
  <c r="J96" i="37"/>
  <c r="K96" i="37"/>
  <c r="L96" i="37"/>
  <c r="M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86" i="3"/>
  <c r="C40" i="11"/>
  <c r="AZ227" i="3"/>
  <c r="AZ235" i="3"/>
  <c r="AZ251" i="3"/>
  <c r="AZ50" i="3"/>
  <c r="AZ77" i="3"/>
  <c r="AZ82" i="3"/>
  <c r="F23" i="39"/>
  <c r="AA23" i="39"/>
  <c r="H27" i="36"/>
  <c r="U27" i="36"/>
  <c r="F27" i="36"/>
  <c r="AA27" i="36"/>
  <c r="H33" i="34"/>
  <c r="U33" i="34"/>
  <c r="F32" i="37"/>
  <c r="AA32" i="37"/>
  <c r="F20" i="36"/>
  <c r="AA20" i="36"/>
  <c r="J33" i="34"/>
  <c r="AC33" i="34"/>
  <c r="H23" i="39"/>
  <c r="U23" i="39"/>
  <c r="D48" i="9"/>
  <c r="M52" i="9"/>
  <c r="K9" i="1"/>
  <c r="M9" i="1"/>
  <c r="D93" i="9"/>
  <c r="K6" i="1"/>
  <c r="AP6" i="1"/>
  <c r="G29" i="6"/>
  <c r="AC26" i="33"/>
  <c r="W26" i="33"/>
  <c r="W27" i="34"/>
  <c r="AC27" i="34"/>
  <c r="AB34" i="36"/>
  <c r="U34" i="36"/>
  <c r="AB33" i="36"/>
  <c r="U33" i="36"/>
  <c r="AC12" i="39"/>
  <c r="W12" i="39"/>
  <c r="W12" i="33"/>
  <c r="AC12" i="33"/>
  <c r="AA32" i="36"/>
  <c r="S32" i="36"/>
  <c r="BL14" i="3"/>
  <c r="U30" i="33"/>
  <c r="AC13" i="34"/>
  <c r="AA47" i="34"/>
  <c r="W28" i="37"/>
  <c r="S19" i="39"/>
  <c r="F12" i="33"/>
  <c r="H12" i="39"/>
  <c r="AB12" i="39"/>
  <c r="F39" i="40"/>
  <c r="S39" i="40"/>
  <c r="BA14" i="3"/>
  <c r="AZ14" i="3"/>
  <c r="AZ367" i="3"/>
  <c r="AZ157" i="3"/>
  <c r="B12" i="1"/>
  <c r="E12" i="1"/>
  <c r="B10" i="1"/>
  <c r="E10" i="1"/>
  <c r="K12" i="1"/>
  <c r="M12" i="1"/>
  <c r="S13" i="1"/>
  <c r="AR13" i="1"/>
  <c r="R13" i="1"/>
  <c r="J51" i="67"/>
  <c r="C42" i="1"/>
  <c r="C24" i="12"/>
  <c r="AA34" i="33"/>
  <c r="B41" i="1"/>
  <c r="F48" i="9"/>
  <c r="O52" i="9"/>
  <c r="AB37" i="40"/>
  <c r="S35" i="40"/>
  <c r="U35" i="40"/>
  <c r="AC36" i="40"/>
  <c r="W38" i="40"/>
  <c r="AA32" i="40"/>
  <c r="S17" i="40"/>
  <c r="S23" i="40"/>
  <c r="AC17" i="40"/>
  <c r="AC15" i="40"/>
  <c r="AA19" i="40"/>
  <c r="S28" i="40"/>
  <c r="U21" i="40"/>
  <c r="AB19" i="40"/>
  <c r="S43" i="39"/>
  <c r="S37" i="39"/>
  <c r="U35" i="39"/>
  <c r="F32" i="39"/>
  <c r="F106" i="39"/>
  <c r="G106" i="39"/>
  <c r="H106" i="39"/>
  <c r="I106" i="39"/>
  <c r="J106" i="39"/>
  <c r="K106" i="39"/>
  <c r="L106" i="39"/>
  <c r="M106" i="39"/>
  <c r="U25" i="39"/>
  <c r="AB27" i="39"/>
  <c r="U31" i="39"/>
  <c r="J21" i="39"/>
  <c r="W21" i="39"/>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G63" i="37"/>
  <c r="H63" i="37"/>
  <c r="I63" i="37"/>
  <c r="J63" i="37"/>
  <c r="K63" i="37"/>
  <c r="L63" i="37"/>
  <c r="M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G70" i="34"/>
  <c r="H70" i="34"/>
  <c r="I70" i="34"/>
  <c r="J70" i="34"/>
  <c r="K70" i="34"/>
  <c r="L70" i="34"/>
  <c r="M70" i="34"/>
  <c r="W42" i="33"/>
  <c r="AA35" i="33"/>
  <c r="S27" i="33"/>
  <c r="S32" i="33"/>
  <c r="AA29" i="33"/>
  <c r="AB29" i="33"/>
  <c r="W38" i="33"/>
  <c r="H41" i="33"/>
  <c r="U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AB27" i="33"/>
  <c r="F87" i="33"/>
  <c r="H25" i="33"/>
  <c r="U25" i="33"/>
  <c r="F25" i="33"/>
  <c r="J23" i="33"/>
  <c r="AC23" i="33"/>
  <c r="F85" i="33"/>
  <c r="H23" i="33"/>
  <c r="AB23" i="33"/>
  <c r="F81" i="33"/>
  <c r="F19" i="33"/>
  <c r="S19" i="33"/>
  <c r="W19" i="33"/>
  <c r="J17" i="33"/>
  <c r="AC17" i="33"/>
  <c r="F79" i="33"/>
  <c r="G79" i="33"/>
  <c r="S15" i="33"/>
  <c r="W15" i="33"/>
  <c r="J10" i="33"/>
  <c r="W10" i="33"/>
  <c r="H10" i="33"/>
  <c r="U10" i="33"/>
  <c r="AC11" i="33"/>
  <c r="AB14" i="33"/>
  <c r="W36" i="21"/>
  <c r="W41" i="21"/>
  <c r="AB39" i="21"/>
  <c r="S39" i="21"/>
  <c r="AA38" i="21"/>
  <c r="AA36" i="21"/>
  <c r="AC40" i="21"/>
  <c r="J15" i="21"/>
  <c r="AC15" i="21"/>
  <c r="F77" i="21"/>
  <c r="G77" i="21"/>
  <c r="F23" i="21"/>
  <c r="AA23" i="21"/>
  <c r="E85" i="21"/>
  <c r="AA14" i="21"/>
  <c r="D120" i="9"/>
  <c r="D121" i="9"/>
  <c r="D7" i="52"/>
  <c r="F34" i="67"/>
  <c r="F62" i="67"/>
  <c r="M20" i="67"/>
  <c r="F34" i="15"/>
  <c r="F62" i="15"/>
  <c r="BA13" i="3"/>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G23" i="43"/>
  <c r="C23" i="43"/>
  <c r="A4" i="51"/>
  <c r="B6" i="72"/>
  <c r="C48" i="35"/>
  <c r="D48" i="35"/>
  <c r="L20" i="6"/>
  <c r="B6" i="1"/>
  <c r="E6" i="1"/>
  <c r="K11" i="1"/>
  <c r="M11" i="1"/>
  <c r="O11" i="1"/>
  <c r="B9" i="1"/>
  <c r="E9" i="1"/>
  <c r="K7" i="1"/>
  <c r="M7" i="1"/>
  <c r="O7" i="1"/>
  <c r="P7" i="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c r="K101" i="21"/>
  <c r="L101" i="21"/>
  <c r="M101" i="21"/>
  <c r="F33" i="21"/>
  <c r="AA33" i="21"/>
  <c r="J33" i="21"/>
  <c r="AC33" i="21"/>
  <c r="H33" i="21"/>
  <c r="AB33" i="21"/>
  <c r="F37" i="21"/>
  <c r="AA37" i="21"/>
  <c r="AB14" i="21"/>
  <c r="AB46" i="21"/>
  <c r="U40" i="21"/>
  <c r="AB31" i="21"/>
  <c r="U31" i="21"/>
  <c r="U13" i="21"/>
  <c r="AB13" i="21"/>
  <c r="S35" i="21"/>
  <c r="J37" i="21"/>
  <c r="W37" i="21"/>
  <c r="H15" i="21"/>
  <c r="U15" i="21"/>
  <c r="J17" i="21"/>
  <c r="AC17" i="21"/>
  <c r="W39" i="21"/>
  <c r="AC14" i="21"/>
  <c r="W30" i="21"/>
  <c r="S46" i="21"/>
  <c r="H45" i="21"/>
  <c r="U45" i="21"/>
  <c r="F29" i="21"/>
  <c r="AA29" i="21"/>
  <c r="F13" i="21"/>
  <c r="AA13" i="21"/>
  <c r="H32" i="21"/>
  <c r="AB32" i="21"/>
  <c r="H9" i="21"/>
  <c r="U9" i="21"/>
  <c r="J9" i="21"/>
  <c r="J32" i="21"/>
  <c r="W32" i="21"/>
  <c r="F32" i="21"/>
  <c r="AA32" i="21"/>
  <c r="AA31" i="21"/>
  <c r="U17" i="21"/>
  <c r="W29" i="21"/>
  <c r="S19" i="21"/>
  <c r="S9" i="21"/>
  <c r="AA9" i="21"/>
  <c r="K141" i="21"/>
  <c r="K144" i="21"/>
  <c r="K143" i="21"/>
  <c r="AB25" i="21"/>
  <c r="AB44" i="21"/>
  <c r="AA30" i="21"/>
  <c r="W13" i="21"/>
  <c r="AC45" i="21"/>
  <c r="F10" i="21"/>
  <c r="AA10" i="21"/>
  <c r="K145" i="21"/>
  <c r="W25" i="21"/>
  <c r="W31" i="21"/>
  <c r="S17" i="21"/>
  <c r="AA15" i="21"/>
  <c r="AB29" i="21"/>
  <c r="S28" i="21"/>
  <c r="W30" i="40"/>
  <c r="C19" i="39"/>
  <c r="C15" i="40"/>
  <c r="C17" i="40"/>
  <c r="C23" i="40"/>
  <c r="C21" i="40"/>
  <c r="U30" i="40"/>
  <c r="B56" i="43"/>
  <c r="B67" i="43"/>
  <c r="B51" i="43"/>
  <c r="B54" i="43"/>
  <c r="B58" i="43"/>
  <c r="B62" i="43"/>
  <c r="B65" i="43"/>
  <c r="B69" i="43"/>
  <c r="D23" i="15"/>
  <c r="D22" i="15"/>
  <c r="E4" i="4"/>
  <c r="B5" i="62"/>
  <c r="B73" i="72"/>
  <c r="C4" i="4"/>
  <c r="AA39" i="40"/>
  <c r="S12" i="33"/>
  <c r="AA12" i="33"/>
  <c r="J32" i="39"/>
  <c r="W32" i="39"/>
  <c r="H32" i="39"/>
  <c r="AB32" i="39"/>
  <c r="AA32" i="39"/>
  <c r="S32" i="39"/>
  <c r="AB21" i="39"/>
  <c r="U21" i="39"/>
  <c r="AA21" i="39"/>
  <c r="S21" i="39"/>
  <c r="AC17" i="37"/>
  <c r="S17" i="37"/>
  <c r="J19" i="37"/>
  <c r="W19" i="37"/>
  <c r="G75" i="37"/>
  <c r="AA19" i="37"/>
  <c r="J23" i="37"/>
  <c r="W23" i="37"/>
  <c r="G79" i="37"/>
  <c r="J10" i="37"/>
  <c r="W10" i="37"/>
  <c r="H11" i="37"/>
  <c r="AB11" i="37"/>
  <c r="H11" i="34"/>
  <c r="U11" i="34"/>
  <c r="J10" i="34"/>
  <c r="AC10" i="34"/>
  <c r="AB41" i="33"/>
  <c r="W35" i="33"/>
  <c r="AC35" i="33"/>
  <c r="H111" i="33"/>
  <c r="I111" i="33"/>
  <c r="J111" i="33"/>
  <c r="K111" i="33"/>
  <c r="L111" i="33"/>
  <c r="M111" i="33"/>
  <c r="J36" i="33"/>
  <c r="W36" i="33"/>
  <c r="H36" i="33"/>
  <c r="U36" i="33"/>
  <c r="AC32" i="33"/>
  <c r="W32" i="33"/>
  <c r="U27" i="33"/>
  <c r="G91" i="33"/>
  <c r="H91" i="33"/>
  <c r="I91" i="33"/>
  <c r="J91" i="33"/>
  <c r="K91" i="33"/>
  <c r="L91" i="33"/>
  <c r="M91" i="33"/>
  <c r="J27" i="33"/>
  <c r="W27" i="33"/>
  <c r="AB25" i="33"/>
  <c r="S25" i="33"/>
  <c r="AA25" i="33"/>
  <c r="G87" i="33"/>
  <c r="H87" i="33"/>
  <c r="I87" i="33"/>
  <c r="J87" i="33"/>
  <c r="K87" i="33"/>
  <c r="L87" i="33"/>
  <c r="M87" i="33"/>
  <c r="J25" i="33"/>
  <c r="AC25" i="33"/>
  <c r="U23" i="33"/>
  <c r="F23" i="33"/>
  <c r="G85" i="33"/>
  <c r="H19" i="33"/>
  <c r="AB19" i="33"/>
  <c r="G81" i="33"/>
  <c r="H17" i="33"/>
  <c r="U17" i="33"/>
  <c r="F17" i="33"/>
  <c r="S17" i="33"/>
  <c r="W17" i="33"/>
  <c r="J23" i="21"/>
  <c r="AC23" i="21"/>
  <c r="F85" i="21"/>
  <c r="G85" i="21"/>
  <c r="H23" i="21"/>
  <c r="U23" i="21"/>
  <c r="S13" i="21"/>
  <c r="AP7" i="1"/>
  <c r="AB45" i="21"/>
  <c r="AB9" i="21"/>
  <c r="W9" i="21"/>
  <c r="AC9" i="21"/>
  <c r="A18" i="62"/>
  <c r="B64" i="72"/>
  <c r="U32" i="39"/>
  <c r="AC32" i="39"/>
  <c r="J11" i="37"/>
  <c r="AC11" i="37"/>
  <c r="J11" i="34"/>
  <c r="W11" i="34"/>
  <c r="W25" i="33"/>
  <c r="AA17" i="33"/>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F7" i="73"/>
  <c r="M6" i="67"/>
  <c r="M8" i="67"/>
  <c r="E2" i="69"/>
  <c r="F6" i="73"/>
  <c r="E2" i="68"/>
  <c r="F13" i="67"/>
  <c r="D35" i="9"/>
  <c r="M26" i="67"/>
  <c r="M23" i="67"/>
  <c r="F36" i="67"/>
  <c r="M26" i="15"/>
  <c r="F7" i="67"/>
  <c r="B8" i="76"/>
  <c r="E8" i="76"/>
  <c r="E9" i="76"/>
  <c r="E12" i="76"/>
  <c r="B7" i="76"/>
  <c r="B11" i="76"/>
  <c r="F38" i="15"/>
  <c r="E10" i="76"/>
  <c r="F16" i="67"/>
  <c r="F13" i="15"/>
  <c r="F40" i="67"/>
  <c r="E13" i="76"/>
  <c r="L48" i="15"/>
  <c r="B10" i="76"/>
  <c r="L47" i="15"/>
  <c r="B13" i="76"/>
  <c r="M24" i="15"/>
  <c r="F3" i="73"/>
  <c r="AO13" i="1"/>
  <c r="F7" i="15"/>
  <c r="F5" i="73"/>
  <c r="F43" i="15"/>
  <c r="F36" i="15"/>
  <c r="F42" i="67"/>
  <c r="C76" i="67"/>
  <c r="F4" i="73"/>
  <c r="F43" i="67"/>
  <c r="J15" i="67"/>
  <c r="E7" i="76"/>
  <c r="B9" i="76"/>
  <c r="B12" i="76"/>
  <c r="F26" i="67"/>
  <c r="D34" i="9"/>
  <c r="M29" i="67"/>
  <c r="F20" i="31"/>
  <c r="E11" i="76"/>
  <c r="D6" i="73"/>
  <c r="M6" i="15"/>
  <c r="F8" i="15"/>
  <c r="J15" i="15"/>
  <c r="F9" i="67"/>
  <c r="G13" i="3"/>
  <c r="H43" i="21"/>
  <c r="AB43" i="21"/>
  <c r="H42" i="21"/>
  <c r="U42" i="21"/>
  <c r="AA26" i="21"/>
  <c r="J42" i="21"/>
  <c r="AC42" i="21"/>
  <c r="F42" i="21"/>
  <c r="AA42" i="21"/>
  <c r="C40" i="69"/>
  <c r="AB23" i="21"/>
  <c r="W23" i="21"/>
  <c r="W21" i="21"/>
  <c r="AC19" i="21"/>
  <c r="AB15" i="21"/>
  <c r="AA43" i="21"/>
  <c r="W43" i="21"/>
  <c r="AC34" i="21"/>
  <c r="S42" i="21"/>
  <c r="D52" i="43"/>
  <c r="D51" i="43"/>
  <c r="D56" i="43"/>
  <c r="AC26" i="21"/>
  <c r="S37" i="21"/>
  <c r="U38" i="21"/>
  <c r="AC38" i="21"/>
  <c r="AB36" i="21"/>
  <c r="U32" i="21"/>
  <c r="S32" i="21"/>
  <c r="M18" i="67"/>
  <c r="F30" i="69"/>
  <c r="F48" i="69"/>
  <c r="F30" i="11"/>
  <c r="C48" i="11"/>
  <c r="F54" i="9"/>
  <c r="M18" i="15"/>
  <c r="F31" i="12"/>
  <c r="D68" i="9"/>
  <c r="F28" i="15"/>
  <c r="C28" i="15"/>
  <c r="F32" i="67"/>
  <c r="F60" i="67"/>
  <c r="F28" i="67"/>
  <c r="F32" i="15"/>
  <c r="F60" i="15"/>
  <c r="F52" i="9"/>
  <c r="F30" i="68"/>
  <c r="F48" i="68"/>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c r="BL586" i="3"/>
  <c r="AZ586" i="3"/>
  <c r="F28" i="34"/>
  <c r="J28" i="34"/>
  <c r="H12" i="35"/>
  <c r="J23" i="35"/>
  <c r="H23" i="35"/>
  <c r="AA40" i="39"/>
  <c r="S40" i="39"/>
  <c r="W31" i="35"/>
  <c r="AC31" i="35"/>
  <c r="AB33" i="33"/>
  <c r="U33" i="33"/>
  <c r="J9" i="33"/>
  <c r="H9" i="33"/>
  <c r="H45" i="39"/>
  <c r="J45" i="39"/>
  <c r="W45" i="39"/>
  <c r="BA551" i="3"/>
  <c r="AZ551" i="3"/>
  <c r="BA550" i="3"/>
  <c r="AZ550" i="3"/>
  <c r="BL548" i="3"/>
  <c r="AZ515" i="3"/>
  <c r="AZ569" i="3"/>
  <c r="AZ571" i="3"/>
  <c r="AZ579" i="3"/>
  <c r="AZ516" i="3"/>
  <c r="AZ524" i="3"/>
  <c r="AC11" i="35"/>
  <c r="B101" i="43"/>
  <c r="B79" i="43"/>
  <c r="F9" i="33"/>
  <c r="AA9" i="33"/>
  <c r="AA35" i="34"/>
  <c r="S35" i="34"/>
  <c r="AB31" i="35"/>
  <c r="J9" i="36"/>
  <c r="F23" i="36"/>
  <c r="F38" i="40"/>
  <c r="H38" i="40"/>
  <c r="G556" i="3"/>
  <c r="AZ413" i="3"/>
  <c r="AZ405" i="3"/>
  <c r="AZ407" i="3"/>
  <c r="AZ419" i="3"/>
  <c r="AZ422" i="3"/>
  <c r="AZ448" i="3"/>
  <c r="AZ458" i="3"/>
  <c r="AZ462" i="3"/>
  <c r="G399" i="3"/>
  <c r="BL400" i="3"/>
  <c r="AZ400" i="3"/>
  <c r="BL408" i="3"/>
  <c r="BL411" i="3"/>
  <c r="BL413" i="3"/>
  <c r="G416" i="3"/>
  <c r="BL417" i="3"/>
  <c r="BL418" i="3"/>
  <c r="BL420" i="3"/>
  <c r="G423" i="3"/>
  <c r="BL424" i="3"/>
  <c r="G427" i="3"/>
  <c r="BL428" i="3"/>
  <c r="BL429" i="3"/>
  <c r="BL432" i="3"/>
  <c r="BL435" i="3"/>
  <c r="BL436" i="3"/>
  <c r="BA439" i="3"/>
  <c r="BA440" i="3"/>
  <c r="AZ440" i="3"/>
  <c r="BA442" i="3"/>
  <c r="BA445" i="3"/>
  <c r="BA447" i="3"/>
  <c r="AZ447" i="3"/>
  <c r="BA449" i="3"/>
  <c r="BL453" i="3"/>
  <c r="BL454" i="3"/>
  <c r="BL471" i="3"/>
  <c r="AZ487" i="3"/>
  <c r="U35" i="33"/>
  <c r="BL585" i="3"/>
  <c r="B75" i="43"/>
  <c r="H24" i="36"/>
  <c r="G558" i="3"/>
  <c r="BL398" i="3"/>
  <c r="G402" i="3"/>
  <c r="BL403" i="3"/>
  <c r="AZ403" i="3"/>
  <c r="G406" i="3"/>
  <c r="BA408" i="3"/>
  <c r="BA409" i="3"/>
  <c r="AZ409" i="3"/>
  <c r="BA411" i="3"/>
  <c r="AZ411" i="3"/>
  <c r="BL414" i="3"/>
  <c r="BL415" i="3"/>
  <c r="BA417" i="3"/>
  <c r="AZ417" i="3"/>
  <c r="BL421" i="3"/>
  <c r="BL422" i="3"/>
  <c r="BL425" i="3"/>
  <c r="BL426" i="3"/>
  <c r="BA428" i="3"/>
  <c r="AZ428" i="3"/>
  <c r="BA429" i="3"/>
  <c r="BA430" i="3"/>
  <c r="AZ430" i="3"/>
  <c r="BA432" i="3"/>
  <c r="AZ432" i="3"/>
  <c r="BA434" i="3"/>
  <c r="BA436" i="3"/>
  <c r="BA438" i="3"/>
  <c r="G442" i="3"/>
  <c r="G443" i="3"/>
  <c r="BA446" i="3"/>
  <c r="BA450" i="3"/>
  <c r="BA453" i="3"/>
  <c r="BA455" i="3"/>
  <c r="AZ455" i="3"/>
  <c r="BA463" i="3"/>
  <c r="BA465" i="3"/>
  <c r="AZ465" i="3"/>
  <c r="BA469" i="3"/>
  <c r="AZ469" i="3"/>
  <c r="BA478" i="3"/>
  <c r="BA488" i="3"/>
  <c r="AZ488" i="3"/>
  <c r="BL550" i="3"/>
  <c r="BL15" i="3"/>
  <c r="AZ15" i="3"/>
  <c r="BA398" i="3"/>
  <c r="BA399" i="3"/>
  <c r="AZ399" i="3"/>
  <c r="BL401" i="3"/>
  <c r="AZ401" i="3"/>
  <c r="BL404" i="3"/>
  <c r="AZ404" i="3"/>
  <c r="BL405" i="3"/>
  <c r="BL407" i="3"/>
  <c r="BA412" i="3"/>
  <c r="AZ412" i="3"/>
  <c r="BA414" i="3"/>
  <c r="AZ414" i="3"/>
  <c r="BA415" i="3"/>
  <c r="BA416" i="3"/>
  <c r="AZ416" i="3"/>
  <c r="BA418" i="3"/>
  <c r="BA421" i="3"/>
  <c r="AZ421" i="3"/>
  <c r="BA423" i="3"/>
  <c r="AZ423" i="3"/>
  <c r="BA425" i="3"/>
  <c r="AZ425" i="3"/>
  <c r="BA426" i="3"/>
  <c r="BA427" i="3"/>
  <c r="AZ427" i="3"/>
  <c r="BA433" i="3"/>
  <c r="AZ433" i="3"/>
  <c r="BA435" i="3"/>
  <c r="BL437" i="3"/>
  <c r="AZ437" i="3"/>
  <c r="G439" i="3"/>
  <c r="BL441" i="3"/>
  <c r="AZ441" i="3"/>
  <c r="BL442" i="3"/>
  <c r="BL444" i="3"/>
  <c r="AZ444" i="3"/>
  <c r="G446" i="3"/>
  <c r="BL448" i="3"/>
  <c r="G450" i="3"/>
  <c r="BA454" i="3"/>
  <c r="AZ454" i="3"/>
  <c r="G456" i="3"/>
  <c r="BL456" i="3"/>
  <c r="G467" i="3"/>
  <c r="BL467" i="3"/>
  <c r="BL468" i="3"/>
  <c r="AZ468" i="3"/>
  <c r="BL472" i="3"/>
  <c r="G473" i="3"/>
  <c r="BL473" i="3"/>
  <c r="AZ473" i="3"/>
  <c r="BL474" i="3"/>
  <c r="G475" i="3"/>
  <c r="BA477" i="3"/>
  <c r="G481" i="3"/>
  <c r="BA482" i="3"/>
  <c r="BA484" i="3"/>
  <c r="AZ484" i="3"/>
  <c r="G490" i="3"/>
  <c r="BA491" i="3"/>
  <c r="AZ491" i="3"/>
  <c r="AZ217" i="3"/>
  <c r="BL324" i="3"/>
  <c r="AZ324" i="3"/>
  <c r="BL328" i="3"/>
  <c r="AZ328" i="3"/>
  <c r="BA335" i="3"/>
  <c r="AZ335" i="3"/>
  <c r="BA339" i="3"/>
  <c r="AZ339" i="3"/>
  <c r="BA348" i="3"/>
  <c r="BA350" i="3"/>
  <c r="AZ350" i="3"/>
  <c r="BA354" i="3"/>
  <c r="BA366" i="3"/>
  <c r="AZ366" i="3"/>
  <c r="BL375" i="3"/>
  <c r="AZ375" i="3"/>
  <c r="BL385" i="3"/>
  <c r="BA397" i="3"/>
  <c r="BL397" i="3"/>
  <c r="BA210" i="3"/>
  <c r="BL210" i="3"/>
  <c r="BL212" i="3"/>
  <c r="BL214" i="3"/>
  <c r="AZ214" i="3"/>
  <c r="BL225" i="3"/>
  <c r="BL226" i="3"/>
  <c r="AZ226" i="3"/>
  <c r="BA239" i="3"/>
  <c r="BL239" i="3"/>
  <c r="BA241" i="3"/>
  <c r="BL241" i="3"/>
  <c r="BA244" i="3"/>
  <c r="BL244" i="3"/>
  <c r="BA246" i="3"/>
  <c r="BA252" i="3"/>
  <c r="AZ252" i="3"/>
  <c r="BA254" i="3"/>
  <c r="AZ254" i="3"/>
  <c r="BA256" i="3"/>
  <c r="BL256" i="3"/>
  <c r="BA258" i="3"/>
  <c r="BL264" i="3"/>
  <c r="BL266" i="3"/>
  <c r="BA268" i="3"/>
  <c r="BL273" i="3"/>
  <c r="BA277" i="3"/>
  <c r="BL277" i="3"/>
  <c r="BA282" i="3"/>
  <c r="BL282" i="3"/>
  <c r="BA284" i="3"/>
  <c r="BL290" i="3"/>
  <c r="BL291" i="3"/>
  <c r="AZ291" i="3"/>
  <c r="BL293" i="3"/>
  <c r="BL294" i="3"/>
  <c r="BA297" i="3"/>
  <c r="BL297" i="3"/>
  <c r="BL300" i="3"/>
  <c r="BA302" i="3"/>
  <c r="BA117" i="3"/>
  <c r="BA134" i="3"/>
  <c r="BL139" i="3"/>
  <c r="AZ139" i="3"/>
  <c r="G140" i="3"/>
  <c r="BL141" i="3"/>
  <c r="BL143" i="3"/>
  <c r="AZ143" i="3"/>
  <c r="D56" i="71"/>
  <c r="T56" i="71"/>
  <c r="BL457" i="3"/>
  <c r="BL460" i="3"/>
  <c r="BL461" i="3"/>
  <c r="BL463" i="3"/>
  <c r="BA471" i="3"/>
  <c r="BL317" i="3"/>
  <c r="BA349" i="3"/>
  <c r="AZ349" i="3"/>
  <c r="BA353" i="3"/>
  <c r="BL353" i="3"/>
  <c r="BA358" i="3"/>
  <c r="AZ358" i="3"/>
  <c r="BL365" i="3"/>
  <c r="AZ365" i="3"/>
  <c r="BA368" i="3"/>
  <c r="BL368" i="3"/>
  <c r="BA374" i="3"/>
  <c r="BA388" i="3"/>
  <c r="AZ388" i="3"/>
  <c r="BA396" i="3"/>
  <c r="BA209" i="3"/>
  <c r="BL217" i="3"/>
  <c r="BA219" i="3"/>
  <c r="AZ219" i="3"/>
  <c r="BA221" i="3"/>
  <c r="BA223" i="3"/>
  <c r="AZ223" i="3"/>
  <c r="BL228" i="3"/>
  <c r="AZ228" i="3"/>
  <c r="BA230" i="3"/>
  <c r="AZ230" i="3"/>
  <c r="BL232" i="3"/>
  <c r="BL234" i="3"/>
  <c r="BA236" i="3"/>
  <c r="BA238" i="3"/>
  <c r="AZ238" i="3"/>
  <c r="BA243" i="3"/>
  <c r="AZ243" i="3"/>
  <c r="BL248" i="3"/>
  <c r="AZ248" i="3"/>
  <c r="BL250" i="3"/>
  <c r="AZ250" i="3"/>
  <c r="BA259" i="3"/>
  <c r="AZ259" i="3"/>
  <c r="BL261" i="3"/>
  <c r="BA263" i="3"/>
  <c r="AZ263" i="3"/>
  <c r="BA267" i="3"/>
  <c r="AZ267" i="3"/>
  <c r="BA269" i="3"/>
  <c r="AZ269" i="3"/>
  <c r="BA271" i="3"/>
  <c r="BL271" i="3"/>
  <c r="BA274" i="3"/>
  <c r="BL274" i="3"/>
  <c r="BA276" i="3"/>
  <c r="BA279" i="3"/>
  <c r="BA281" i="3"/>
  <c r="BL286" i="3"/>
  <c r="AZ286" i="3"/>
  <c r="G291" i="3"/>
  <c r="BA296" i="3"/>
  <c r="BA116" i="3"/>
  <c r="AZ116" i="3"/>
  <c r="BA121" i="3"/>
  <c r="AZ121" i="3"/>
  <c r="BL121" i="3"/>
  <c r="BA124" i="3"/>
  <c r="BA126" i="3"/>
  <c r="AZ126" i="3"/>
  <c r="BA146" i="3"/>
  <c r="AZ146" i="3"/>
  <c r="BA457" i="3"/>
  <c r="AZ457" i="3"/>
  <c r="BA459" i="3"/>
  <c r="AZ459" i="3"/>
  <c r="BA460" i="3"/>
  <c r="BA461" i="3"/>
  <c r="BL464" i="3"/>
  <c r="AZ464" i="3"/>
  <c r="BL466" i="3"/>
  <c r="AZ466" i="3"/>
  <c r="G468" i="3"/>
  <c r="G469" i="3"/>
  <c r="BL476" i="3"/>
  <c r="AZ476" i="3"/>
  <c r="BL477" i="3"/>
  <c r="BL478" i="3"/>
  <c r="G479" i="3"/>
  <c r="G480" i="3"/>
  <c r="BL480" i="3"/>
  <c r="AZ480" i="3"/>
  <c r="G482" i="3"/>
  <c r="BA483" i="3"/>
  <c r="BL483" i="3"/>
  <c r="AZ483" i="3"/>
  <c r="BA486" i="3"/>
  <c r="BL489" i="3"/>
  <c r="BL491" i="3"/>
  <c r="BL492" i="3"/>
  <c r="G307" i="3"/>
  <c r="BA315" i="3"/>
  <c r="AZ315" i="3"/>
  <c r="BA333" i="3"/>
  <c r="BL346" i="3"/>
  <c r="AZ346" i="3"/>
  <c r="G349" i="3"/>
  <c r="G374" i="3"/>
  <c r="BA384" i="3"/>
  <c r="AZ384" i="3"/>
  <c r="BA395" i="3"/>
  <c r="AZ395" i="3"/>
  <c r="BA208" i="3"/>
  <c r="AZ208" i="3"/>
  <c r="BA211" i="3"/>
  <c r="AZ211" i="3"/>
  <c r="BL213" i="3"/>
  <c r="BL215" i="3"/>
  <c r="BA222" i="3"/>
  <c r="AZ222" i="3"/>
  <c r="BA224" i="3"/>
  <c r="AZ224" i="3"/>
  <c r="BA226" i="3"/>
  <c r="BA237" i="3"/>
  <c r="AZ237" i="3"/>
  <c r="BL240" i="3"/>
  <c r="AZ240" i="3"/>
  <c r="BA242" i="3"/>
  <c r="AZ242" i="3"/>
  <c r="BL245" i="3"/>
  <c r="AZ245" i="3"/>
  <c r="G247" i="3"/>
  <c r="BL255" i="3"/>
  <c r="AZ255" i="3"/>
  <c r="G257" i="3"/>
  <c r="BL257" i="3"/>
  <c r="AZ257" i="3"/>
  <c r="BL258" i="3"/>
  <c r="G259" i="3"/>
  <c r="BA262" i="3"/>
  <c r="AZ262" i="3"/>
  <c r="G265" i="3"/>
  <c r="BL265" i="3"/>
  <c r="AZ265" i="3"/>
  <c r="G267" i="3"/>
  <c r="G269" i="3"/>
  <c r="BA273" i="3"/>
  <c r="BA278" i="3"/>
  <c r="AZ278" i="3"/>
  <c r="BA280" i="3"/>
  <c r="AZ280" i="3"/>
  <c r="G283" i="3"/>
  <c r="BL283" i="3"/>
  <c r="AZ283" i="3"/>
  <c r="BL284" i="3"/>
  <c r="G285" i="3"/>
  <c r="G288" i="3"/>
  <c r="BL292" i="3"/>
  <c r="BA294" i="3"/>
  <c r="AZ294" i="3"/>
  <c r="BL295" i="3"/>
  <c r="BA298" i="3"/>
  <c r="AZ298" i="3"/>
  <c r="BL301" i="3"/>
  <c r="AZ301" i="3"/>
  <c r="BL302" i="3"/>
  <c r="BA114" i="3"/>
  <c r="BL123" i="3"/>
  <c r="BL127" i="3"/>
  <c r="G128" i="3"/>
  <c r="BA129" i="3"/>
  <c r="BL133" i="3"/>
  <c r="AZ133" i="3"/>
  <c r="BL134" i="3"/>
  <c r="G150" i="3"/>
  <c r="BA130" i="3"/>
  <c r="AZ130" i="3"/>
  <c r="BL130" i="3"/>
  <c r="BA137" i="3"/>
  <c r="AZ137" i="3"/>
  <c r="BL138" i="3"/>
  <c r="BA140" i="3"/>
  <c r="AZ140" i="3"/>
  <c r="BA142" i="3"/>
  <c r="BL149" i="3"/>
  <c r="AZ149" i="3"/>
  <c r="BL150" i="3"/>
  <c r="AZ150" i="3"/>
  <c r="G151" i="3"/>
  <c r="BA152" i="3"/>
  <c r="AZ152" i="3"/>
  <c r="BA154" i="3"/>
  <c r="AZ154" i="3"/>
  <c r="BA160" i="3"/>
  <c r="AZ160" i="3"/>
  <c r="G162" i="3"/>
  <c r="BL162" i="3"/>
  <c r="AZ162" i="3"/>
  <c r="BL165" i="3"/>
  <c r="G166" i="3"/>
  <c r="BL170" i="3"/>
  <c r="G171" i="3"/>
  <c r="BA173" i="3"/>
  <c r="AZ173" i="3"/>
  <c r="BA174" i="3"/>
  <c r="BL179" i="3"/>
  <c r="AZ179" i="3"/>
  <c r="G180" i="3"/>
  <c r="BA181" i="3"/>
  <c r="AZ181" i="3"/>
  <c r="BA182" i="3"/>
  <c r="AZ182" i="3"/>
  <c r="BL185" i="3"/>
  <c r="AZ185" i="3"/>
  <c r="G186" i="3"/>
  <c r="G187" i="3"/>
  <c r="BL193" i="3"/>
  <c r="G194" i="3"/>
  <c r="BL194" i="3"/>
  <c r="AZ194" i="3"/>
  <c r="BA198" i="3"/>
  <c r="AZ198" i="3"/>
  <c r="G199" i="3"/>
  <c r="G204" i="3"/>
  <c r="G205" i="3"/>
  <c r="BL206" i="3"/>
  <c r="BA19" i="3"/>
  <c r="AZ19" i="3"/>
  <c r="G22" i="3"/>
  <c r="G24" i="3"/>
  <c r="G25" i="3"/>
  <c r="G27" i="3"/>
  <c r="BA27" i="3"/>
  <c r="G30" i="3"/>
  <c r="BL30" i="3"/>
  <c r="BL31" i="3"/>
  <c r="G35" i="3"/>
  <c r="G36" i="3"/>
  <c r="G37" i="3"/>
  <c r="G40" i="3"/>
  <c r="BL40" i="3"/>
  <c r="BL41" i="3"/>
  <c r="G45" i="3"/>
  <c r="BL45" i="3"/>
  <c r="BA48" i="3"/>
  <c r="BA49" i="3"/>
  <c r="AZ49" i="3"/>
  <c r="BA51" i="3"/>
  <c r="AZ51" i="3"/>
  <c r="G54" i="3"/>
  <c r="G55" i="3"/>
  <c r="BL56" i="3"/>
  <c r="BA58" i="3"/>
  <c r="AZ58" i="3"/>
  <c r="BL59" i="3"/>
  <c r="BL60" i="3"/>
  <c r="AZ60" i="3"/>
  <c r="BA61" i="3"/>
  <c r="BA68" i="3"/>
  <c r="BA73" i="3"/>
  <c r="BA79" i="3"/>
  <c r="AZ79" i="3"/>
  <c r="G82" i="3"/>
  <c r="G83" i="3"/>
  <c r="BA84" i="3"/>
  <c r="BL88" i="3"/>
  <c r="AZ88" i="3"/>
  <c r="G90" i="3"/>
  <c r="BL90" i="3"/>
  <c r="G98" i="3"/>
  <c r="G99" i="3"/>
  <c r="BA105" i="3"/>
  <c r="BA111" i="3"/>
  <c r="AA21" i="33"/>
  <c r="S21" i="33"/>
  <c r="AA21" i="37"/>
  <c r="S21" i="37"/>
  <c r="B88" i="43"/>
  <c r="AA21" i="34"/>
  <c r="D55" i="71"/>
  <c r="P65" i="71"/>
  <c r="P66" i="71"/>
  <c r="Y26" i="71"/>
  <c r="Z26" i="71"/>
  <c r="C28" i="71"/>
  <c r="Y28" i="71"/>
  <c r="Z28" i="71"/>
  <c r="Y25" i="71"/>
  <c r="Z25" i="71"/>
  <c r="Y35" i="71"/>
  <c r="Z35" i="71"/>
  <c r="Y37" i="71"/>
  <c r="Z37" i="71"/>
  <c r="X36" i="71"/>
  <c r="X35" i="71"/>
  <c r="X38" i="71"/>
  <c r="C47" i="71"/>
  <c r="D47" i="71"/>
  <c r="D46" i="71"/>
  <c r="AB26" i="71"/>
  <c r="BA45" i="3"/>
  <c r="AZ45" i="3"/>
  <c r="AZ100" i="3"/>
  <c r="D63" i="71"/>
  <c r="D67" i="71"/>
  <c r="C66" i="71"/>
  <c r="O67" i="71"/>
  <c r="Y27" i="71"/>
  <c r="Z27" i="71"/>
  <c r="AB32" i="71"/>
  <c r="AA34" i="71"/>
  <c r="AA30" i="71"/>
  <c r="AA37" i="71"/>
  <c r="C51" i="71"/>
  <c r="C60" i="71"/>
  <c r="D59" i="71"/>
  <c r="N67" i="71"/>
  <c r="B66" i="71"/>
  <c r="T80" i="71"/>
  <c r="C79" i="71"/>
  <c r="BL167" i="3"/>
  <c r="AZ167" i="3"/>
  <c r="BL178" i="3"/>
  <c r="BA180" i="3"/>
  <c r="AZ180" i="3"/>
  <c r="BL182" i="3"/>
  <c r="BA185" i="3"/>
  <c r="BL191" i="3"/>
  <c r="AZ191" i="3"/>
  <c r="BA193" i="3"/>
  <c r="BA196" i="3"/>
  <c r="AZ196" i="3"/>
  <c r="G203" i="3"/>
  <c r="BA205" i="3"/>
  <c r="AZ205" i="3"/>
  <c r="G20" i="3"/>
  <c r="BL20" i="3"/>
  <c r="BA21" i="3"/>
  <c r="AZ21" i="3"/>
  <c r="BA25" i="3"/>
  <c r="BA26" i="3"/>
  <c r="G28" i="3"/>
  <c r="BL28" i="3"/>
  <c r="BA29" i="3"/>
  <c r="AZ29" i="3"/>
  <c r="BA36" i="3"/>
  <c r="BL38" i="3"/>
  <c r="AZ38" i="3"/>
  <c r="BA39" i="3"/>
  <c r="AZ39" i="3"/>
  <c r="BL47" i="3"/>
  <c r="AZ47" i="3"/>
  <c r="G49" i="3"/>
  <c r="G50" i="3"/>
  <c r="G52" i="3"/>
  <c r="BA52" i="3"/>
  <c r="AZ52" i="3"/>
  <c r="BA53" i="3"/>
  <c r="AZ53" i="3"/>
  <c r="BA54" i="3"/>
  <c r="BL57" i="3"/>
  <c r="AZ57" i="3"/>
  <c r="G59" i="3"/>
  <c r="G62" i="3"/>
  <c r="BL62" i="3"/>
  <c r="AZ62" i="3"/>
  <c r="BL63" i="3"/>
  <c r="AZ63" i="3"/>
  <c r="G65" i="3"/>
  <c r="BL65" i="3"/>
  <c r="AZ65" i="3"/>
  <c r="BL66" i="3"/>
  <c r="AZ66" i="3"/>
  <c r="BL67" i="3"/>
  <c r="AZ67" i="3"/>
  <c r="G69" i="3"/>
  <c r="G70" i="3"/>
  <c r="BL70" i="3"/>
  <c r="AZ70" i="3"/>
  <c r="BL71" i="3"/>
  <c r="AZ71" i="3"/>
  <c r="BL72" i="3"/>
  <c r="AZ72" i="3"/>
  <c r="G74" i="3"/>
  <c r="G75" i="3"/>
  <c r="BL75" i="3"/>
  <c r="BL91" i="3"/>
  <c r="BL100" i="3"/>
  <c r="BL105" i="3"/>
  <c r="BL107" i="3"/>
  <c r="G112" i="3"/>
  <c r="BL112" i="3"/>
  <c r="F40" i="68"/>
  <c r="C21" i="68"/>
  <c r="AC29" i="39"/>
  <c r="W29" i="39"/>
  <c r="P27" i="6"/>
  <c r="F34" i="71"/>
  <c r="F35" i="71"/>
  <c r="F36" i="71"/>
  <c r="V36" i="71"/>
  <c r="AB33" i="71"/>
  <c r="T72" i="71"/>
  <c r="C71" i="71"/>
  <c r="U76" i="71"/>
  <c r="E75" i="71"/>
  <c r="E74" i="71"/>
  <c r="BL126" i="3"/>
  <c r="BA144" i="3"/>
  <c r="AZ144" i="3"/>
  <c r="BA153" i="3"/>
  <c r="BL155" i="3"/>
  <c r="AZ155" i="3"/>
  <c r="BA164" i="3"/>
  <c r="AZ164" i="3"/>
  <c r="BA166" i="3"/>
  <c r="AZ166" i="3"/>
  <c r="BA169" i="3"/>
  <c r="AZ169" i="3"/>
  <c r="BL171" i="3"/>
  <c r="AZ171" i="3"/>
  <c r="BA176" i="3"/>
  <c r="AZ176" i="3"/>
  <c r="BA178" i="3"/>
  <c r="BA184" i="3"/>
  <c r="AZ184" i="3"/>
  <c r="BL187" i="3"/>
  <c r="AZ187" i="3"/>
  <c r="BL189" i="3"/>
  <c r="AZ189" i="3"/>
  <c r="BL190" i="3"/>
  <c r="AZ190" i="3"/>
  <c r="BA192" i="3"/>
  <c r="AZ192" i="3"/>
  <c r="BL197" i="3"/>
  <c r="AZ197" i="3"/>
  <c r="BL199" i="3"/>
  <c r="AZ199" i="3"/>
  <c r="BA200" i="3"/>
  <c r="AZ200" i="3"/>
  <c r="BA202" i="3"/>
  <c r="BL207" i="3"/>
  <c r="AZ207" i="3"/>
  <c r="BL18" i="3"/>
  <c r="BL19" i="3"/>
  <c r="BA20" i="3"/>
  <c r="AZ20" i="3"/>
  <c r="BL25" i="3"/>
  <c r="BL27" i="3"/>
  <c r="BA28" i="3"/>
  <c r="BA31" i="3"/>
  <c r="AZ31" i="3"/>
  <c r="BA32" i="3"/>
  <c r="BA38" i="3"/>
  <c r="BA41" i="3"/>
  <c r="AZ41" i="3"/>
  <c r="BA42" i="3"/>
  <c r="BL48" i="3"/>
  <c r="AZ48" i="3"/>
  <c r="BL54" i="3"/>
  <c r="BL55" i="3"/>
  <c r="AZ55" i="3"/>
  <c r="BA59" i="3"/>
  <c r="AZ59" i="3"/>
  <c r="BL61" i="3"/>
  <c r="BA64" i="3"/>
  <c r="AZ64" i="3"/>
  <c r="BL68" i="3"/>
  <c r="BA69" i="3"/>
  <c r="AZ69" i="3"/>
  <c r="BL73" i="3"/>
  <c r="AZ73" i="3"/>
  <c r="BA74" i="3"/>
  <c r="AZ74" i="3"/>
  <c r="BA78" i="3"/>
  <c r="BA80" i="3"/>
  <c r="BL84" i="3"/>
  <c r="BA89" i="3"/>
  <c r="BL94" i="3"/>
  <c r="AZ94" i="3"/>
  <c r="BL99" i="3"/>
  <c r="BL110" i="3"/>
  <c r="C40" i="68"/>
  <c r="AB29" i="39"/>
  <c r="U29" i="39"/>
  <c r="AA25" i="40"/>
  <c r="S25" i="40"/>
  <c r="E28" i="71"/>
  <c r="AA27" i="71"/>
  <c r="AA28" i="71"/>
  <c r="D38" i="71"/>
  <c r="C39" i="71"/>
  <c r="C31" i="71"/>
  <c r="Y30" i="71"/>
  <c r="Z30" i="71"/>
  <c r="AA38" i="71"/>
  <c r="AA39" i="71"/>
  <c r="D84" i="71"/>
  <c r="C83" i="71"/>
  <c r="BA75" i="3"/>
  <c r="G81" i="3"/>
  <c r="G85" i="3"/>
  <c r="BL85" i="3"/>
  <c r="BA86" i="3"/>
  <c r="AZ86" i="3"/>
  <c r="BA87" i="3"/>
  <c r="BA91" i="3"/>
  <c r="G96" i="3"/>
  <c r="BL97" i="3"/>
  <c r="AZ97" i="3"/>
  <c r="BL101" i="3"/>
  <c r="AZ101" i="3"/>
  <c r="BL102" i="3"/>
  <c r="AZ102" i="3"/>
  <c r="G104" i="3"/>
  <c r="G105" i="3"/>
  <c r="BL106" i="3"/>
  <c r="BA108" i="3"/>
  <c r="AZ108" i="3"/>
  <c r="BA110" i="3"/>
  <c r="AZ110" i="3"/>
  <c r="F3" i="35"/>
  <c r="B77" i="43"/>
  <c r="AA18" i="35"/>
  <c r="AB27" i="71"/>
  <c r="E79" i="71"/>
  <c r="E78" i="71"/>
  <c r="AB25" i="71"/>
  <c r="C43" i="71"/>
  <c r="C35" i="71"/>
  <c r="N68" i="71"/>
  <c r="E38" i="71"/>
  <c r="E39" i="71"/>
  <c r="E40" i="71"/>
  <c r="U40" i="71"/>
  <c r="B34" i="71"/>
  <c r="B35" i="71"/>
  <c r="B36" i="71"/>
  <c r="S36" i="71"/>
  <c r="X33" i="71"/>
  <c r="AB37" i="71"/>
  <c r="BA103" i="3"/>
  <c r="AZ103" i="3"/>
  <c r="BA104" i="3"/>
  <c r="BA106" i="3"/>
  <c r="AZ106" i="3"/>
  <c r="BL108" i="3"/>
  <c r="G110" i="3"/>
  <c r="BL111" i="3"/>
  <c r="C5" i="68"/>
  <c r="S28" i="71"/>
  <c r="X28" i="71"/>
  <c r="X32" i="71"/>
  <c r="F40" i="71"/>
  <c r="V40" i="71"/>
  <c r="AB38" i="71"/>
  <c r="F75" i="71"/>
  <c r="F74" i="71"/>
  <c r="E23" i="71"/>
  <c r="E22" i="71"/>
  <c r="E21" i="71"/>
  <c r="E20" i="71"/>
  <c r="E35" i="71"/>
  <c r="E36" i="71"/>
  <c r="U36" i="71"/>
  <c r="AB31" i="71"/>
  <c r="AA36" i="71"/>
  <c r="B47" i="71"/>
  <c r="B48" i="71"/>
  <c r="S48" i="71"/>
  <c r="F9" i="1"/>
  <c r="G9" i="1"/>
  <c r="F10" i="1"/>
  <c r="G10" i="1"/>
  <c r="F8" i="1"/>
  <c r="G8" i="1"/>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F30"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c r="G31" i="6"/>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5" i="3"/>
  <c r="AZ485" i="3"/>
  <c r="BL486" i="3"/>
  <c r="G487" i="3"/>
  <c r="BA492" i="3"/>
  <c r="AZ492" i="3"/>
  <c r="BL363" i="3"/>
  <c r="AZ363" i="3"/>
  <c r="G369" i="3"/>
  <c r="BL393" i="3"/>
  <c r="AZ393" i="3"/>
  <c r="BL396" i="3"/>
  <c r="AZ396" i="3"/>
  <c r="BL209" i="3"/>
  <c r="AZ209" i="3"/>
  <c r="G240" i="3"/>
  <c r="G242" i="3"/>
  <c r="G245" i="3"/>
  <c r="BL246" i="3"/>
  <c r="AZ246" i="3"/>
  <c r="BL253" i="3"/>
  <c r="AZ253" i="3"/>
  <c r="BA261" i="3"/>
  <c r="AZ261" i="3"/>
  <c r="BA264" i="3"/>
  <c r="AZ264" i="3"/>
  <c r="BA266" i="3"/>
  <c r="AZ266" i="3"/>
  <c r="G272" i="3"/>
  <c r="G275" i="3"/>
  <c r="BL276" i="3"/>
  <c r="BL279" i="3"/>
  <c r="AZ279" i="3"/>
  <c r="BL281" i="3"/>
  <c r="AZ281" i="3"/>
  <c r="BA285" i="3"/>
  <c r="AZ285" i="3"/>
  <c r="BA287" i="3"/>
  <c r="AZ287" i="3"/>
  <c r="AZ290" i="3"/>
  <c r="AZ134" i="3"/>
  <c r="BA289" i="3"/>
  <c r="AZ289" i="3"/>
  <c r="G293" i="3"/>
  <c r="G296" i="3"/>
  <c r="BL296" i="3"/>
  <c r="AZ296" i="3"/>
  <c r="G301" i="3"/>
  <c r="G114" i="3"/>
  <c r="BL114" i="3"/>
  <c r="AZ114" i="3"/>
  <c r="BL117" i="3"/>
  <c r="AZ117" i="3"/>
  <c r="G118" i="3"/>
  <c r="BL119" i="3"/>
  <c r="AZ119" i="3"/>
  <c r="G120" i="3"/>
  <c r="G124" i="3"/>
  <c r="BL129" i="3"/>
  <c r="BL131" i="3"/>
  <c r="AZ131" i="3"/>
  <c r="G132" i="3"/>
  <c r="G139" i="3"/>
  <c r="G142" i="3"/>
  <c r="BL142" i="3"/>
  <c r="AZ142" i="3"/>
  <c r="BL153" i="3"/>
  <c r="AZ153" i="3"/>
  <c r="BA158" i="3"/>
  <c r="AZ158" i="3"/>
  <c r="BA161" i="3"/>
  <c r="AZ161" i="3"/>
  <c r="BA172" i="3"/>
  <c r="AZ172" i="3"/>
  <c r="AZ18" i="3"/>
  <c r="BL288" i="3"/>
  <c r="AZ288" i="3"/>
  <c r="BA292" i="3"/>
  <c r="AZ292" i="3"/>
  <c r="BA295" i="3"/>
  <c r="G298" i="3"/>
  <c r="BA299" i="3"/>
  <c r="AZ299" i="3"/>
  <c r="BA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93" i="3"/>
  <c r="AZ87" i="3"/>
  <c r="BL202" i="3"/>
  <c r="AZ202" i="3"/>
  <c r="AZ30" i="3"/>
  <c r="BL36" i="3"/>
  <c r="AZ36" i="3"/>
  <c r="AZ40" i="3"/>
  <c r="AZ68" i="3"/>
  <c r="AZ104" i="3"/>
  <c r="G200" i="3"/>
  <c r="G207" i="3"/>
  <c r="BA23" i="3"/>
  <c r="AZ23" i="3"/>
  <c r="BA24" i="3"/>
  <c r="AZ24" i="3"/>
  <c r="BL26" i="3"/>
  <c r="AZ26" i="3"/>
  <c r="BL32" i="3"/>
  <c r="BA34" i="3"/>
  <c r="AZ34" i="3"/>
  <c r="BA35" i="3"/>
  <c r="AZ35" i="3"/>
  <c r="BL37" i="3"/>
  <c r="AZ37" i="3"/>
  <c r="BL42" i="3"/>
  <c r="AZ42" i="3"/>
  <c r="BA44" i="3"/>
  <c r="AZ44" i="3"/>
  <c r="AZ56" i="3"/>
  <c r="BA206" i="3"/>
  <c r="AZ206" i="3"/>
  <c r="BL22" i="3"/>
  <c r="AZ22" i="3"/>
  <c r="BL33" i="3"/>
  <c r="AZ33" i="3"/>
  <c r="BL43" i="3"/>
  <c r="AZ43" i="3"/>
  <c r="BL46" i="3"/>
  <c r="AZ46" i="3"/>
  <c r="AZ54" i="3"/>
  <c r="AZ90" i="3"/>
  <c r="AZ92" i="3"/>
  <c r="BL78" i="3"/>
  <c r="AZ78" i="3"/>
  <c r="BA83" i="3"/>
  <c r="AZ83" i="3"/>
  <c r="G91" i="3"/>
  <c r="BL95" i="3"/>
  <c r="AZ95" i="3"/>
  <c r="BL98" i="3"/>
  <c r="AZ98" i="3"/>
  <c r="BL109" i="3"/>
  <c r="AZ109" i="3"/>
  <c r="AB21" i="21"/>
  <c r="G77" i="3"/>
  <c r="BA81" i="3"/>
  <c r="AZ81" i="3"/>
  <c r="BA85" i="3"/>
  <c r="BL89" i="3"/>
  <c r="AZ89" i="3"/>
  <c r="G94" i="3"/>
  <c r="G97" i="3"/>
  <c r="G100" i="3"/>
  <c r="BA107" i="3"/>
  <c r="AZ107" i="3"/>
  <c r="BA112" i="3"/>
  <c r="AZ112" i="3"/>
  <c r="AC21" i="34"/>
  <c r="E27" i="71"/>
  <c r="E26" i="71"/>
  <c r="V28" i="71"/>
  <c r="BA76" i="3"/>
  <c r="AZ76" i="3"/>
  <c r="BL80" i="3"/>
  <c r="AZ80" i="3"/>
  <c r="BL87" i="3"/>
  <c r="BA93" i="3"/>
  <c r="AZ93" i="3"/>
  <c r="BA96" i="3"/>
  <c r="AZ96" i="3"/>
  <c r="BA99" i="3"/>
  <c r="AZ99" i="3"/>
  <c r="BL104"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G6" i="1"/>
  <c r="I24" i="43"/>
  <c r="C24" i="43"/>
  <c r="H67" i="43"/>
  <c r="H50" i="43"/>
  <c r="C28" i="67"/>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H26" i="43"/>
  <c r="E29" i="6"/>
  <c r="K15" i="1"/>
  <c r="E28" i="6"/>
  <c r="K14" i="1"/>
  <c r="L19" i="6"/>
  <c r="L27" i="6"/>
  <c r="M6" i="1"/>
  <c r="O6" i="1"/>
  <c r="T13" i="1"/>
  <c r="C58" i="21"/>
  <c r="D58" i="21"/>
  <c r="C58" i="33"/>
  <c r="C59" i="34"/>
  <c r="D59" i="34"/>
  <c r="E59" i="34"/>
  <c r="F59" i="34"/>
  <c r="G59" i="34"/>
  <c r="H59" i="34"/>
  <c r="I59" i="34"/>
  <c r="J59" i="34"/>
  <c r="K59" i="34"/>
  <c r="L59" i="34"/>
  <c r="M59" i="34"/>
  <c r="N59" i="34"/>
  <c r="O59" i="34"/>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Q16" i="1"/>
  <c r="F27" i="69"/>
  <c r="E8" i="6"/>
  <c r="F27" i="6"/>
  <c r="E12" i="6"/>
  <c r="E57" i="40"/>
  <c r="E15" i="6"/>
  <c r="E64" i="39"/>
  <c r="E11" i="6"/>
  <c r="E60" i="39"/>
  <c r="E10" i="6"/>
  <c r="E13" i="6"/>
  <c r="H16" i="1"/>
  <c r="P11" i="1"/>
  <c r="D9" i="11"/>
  <c r="C9" i="11"/>
  <c r="D19" i="12"/>
  <c r="C19" i="12"/>
  <c r="AZ13" i="3"/>
  <c r="O9" i="1"/>
  <c r="P9" i="1"/>
  <c r="O12" i="1"/>
  <c r="P12" i="1"/>
  <c r="O8" i="1"/>
  <c r="P8" i="1"/>
  <c r="H73" i="43"/>
  <c r="H90" i="43"/>
  <c r="O23" i="43"/>
  <c r="I18" i="43"/>
  <c r="E17" i="43"/>
  <c r="C17" i="43"/>
  <c r="G26" i="43"/>
  <c r="A1" i="79"/>
  <c r="H55" i="43"/>
  <c r="H86" i="43"/>
  <c r="H87" i="43"/>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K120" i="9"/>
  <c r="Y16" i="71"/>
  <c r="Z16" i="71"/>
  <c r="Y15" i="71"/>
  <c r="Z15" i="71"/>
  <c r="AA16" i="71"/>
  <c r="AB3" i="71"/>
  <c r="B16" i="71"/>
  <c r="X16" i="71"/>
  <c r="AB16" i="71"/>
  <c r="Y3" i="71"/>
  <c r="Z3" i="71"/>
  <c r="F16" i="71"/>
  <c r="F15" i="71"/>
  <c r="F14" i="71"/>
  <c r="F13" i="71"/>
  <c r="F12" i="71"/>
  <c r="F11" i="71"/>
  <c r="F10" i="71"/>
  <c r="F9" i="71"/>
  <c r="F8" i="71"/>
  <c r="F7" i="71"/>
  <c r="F6" i="71"/>
  <c r="F5" i="71"/>
  <c r="AF3" i="71"/>
  <c r="P26" i="43"/>
  <c r="J53" i="15"/>
  <c r="L56" i="15"/>
  <c r="J57" i="15"/>
  <c r="J55" i="15"/>
  <c r="J58" i="15"/>
  <c r="Q50" i="15"/>
  <c r="I54" i="15"/>
  <c r="B20" i="31"/>
  <c r="B21" i="31"/>
  <c r="I1" i="73"/>
  <c r="B39" i="1"/>
  <c r="M7" i="15"/>
  <c r="F50" i="15"/>
  <c r="F51" i="15"/>
  <c r="F71" i="15"/>
  <c r="L59" i="15"/>
  <c r="N59" i="15"/>
  <c r="L58" i="15"/>
  <c r="M59" i="15"/>
  <c r="F66" i="15"/>
  <c r="Q71" i="67"/>
  <c r="F64" i="15"/>
  <c r="C27" i="67"/>
  <c r="F71" i="67"/>
  <c r="B13" i="70"/>
  <c r="M7" i="67"/>
  <c r="F50" i="67"/>
  <c r="F68" i="67"/>
  <c r="F64" i="67"/>
  <c r="C36" i="68"/>
  <c r="D9" i="69"/>
  <c r="C36" i="69"/>
  <c r="D9" i="68"/>
  <c r="D3" i="73"/>
  <c r="C16" i="67"/>
  <c r="F37" i="15"/>
  <c r="F37" i="67"/>
  <c r="M28" i="67"/>
  <c r="F16" i="15"/>
  <c r="D5" i="73"/>
  <c r="M22" i="67"/>
  <c r="F8" i="67"/>
  <c r="C76" i="15"/>
  <c r="M28" i="15"/>
  <c r="M23" i="15"/>
  <c r="M22" i="15"/>
  <c r="M29" i="15"/>
  <c r="F40" i="15"/>
  <c r="F42" i="15"/>
  <c r="D4" i="73"/>
  <c r="F6" i="15"/>
  <c r="M24" i="67"/>
  <c r="M9" i="15"/>
  <c r="F26" i="15"/>
  <c r="L48" i="67"/>
  <c r="L47" i="67"/>
  <c r="M8" i="15"/>
  <c r="D7" i="73"/>
  <c r="M9" i="67"/>
  <c r="F9" i="15"/>
  <c r="F38" i="67"/>
  <c r="E59" i="40"/>
  <c r="U43" i="21"/>
  <c r="AB42" i="21"/>
  <c r="W42" i="21"/>
  <c r="P6" i="1"/>
  <c r="C13" i="12"/>
  <c r="K16" i="1"/>
  <c r="N94" i="46"/>
  <c r="J26" i="43"/>
  <c r="N370" i="46"/>
  <c r="F26" i="43"/>
  <c r="E26" i="43"/>
  <c r="F66" i="67"/>
  <c r="L58" i="67"/>
  <c r="Q60" i="67"/>
  <c r="M59" i="67"/>
  <c r="N59" i="67"/>
  <c r="L59" i="67"/>
  <c r="Q61" i="67"/>
  <c r="L56" i="67"/>
  <c r="I54" i="67"/>
  <c r="J53" i="67"/>
  <c r="F1" i="67"/>
  <c r="J57" i="67"/>
  <c r="J55" i="67"/>
  <c r="J58" i="67"/>
  <c r="Q50" i="67"/>
  <c r="C6" i="15"/>
  <c r="C32" i="15"/>
  <c r="F31" i="15"/>
  <c r="F65" i="67"/>
  <c r="Q71" i="15"/>
  <c r="C27" i="15"/>
  <c r="F51" i="67"/>
  <c r="C49" i="67"/>
  <c r="C32" i="67"/>
  <c r="F68" i="15"/>
  <c r="F65" i="15"/>
  <c r="AZ85" i="3"/>
  <c r="AZ75" i="3"/>
  <c r="AZ27" i="3"/>
  <c r="T60" i="71"/>
  <c r="D60" i="71"/>
  <c r="O65" i="71"/>
  <c r="O66" i="71"/>
  <c r="D66" i="71"/>
  <c r="D28" i="71"/>
  <c r="U28" i="7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c r="C36" i="71"/>
  <c r="D35" i="71"/>
  <c r="C82" i="71"/>
  <c r="D82" i="71"/>
  <c r="D83" i="71"/>
  <c r="AZ25" i="3"/>
  <c r="N65" i="71"/>
  <c r="N66" i="71"/>
  <c r="C52" i="71"/>
  <c r="D51" i="71"/>
  <c r="AB24" i="36"/>
  <c r="U24" i="36"/>
  <c r="AA23" i="36"/>
  <c r="S23" i="36"/>
  <c r="AB9" i="33"/>
  <c r="U9" i="33"/>
  <c r="U23" i="35"/>
  <c r="AB23" i="35"/>
  <c r="AA28" i="34"/>
  <c r="S28" i="34"/>
  <c r="U39" i="40"/>
  <c r="AB39" i="40"/>
  <c r="AC23" i="36"/>
  <c r="W23" i="36"/>
  <c r="J6" i="15"/>
  <c r="J18" i="15"/>
  <c r="G5" i="3"/>
  <c r="B3" i="3"/>
  <c r="E510" i="3"/>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c r="C78" i="71"/>
  <c r="D78" i="71"/>
  <c r="D79" i="71"/>
  <c r="AZ111" i="3"/>
  <c r="AZ273" i="3"/>
  <c r="AZ461" i="3"/>
  <c r="AZ471" i="3"/>
  <c r="AZ297" i="3"/>
  <c r="AZ256" i="3"/>
  <c r="AZ435" i="3"/>
  <c r="AZ408" i="3"/>
  <c r="AB38" i="40"/>
  <c r="U38" i="40"/>
  <c r="U12" i="35"/>
  <c r="AB12" i="35"/>
  <c r="G16" i="1"/>
  <c r="F10" i="39"/>
  <c r="AA10" i="39"/>
  <c r="J7" i="37"/>
  <c r="W7" i="37"/>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c r="K26" i="6"/>
  <c r="M26" i="6"/>
  <c r="I26" i="6"/>
  <c r="S26" i="6"/>
  <c r="C19" i="71"/>
  <c r="T20" i="71"/>
  <c r="D20" i="71"/>
  <c r="U20" i="71"/>
  <c r="AZ5" i="3"/>
  <c r="AY6" i="3"/>
  <c r="E240" i="3"/>
  <c r="E487" i="3"/>
  <c r="E219" i="3"/>
  <c r="W40" i="40"/>
  <c r="AC40" i="40"/>
  <c r="AC12" i="21"/>
  <c r="W12" i="21"/>
  <c r="AB12" i="21"/>
  <c r="U12" i="21"/>
  <c r="AA27" i="34"/>
  <c r="S27" i="34"/>
  <c r="AC26" i="37"/>
  <c r="W26" i="37"/>
  <c r="BL5" i="3"/>
  <c r="B15" i="71"/>
  <c r="B14" i="71"/>
  <c r="B13" i="71"/>
  <c r="B12" i="71"/>
  <c r="S16" i="71"/>
  <c r="F7" i="36"/>
  <c r="AA7" i="36"/>
  <c r="H7" i="36"/>
  <c r="AB7" i="36"/>
  <c r="T36" i="36"/>
  <c r="G36" i="36"/>
  <c r="E94" i="3"/>
  <c r="E131" i="3"/>
  <c r="E142" i="3"/>
  <c r="E118" i="3"/>
  <c r="E369" i="3"/>
  <c r="E248" i="3"/>
  <c r="AA9" i="36"/>
  <c r="S9" i="36"/>
  <c r="AA34" i="35"/>
  <c r="S34" i="35"/>
  <c r="E15" i="71"/>
  <c r="E14" i="71"/>
  <c r="E13" i="71"/>
  <c r="E12" i="71"/>
  <c r="V16" i="71"/>
  <c r="E139" i="3"/>
  <c r="E378" i="3"/>
  <c r="S40" i="40"/>
  <c r="AA40" i="40"/>
  <c r="AC34" i="35"/>
  <c r="W34" i="35"/>
  <c r="E61" i="43"/>
  <c r="B59" i="43"/>
  <c r="C28" i="43"/>
  <c r="B116" i="43"/>
  <c r="Z7" i="43"/>
  <c r="E30" i="6"/>
  <c r="E56" i="39"/>
  <c r="H7" i="34"/>
  <c r="AB7" i="34"/>
  <c r="T49" i="34"/>
  <c r="G49" i="34"/>
  <c r="E67" i="39"/>
  <c r="E69" i="39"/>
  <c r="J7" i="34"/>
  <c r="W7" i="34"/>
  <c r="F7" i="34"/>
  <c r="S7" i="34"/>
  <c r="AA26" i="35"/>
  <c r="S26" i="35"/>
  <c r="AC26" i="35"/>
  <c r="W26" i="35"/>
  <c r="AB26" i="35"/>
  <c r="U26" i="35"/>
  <c r="E61" i="39"/>
  <c r="E56" i="40"/>
  <c r="C47" i="69"/>
  <c r="D45" i="69"/>
  <c r="C9" i="69"/>
  <c r="C9" i="68"/>
  <c r="E72" i="43"/>
  <c r="B70" i="43"/>
  <c r="C29" i="69"/>
  <c r="D27" i="69"/>
  <c r="F45" i="69"/>
  <c r="F27" i="11"/>
  <c r="C29" i="11"/>
  <c r="D27" i="11"/>
  <c r="F28" i="12"/>
  <c r="C29" i="12"/>
  <c r="D28" i="12"/>
  <c r="E60" i="40"/>
  <c r="F31" i="6"/>
  <c r="E51" i="40"/>
  <c r="E16" i="6"/>
  <c r="E58" i="40"/>
  <c r="E62" i="39"/>
  <c r="M14" i="1"/>
  <c r="D5" i="43"/>
  <c r="C7" i="43"/>
  <c r="C5" i="43"/>
  <c r="D10" i="52"/>
  <c r="D125" i="9"/>
  <c r="D11" i="52"/>
  <c r="B7" i="74"/>
  <c r="C7" i="74"/>
  <c r="F67" i="39"/>
  <c r="H7" i="37"/>
  <c r="AB7" i="37"/>
  <c r="T42" i="37"/>
  <c r="G42" i="37"/>
  <c r="H7" i="33"/>
  <c r="J7" i="33"/>
  <c r="D65" i="40"/>
  <c r="E63" i="40"/>
  <c r="F48" i="35"/>
  <c r="S7" i="36"/>
  <c r="AC7" i="37"/>
  <c r="U7" i="36"/>
  <c r="F7" i="33"/>
  <c r="E58" i="21"/>
  <c r="AC7" i="36"/>
  <c r="V36" i="36"/>
  <c r="I36" i="36"/>
  <c r="W7" i="36"/>
  <c r="F7" i="37"/>
  <c r="M17" i="67"/>
  <c r="M17" i="15"/>
  <c r="F59" i="15"/>
  <c r="P28" i="43"/>
  <c r="B66" i="40"/>
  <c r="P25" i="43"/>
  <c r="P29" i="43"/>
  <c r="P27" i="43"/>
  <c r="B70" i="39"/>
  <c r="C49" i="15"/>
  <c r="M11" i="67"/>
  <c r="J10" i="67"/>
  <c r="F11" i="15"/>
  <c r="M11" i="15"/>
  <c r="J10" i="15"/>
  <c r="F11" i="67"/>
  <c r="F1" i="15"/>
  <c r="Q52" i="15"/>
  <c r="Q60" i="15"/>
  <c r="Q73" i="15"/>
  <c r="Q74" i="15"/>
  <c r="Q61" i="15"/>
  <c r="AE11" i="1"/>
  <c r="AE9" i="1"/>
  <c r="F27" i="68"/>
  <c r="AE7" i="1"/>
  <c r="AE8" i="1"/>
  <c r="AE12" i="1"/>
  <c r="AE10" i="1"/>
  <c r="G1" i="73"/>
  <c r="AE6" i="1"/>
  <c r="C16" i="15"/>
  <c r="D26" i="43"/>
  <c r="C25" i="43"/>
  <c r="F10" i="40"/>
  <c r="S10" i="40"/>
  <c r="S10" i="39"/>
  <c r="H10" i="40"/>
  <c r="AB10" i="40"/>
  <c r="H10" i="39"/>
  <c r="U10" i="39"/>
  <c r="J10" i="40"/>
  <c r="AC10" i="40"/>
  <c r="E3" i="6"/>
  <c r="F59" i="67"/>
  <c r="J10" i="39"/>
  <c r="W10" i="39"/>
  <c r="Q74" i="67"/>
  <c r="Q73" i="67"/>
  <c r="Q52" i="67"/>
  <c r="J5" i="67"/>
  <c r="J24" i="67"/>
  <c r="J5" i="15"/>
  <c r="J24" i="15"/>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c r="Y6" i="3"/>
  <c r="H6" i="3"/>
  <c r="E6" i="3"/>
  <c r="E198" i="3"/>
  <c r="E309" i="3"/>
  <c r="E63" i="3"/>
  <c r="E233" i="3"/>
  <c r="E67" i="3"/>
  <c r="E310" i="3"/>
  <c r="E267" i="3"/>
  <c r="E64" i="3"/>
  <c r="E409" i="3"/>
  <c r="E389" i="3"/>
  <c r="E241" i="3"/>
  <c r="E95" i="3"/>
  <c r="E417" i="3"/>
  <c r="E554" i="3"/>
  <c r="E449" i="3"/>
  <c r="E442" i="3"/>
  <c r="E575" i="3"/>
  <c r="E536" i="3"/>
  <c r="T40" i="71"/>
  <c r="D40" i="71"/>
  <c r="C26" i="71"/>
  <c r="D26" i="71"/>
  <c r="D27" i="71"/>
  <c r="D36" i="71"/>
  <c r="T36" i="71"/>
  <c r="R36" i="36"/>
  <c r="E475" i="3"/>
  <c r="E288" i="3"/>
  <c r="E532" i="3"/>
  <c r="E306" i="3"/>
  <c r="E122" i="3"/>
  <c r="E98" i="3"/>
  <c r="E167" i="3"/>
  <c r="E488"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AG11" i="1"/>
  <c r="AG9" i="1"/>
  <c r="AG10" i="1"/>
  <c r="AG8" i="1"/>
  <c r="AG12" i="1"/>
  <c r="AG7" i="1"/>
  <c r="AG6" i="1"/>
  <c r="C47" i="11"/>
  <c r="D45" i="11"/>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6" i="69"/>
  <c r="C7" i="69"/>
  <c r="C40" i="43"/>
  <c r="C37" i="43"/>
  <c r="C41" i="43"/>
  <c r="K21" i="6"/>
  <c r="S8" i="1"/>
  <c r="E8" i="70"/>
  <c r="F45" i="68"/>
  <c r="C47" i="68"/>
  <c r="D45" i="68"/>
  <c r="C29" i="68"/>
  <c r="D27" i="68"/>
  <c r="K25" i="6"/>
  <c r="K20" i="6"/>
  <c r="K23" i="6"/>
  <c r="K22" i="6"/>
  <c r="E31" i="6"/>
  <c r="K24" i="6"/>
  <c r="K19" i="6"/>
  <c r="S6" i="1"/>
  <c r="O14" i="1"/>
  <c r="O16"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C39" i="43"/>
  <c r="C42" i="43"/>
  <c r="E42" i="43"/>
  <c r="C38" i="43"/>
  <c r="AB10" i="39"/>
  <c r="AA10" i="40"/>
  <c r="U10" i="40"/>
  <c r="W10" i="40"/>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C53" i="67"/>
  <c r="C48" i="67"/>
  <c r="C53" i="15"/>
  <c r="C48" i="15"/>
  <c r="C66" i="15"/>
  <c r="C10" i="15"/>
  <c r="C5" i="15"/>
  <c r="C38" i="15"/>
  <c r="F41" i="67"/>
  <c r="M27" i="67"/>
  <c r="F41" i="15"/>
  <c r="M27" i="15"/>
  <c r="F69" i="67"/>
  <c r="AC10" i="39"/>
  <c r="F25" i="12"/>
  <c r="C26" i="12"/>
  <c r="D25" i="12"/>
  <c r="D116" i="43"/>
  <c r="F22" i="68"/>
  <c r="C23" i="68"/>
  <c r="F22" i="11"/>
  <c r="C23" i="11"/>
  <c r="F24" i="67"/>
  <c r="C24" i="67"/>
  <c r="F24" i="15"/>
  <c r="C24" i="15"/>
  <c r="F22" i="69"/>
  <c r="F41" i="69"/>
  <c r="E49" i="34"/>
  <c r="E53" i="34"/>
  <c r="F53" i="34"/>
  <c r="O36" i="43"/>
  <c r="Q36" i="43"/>
  <c r="N36" i="43"/>
  <c r="M36" i="43"/>
  <c r="P36" i="43"/>
  <c r="C17" i="71"/>
  <c r="D18" i="71"/>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7" i="12"/>
  <c r="C17" i="12"/>
  <c r="D10" i="11"/>
  <c r="C10" i="11"/>
  <c r="D20" i="12"/>
  <c r="C20" i="12"/>
  <c r="C18" i="12"/>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P14" i="1"/>
  <c r="P16" i="1"/>
  <c r="C11" i="12"/>
  <c r="N16" i="1"/>
  <c r="L16" i="1"/>
  <c r="G42" i="43"/>
  <c r="I42" i="43"/>
  <c r="H67" i="39"/>
  <c r="G69" i="39"/>
  <c r="E41" i="43"/>
  <c r="G41" i="43"/>
  <c r="I41" i="43"/>
  <c r="E37" i="43"/>
  <c r="G37" i="43"/>
  <c r="I37" i="43"/>
  <c r="G38" i="43"/>
  <c r="I38" i="43"/>
  <c r="E38" i="43"/>
  <c r="E40" i="43"/>
  <c r="G40" i="43"/>
  <c r="I40" i="43"/>
  <c r="E39" i="43"/>
  <c r="G39" i="43"/>
  <c r="I39" i="43"/>
  <c r="R49" i="33"/>
  <c r="E48" i="33"/>
  <c r="I53" i="33"/>
  <c r="J53" i="33"/>
  <c r="I52" i="33"/>
  <c r="J52" i="33"/>
  <c r="E40" i="36"/>
  <c r="F40" i="36"/>
  <c r="E41" i="36"/>
  <c r="F41" i="36"/>
  <c r="G52" i="33"/>
  <c r="H52" i="33"/>
  <c r="G53" i="33"/>
  <c r="H53" i="33"/>
  <c r="H48" i="35"/>
  <c r="C49" i="34"/>
  <c r="C50" i="34"/>
  <c r="I41" i="36"/>
  <c r="J41" i="36"/>
  <c r="R43" i="37"/>
  <c r="E42" i="37"/>
  <c r="G63" i="40"/>
  <c r="F65" i="40"/>
  <c r="C37" i="36"/>
  <c r="C36" i="36"/>
  <c r="G58" i="21"/>
  <c r="C60" i="15"/>
  <c r="C66" i="67"/>
  <c r="C60" i="67"/>
  <c r="D10" i="69"/>
  <c r="C34" i="69"/>
  <c r="D10" i="68"/>
  <c r="C14" i="67"/>
  <c r="C17" i="15"/>
  <c r="C17" i="67"/>
  <c r="I54" i="34"/>
  <c r="J54" i="34"/>
  <c r="E54" i="34"/>
  <c r="F54" i="34"/>
  <c r="C26" i="11"/>
  <c r="D22" i="11"/>
  <c r="C44" i="68"/>
  <c r="D41" i="68"/>
  <c r="C26" i="68"/>
  <c r="D22" i="68"/>
  <c r="F41" i="68"/>
  <c r="C44" i="11"/>
  <c r="D41" i="11"/>
  <c r="C25" i="11"/>
  <c r="C24" i="11"/>
  <c r="C44" i="69"/>
  <c r="D41" i="69"/>
  <c r="C26" i="69"/>
  <c r="D22" i="69"/>
  <c r="C16" i="71"/>
  <c r="D17" i="71"/>
  <c r="C18" i="67"/>
  <c r="C15" i="67"/>
  <c r="H23" i="6"/>
  <c r="R23" i="6"/>
  <c r="R10" i="1"/>
  <c r="C30" i="43"/>
  <c r="B2" i="43"/>
  <c r="B3" i="43"/>
  <c r="C31" i="43"/>
  <c r="H20" i="6"/>
  <c r="R20" i="6"/>
  <c r="R7" i="1"/>
  <c r="C38" i="69"/>
  <c r="C35" i="69"/>
  <c r="E12" i="70"/>
  <c r="F34" i="11"/>
  <c r="F11" i="12"/>
  <c r="S16" i="1"/>
  <c r="E9" i="70"/>
  <c r="E2" i="70"/>
  <c r="AR9" i="1"/>
  <c r="AQ9" i="1"/>
  <c r="T9" i="1"/>
  <c r="AQ11" i="1"/>
  <c r="AR11" i="1"/>
  <c r="T11" i="1"/>
  <c r="AR12" i="1"/>
  <c r="T12" i="1"/>
  <c r="AQ12" i="1"/>
  <c r="AQ10" i="1"/>
  <c r="T10" i="1"/>
  <c r="AR10" i="1"/>
  <c r="AR7" i="1"/>
  <c r="AQ7" i="1"/>
  <c r="T7" i="1"/>
  <c r="M27" i="6"/>
  <c r="I19" i="6"/>
  <c r="D16" i="6"/>
  <c r="R26" i="6"/>
  <c r="R24" i="6"/>
  <c r="R11" i="1"/>
  <c r="R22" i="6"/>
  <c r="R9" i="1"/>
  <c r="C15" i="12"/>
  <c r="C12" i="12"/>
  <c r="D27" i="6"/>
  <c r="D31" i="6"/>
  <c r="D8" i="74"/>
  <c r="D7" i="74"/>
  <c r="R21" i="6"/>
  <c r="R8" i="1"/>
  <c r="C10" i="69"/>
  <c r="C8" i="69"/>
  <c r="C5" i="69"/>
  <c r="D19" i="69"/>
  <c r="F50" i="69"/>
  <c r="F50" i="11"/>
  <c r="F50" i="68"/>
  <c r="C4" i="52"/>
  <c r="B45" i="72"/>
  <c r="A10" i="51"/>
  <c r="B9" i="72"/>
  <c r="A7" i="51"/>
  <c r="B7" i="72"/>
  <c r="R25" i="6"/>
  <c r="R12" i="1"/>
  <c r="C10" i="68"/>
  <c r="D19" i="68"/>
  <c r="H69" i="39"/>
  <c r="I67" i="39"/>
  <c r="G65" i="40"/>
  <c r="H63" i="40"/>
  <c r="C43" i="37"/>
  <c r="C42" i="37"/>
  <c r="I48" i="35"/>
  <c r="C48" i="33"/>
  <c r="C49" i="33"/>
  <c r="H58" i="21"/>
  <c r="E47" i="37"/>
  <c r="F47" i="37"/>
  <c r="E46" i="37"/>
  <c r="F46" i="37"/>
  <c r="I47" i="37"/>
  <c r="J47" i="37"/>
  <c r="E53" i="33"/>
  <c r="F53" i="33"/>
  <c r="E52" i="33"/>
  <c r="F52" i="33"/>
  <c r="C33" i="15"/>
  <c r="C33" i="67"/>
  <c r="J19" i="67"/>
  <c r="C34" i="68"/>
  <c r="C14" i="15"/>
  <c r="E6" i="76"/>
  <c r="B6" i="76"/>
  <c r="C22" i="11"/>
  <c r="C31" i="11"/>
  <c r="C15" i="71"/>
  <c r="T16" i="71"/>
  <c r="D16" i="71"/>
  <c r="U16" i="71"/>
  <c r="C19" i="67"/>
  <c r="C20" i="67"/>
  <c r="C26" i="67"/>
  <c r="T16" i="1"/>
  <c r="C18" i="15"/>
  <c r="C15" i="15"/>
  <c r="C38" i="68"/>
  <c r="C35" i="68"/>
  <c r="C36" i="11"/>
  <c r="C37" i="11"/>
  <c r="C34" i="11"/>
  <c r="C23" i="12"/>
  <c r="C14" i="12"/>
  <c r="C16" i="12"/>
  <c r="C21" i="12"/>
  <c r="C22" i="12"/>
  <c r="H19" i="6"/>
  <c r="S19" i="6"/>
  <c r="S27" i="6"/>
  <c r="I27" i="6"/>
  <c r="C19" i="68"/>
  <c r="D37" i="68"/>
  <c r="C37" i="68"/>
  <c r="C19" i="69"/>
  <c r="C24" i="69"/>
  <c r="D37" i="69"/>
  <c r="C37" i="69"/>
  <c r="C33" i="69"/>
  <c r="I5" i="6"/>
  <c r="I6" i="6"/>
  <c r="C23" i="69"/>
  <c r="E2" i="76"/>
  <c r="B2" i="76"/>
  <c r="I69" i="39"/>
  <c r="J67" i="39"/>
  <c r="I63" i="40"/>
  <c r="H65" i="40"/>
  <c r="I58" i="21"/>
  <c r="J58" i="21"/>
  <c r="K58" i="21"/>
  <c r="L58" i="21"/>
  <c r="M58" i="21"/>
  <c r="N58" i="21"/>
  <c r="O58" i="21"/>
  <c r="H7" i="21"/>
  <c r="J48" i="35"/>
  <c r="C14" i="71"/>
  <c r="D15" i="71"/>
  <c r="F7" i="21"/>
  <c r="S7" i="21"/>
  <c r="J7" i="21"/>
  <c r="AC7" i="21"/>
  <c r="C23" i="67"/>
  <c r="C29" i="67"/>
  <c r="J59" i="67"/>
  <c r="J60" i="67"/>
  <c r="Q48" i="67"/>
  <c r="C19" i="15"/>
  <c r="C20" i="15"/>
  <c r="C26" i="15"/>
  <c r="C33" i="68"/>
  <c r="C39" i="68"/>
  <c r="C30" i="12"/>
  <c r="C28" i="12"/>
  <c r="C38" i="11"/>
  <c r="C35" i="11"/>
  <c r="H27" i="6"/>
  <c r="R19" i="6"/>
  <c r="C27" i="12"/>
  <c r="C25" i="12"/>
  <c r="C20" i="69"/>
  <c r="C28" i="69"/>
  <c r="C27" i="69"/>
  <c r="C20" i="68"/>
  <c r="C28" i="68"/>
  <c r="C27" i="68"/>
  <c r="C24" i="68"/>
  <c r="C39" i="69"/>
  <c r="C43" i="69"/>
  <c r="C42" i="69"/>
  <c r="B3" i="76"/>
  <c r="J69" i="39"/>
  <c r="K67" i="39"/>
  <c r="U7" i="21"/>
  <c r="AB7" i="21"/>
  <c r="J63" i="40"/>
  <c r="I65" i="40"/>
  <c r="K48" i="35"/>
  <c r="L48" i="35"/>
  <c r="M48" i="35"/>
  <c r="N48" i="35"/>
  <c r="O48" i="35"/>
  <c r="H7" i="35"/>
  <c r="D14" i="71"/>
  <c r="C13" i="71"/>
  <c r="W7" i="21"/>
  <c r="AA7" i="21"/>
  <c r="J7" i="35"/>
  <c r="W7" i="35"/>
  <c r="Q49" i="67"/>
  <c r="J14" i="67"/>
  <c r="J13" i="67"/>
  <c r="J23" i="67"/>
  <c r="C36" i="67"/>
  <c r="C57" i="67"/>
  <c r="C64" i="67"/>
  <c r="C13" i="67"/>
  <c r="Q70" i="67"/>
  <c r="C33" i="11"/>
  <c r="C39" i="11"/>
  <c r="C61" i="67"/>
  <c r="C42" i="68"/>
  <c r="C32" i="12"/>
  <c r="B2" i="12"/>
  <c r="B3" i="12"/>
  <c r="C23" i="15"/>
  <c r="C29" i="15"/>
  <c r="C41" i="69"/>
  <c r="R27" i="6"/>
  <c r="R6" i="1"/>
  <c r="C46" i="69"/>
  <c r="C45" i="69"/>
  <c r="C25" i="69"/>
  <c r="C22" i="69"/>
  <c r="C31" i="69"/>
  <c r="C25" i="68"/>
  <c r="C22" i="68"/>
  <c r="C31" i="68"/>
  <c r="C46" i="68"/>
  <c r="C45" i="68"/>
  <c r="C43" i="68"/>
  <c r="L67" i="39"/>
  <c r="K69" i="39"/>
  <c r="J65" i="40"/>
  <c r="K63" i="40"/>
  <c r="U7" i="35"/>
  <c r="AB7" i="35"/>
  <c r="T38" i="35"/>
  <c r="G38" i="35"/>
  <c r="F7" i="35"/>
  <c r="F35" i="15"/>
  <c r="F35" i="67"/>
  <c r="M21" i="67"/>
  <c r="M21" i="15"/>
  <c r="AC7" i="35"/>
  <c r="V38" i="35"/>
  <c r="I38" i="35"/>
  <c r="G43" i="35"/>
  <c r="H43" i="35"/>
  <c r="C12" i="71"/>
  <c r="D13" i="71"/>
  <c r="C56" i="67"/>
  <c r="C65" i="67"/>
  <c r="J22" i="67"/>
  <c r="C37" i="67"/>
  <c r="C75" i="67"/>
  <c r="C36" i="15"/>
  <c r="J59" i="15"/>
  <c r="J60" i="15"/>
  <c r="Q48" i="15"/>
  <c r="C46" i="11"/>
  <c r="C45" i="11"/>
  <c r="C43" i="11"/>
  <c r="C42" i="11"/>
  <c r="C34" i="67"/>
  <c r="F63" i="67"/>
  <c r="C62" i="67"/>
  <c r="C59" i="67"/>
  <c r="J20" i="67"/>
  <c r="J17" i="67"/>
  <c r="J19" i="15"/>
  <c r="C41" i="68"/>
  <c r="C49" i="68"/>
  <c r="C51" i="68"/>
  <c r="C52" i="68"/>
  <c r="B2" i="68"/>
  <c r="B3" i="68"/>
  <c r="Q49" i="15"/>
  <c r="C57" i="15"/>
  <c r="J14" i="15"/>
  <c r="J13" i="15"/>
  <c r="J23" i="15"/>
  <c r="C13" i="15"/>
  <c r="Q70" i="15"/>
  <c r="F63" i="15"/>
  <c r="C62" i="15"/>
  <c r="C34" i="15"/>
  <c r="J20" i="15"/>
  <c r="R16" i="1"/>
  <c r="C49" i="69"/>
  <c r="C51" i="69"/>
  <c r="C52" i="69"/>
  <c r="B2" i="69"/>
  <c r="B3" i="69"/>
  <c r="L69" i="39"/>
  <c r="M67" i="39"/>
  <c r="S7" i="35"/>
  <c r="AA7" i="35"/>
  <c r="R38" i="35"/>
  <c r="G42" i="35"/>
  <c r="H42" i="35"/>
  <c r="K65" i="40"/>
  <c r="L63" i="40"/>
  <c r="I42" i="35"/>
  <c r="J42" i="35"/>
  <c r="C11" i="71"/>
  <c r="T12" i="71"/>
  <c r="D12" i="71"/>
  <c r="U12" i="71"/>
  <c r="C58" i="67"/>
  <c r="C67" i="67"/>
  <c r="C68" i="67"/>
  <c r="C71" i="67"/>
  <c r="J16" i="67"/>
  <c r="J25" i="67"/>
  <c r="J26" i="67"/>
  <c r="J29" i="67"/>
  <c r="C41" i="11"/>
  <c r="C49" i="11"/>
  <c r="C51" i="11"/>
  <c r="C52" i="11"/>
  <c r="B2" i="11"/>
  <c r="B3" i="11"/>
  <c r="J22" i="15"/>
  <c r="C61" i="15"/>
  <c r="C59" i="15"/>
  <c r="C64" i="15"/>
  <c r="C37" i="15"/>
  <c r="C56" i="15"/>
  <c r="C65" i="15"/>
  <c r="C75" i="15"/>
  <c r="J17" i="15"/>
  <c r="C31" i="15"/>
  <c r="C57" i="69"/>
  <c r="C56" i="69"/>
  <c r="C57" i="68"/>
  <c r="C56" i="68"/>
  <c r="M69" i="39"/>
  <c r="N67" i="39"/>
  <c r="R39" i="35"/>
  <c r="E38" i="35"/>
  <c r="M63" i="40"/>
  <c r="L65" i="40"/>
  <c r="D2" i="21"/>
  <c r="C10" i="71"/>
  <c r="D11" i="71"/>
  <c r="C56" i="11"/>
  <c r="C57" i="1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D2" i="33"/>
  <c r="D10" i="71"/>
  <c r="C9" i="71"/>
  <c r="R48" i="81"/>
  <c r="T48" i="81"/>
  <c r="V48" i="81"/>
  <c r="R49" i="81"/>
  <c r="C48" i="81"/>
  <c r="U6" i="1"/>
  <c r="F6" i="67"/>
  <c r="C6" i="67"/>
  <c r="C10" i="67"/>
  <c r="C5" i="67"/>
  <c r="F31" i="67"/>
  <c r="C31" i="67"/>
  <c r="C38" i="67"/>
  <c r="C30" i="67"/>
  <c r="C39" i="67"/>
  <c r="L51" i="67"/>
  <c r="L57" i="67"/>
  <c r="L60" i="67"/>
  <c r="L46" i="67"/>
  <c r="B2" i="33"/>
  <c r="B3" i="33"/>
  <c r="C80" i="15"/>
  <c r="C79" i="15"/>
  <c r="C40" i="15"/>
  <c r="C46" i="15"/>
  <c r="H7" i="39"/>
  <c r="J7" i="39"/>
  <c r="S7" i="39"/>
  <c r="AA7" i="39"/>
  <c r="R47" i="39"/>
  <c r="O63" i="40"/>
  <c r="O65" i="40"/>
  <c r="N65" i="40"/>
  <c r="D2" i="37"/>
  <c r="D2" i="34"/>
  <c r="D2" i="36"/>
  <c r="D2" i="35"/>
  <c r="L51" i="15"/>
  <c r="C8" i="71"/>
  <c r="D9" i="71"/>
  <c r="Q57" i="67"/>
  <c r="Q66"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10" i="1"/>
  <c r="AO12" i="1"/>
  <c r="AO9" i="1"/>
  <c r="AO7" i="1"/>
  <c r="AO8" i="1"/>
  <c r="AO11" i="1"/>
  <c r="C7" i="71"/>
  <c r="D8" i="71"/>
  <c r="L46" i="15"/>
  <c r="B2" i="15"/>
  <c r="B3" i="15"/>
  <c r="Q66" i="15"/>
  <c r="Q75" i="15"/>
  <c r="Q62" i="15"/>
  <c r="B9" i="70"/>
  <c r="B11" i="70"/>
  <c r="B7" i="70"/>
  <c r="B10" i="70"/>
  <c r="B12"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B6" i="74"/>
  <c r="D6" i="74"/>
  <c r="C91" i="81"/>
  <c r="F27" i="81"/>
  <c r="AA27" i="81"/>
  <c r="H27" i="81"/>
  <c r="AB27" i="81"/>
  <c r="J27" i="81"/>
  <c r="AC27" i="81"/>
  <c r="U27" i="81"/>
  <c r="W27" i="81"/>
  <c r="S27" i="81"/>
  <c r="G48" i="81"/>
  <c r="I48" i="81"/>
  <c r="G53" i="81"/>
  <c r="H53" i="81"/>
  <c r="G52" i="81"/>
  <c r="H52" i="81"/>
  <c r="I52" i="81"/>
  <c r="J52" i="81"/>
  <c r="E48" i="81"/>
  <c r="I53" i="81"/>
  <c r="J53" i="81"/>
  <c r="E52" i="81"/>
  <c r="F52" i="81"/>
  <c r="E53" i="81"/>
  <c r="F53" i="81"/>
  <c r="M42" i="81"/>
  <c r="C49" i="81"/>
  <c r="B3" i="81"/>
  <c r="B2" i="81"/>
  <c r="J27" i="21"/>
  <c r="W27" i="21"/>
  <c r="F27" i="21"/>
  <c r="S27" i="21"/>
  <c r="H27" i="21"/>
  <c r="U27" i="21"/>
  <c r="AC27" i="21"/>
  <c r="V48" i="21"/>
  <c r="I48" i="21"/>
  <c r="I52" i="21"/>
  <c r="J52" i="21"/>
  <c r="AB27" i="21"/>
  <c r="T48" i="21"/>
  <c r="G48" i="21"/>
  <c r="G52" i="21"/>
  <c r="H52" i="21"/>
  <c r="G53" i="21"/>
  <c r="H53" i="21"/>
  <c r="AA27" i="21"/>
  <c r="R48" i="21"/>
  <c r="E48" i="21"/>
  <c r="E53" i="21"/>
  <c r="F53" i="21"/>
  <c r="R49" i="21"/>
  <c r="C48" i="21"/>
  <c r="M43" i="21"/>
  <c r="E52" i="21"/>
  <c r="F52" i="21"/>
  <c r="I53" i="21"/>
  <c r="J53" i="21"/>
  <c r="Q69" i="67"/>
  <c r="Q68" i="67"/>
  <c r="C80" i="67"/>
  <c r="C79" i="67"/>
  <c r="C49" i="21"/>
  <c r="B2" i="21"/>
  <c r="C19" i="9"/>
  <c r="C102" i="9"/>
  <c r="C21" i="9"/>
  <c r="Q67" i="67"/>
  <c r="C40" i="67"/>
  <c r="C83" i="67"/>
  <c r="C82" i="67"/>
  <c r="Q47" i="67"/>
  <c r="Q53" i="67"/>
  <c r="C45" i="67"/>
  <c r="C46" i="67"/>
  <c r="C43" i="67"/>
  <c r="B3" i="21"/>
  <c r="C20" i="9"/>
  <c r="C103" i="9"/>
  <c r="D2" i="67"/>
  <c r="B2" i="67"/>
  <c r="D19" i="9"/>
  <c r="D102" i="9"/>
  <c r="D22" i="9"/>
  <c r="G19" i="9"/>
  <c r="G21" i="9"/>
  <c r="D21" i="9"/>
  <c r="Q56" i="67"/>
  <c r="Q62" i="67"/>
  <c r="Q65" i="67"/>
  <c r="Q75" i="67"/>
  <c r="B3" i="67"/>
  <c r="D20" i="9"/>
  <c r="D103" i="9"/>
  <c r="G20" i="9"/>
  <c r="C32" i="9"/>
  <c r="C35" i="9"/>
  <c r="C34" i="9"/>
  <c r="AO6" i="1"/>
  <c r="B6" i="70"/>
  <c r="B2" i="70"/>
  <c r="B3" i="70"/>
  <c r="E14" i="74"/>
  <c r="D14" i="74"/>
  <c r="F14" i="74"/>
  <c r="B5" i="74"/>
  <c r="D5" i="74"/>
  <c r="C104" i="9"/>
  <c r="H4" i="52"/>
  <c r="D54" i="9"/>
  <c r="C68" i="9"/>
  <c r="N61" i="9"/>
  <c r="N59" i="9"/>
  <c r="N60" i="9"/>
  <c r="C6" i="74"/>
  <c r="B22" i="72"/>
  <c r="D6" i="53"/>
  <c r="C81" i="9"/>
  <c r="C86" i="9"/>
  <c r="C93" i="9"/>
  <c r="B21" i="72"/>
  <c r="D7" i="53"/>
  <c r="D5" i="53"/>
  <c r="B20" i="72"/>
  <c r="C105" i="9"/>
  <c r="I4" i="52"/>
  <c r="D52" i="9"/>
  <c r="D53" i="9"/>
  <c r="F119" i="9"/>
  <c r="F5" i="52"/>
  <c r="B53" i="72"/>
  <c r="E4" i="52"/>
  <c r="B48" i="72"/>
  <c r="M48" i="9"/>
  <c r="N58" i="9"/>
  <c r="D55" i="9"/>
  <c r="M53" i="9"/>
  <c r="N57" i="9"/>
  <c r="P57" i="9"/>
  <c r="B32" i="72"/>
  <c r="D14" i="53"/>
  <c r="C64" i="9"/>
  <c r="C63" i="9"/>
  <c r="C67" i="9"/>
  <c r="D59" i="9"/>
  <c r="M55" i="9"/>
  <c r="D8" i="52"/>
  <c r="E97" i="9"/>
  <c r="E96" i="9"/>
  <c r="C96" i="9"/>
  <c r="H119" i="9"/>
  <c r="H5" i="52"/>
  <c r="H108" i="9"/>
  <c r="D15" i="53"/>
  <c r="B31" i="72"/>
  <c r="D13" i="53"/>
  <c r="B30" i="72"/>
  <c r="D4" i="52"/>
  <c r="B47" i="72"/>
  <c r="C78" i="9"/>
  <c r="C73" i="9"/>
  <c r="C72" i="9"/>
  <c r="C79" i="9"/>
  <c r="C80" i="9"/>
  <c r="E80" i="9"/>
  <c r="E81" i="9"/>
  <c r="H107" i="9"/>
  <c r="D122" i="9"/>
  <c r="D123" i="9"/>
  <c r="D9" i="52"/>
  <c r="H101" i="9"/>
  <c r="D45" i="9"/>
  <c r="C85" i="9"/>
  <c r="C95" i="9"/>
  <c r="C97" i="9"/>
  <c r="D58" i="9"/>
  <c r="D56" i="9"/>
  <c r="M54" i="9"/>
  <c r="E118" i="9"/>
  <c r="D118" i="9"/>
  <c r="D119" i="9"/>
  <c r="D5" i="52"/>
  <c r="B49" i="72"/>
  <c r="G4" i="52"/>
  <c r="B52" i="72"/>
  <c r="G118" i="9"/>
  <c r="F118" i="9"/>
  <c r="F4" i="52"/>
  <c r="B51" i="72"/>
  <c r="H118" i="9"/>
  <c r="I118" i="9"/>
  <c r="H102" i="9"/>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<sst xmlns="http://schemas.openxmlformats.org/spreadsheetml/2006/main" count="9247" uniqueCount="3604">
  <si>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</si>
  <si>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</si>
  <si>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</si>
  <si>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</si>
  <si>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</si>
  <si>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</si>
  <si>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</si>
  <si>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</si>
  <si>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</si>
  <si>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</si>
  <si>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</si>
  <si>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</si>
  <si>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</si>
  <si>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</si>
  <si>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</si>
  <si>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</si>
  <si>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</si>
  <si>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</si>
  <si>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</si>
  <si>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</si>
  <si>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</si>
  <si>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</si>
  <si>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</si>
  <si>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</si>
  <si>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</si>
  <si>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</si>
  <si>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</si>
  <si>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</si>
  <si>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</si>
  <si>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</si>
  <si>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</si>
  <si>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</si>
  <si>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</si>
  <si>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</si>
  <si>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</si>
  <si>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</si>
  <si>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</si>
  <si>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</si>
  <si>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</si>
  <si>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</si>
  <si>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</si>
  <si>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</si>
  <si>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</si>
  <si>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</si>
  <si>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</si>
  <si>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</si>
  <si>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</si>
  <si>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</si>
  <si>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</si>
  <si>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</si>
  <si>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</si>
  <si>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</si>
  <si>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</si>
  <si>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</si>
  <si>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</si>
  <si>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</si>
  <si>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</si>
  <si>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</si>
  <si>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</si>
  <si>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</si>
  <si>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</si>
  <si>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</si>
  <si>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</si>
  <si>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</si>
  <si>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</si>
  <si>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</si>
  <si>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</si>
  <si>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</si>
  <si>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</si>
  <si>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</si>
  <si>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</si>
  <si>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</si>
  <si>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</si>
  <si>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</si>
  <si>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</si>
  <si>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</si>
  <si>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</si>
  <si>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</si>
  <si>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</si>
  <si>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</si>
  <si>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</si>
  <si>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</si>
  <si>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</si>
  <si>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</si>
  <si>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</si>
  <si>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</si>
  <si>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</si>
  <si>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</si>
  <si>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</si>
  <si>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</si>
  <si>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</si>
  <si>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</si>
  <si>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</si>
  <si>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</si>
  <si>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</si>
  <si>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</si>
  <si>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</si>
  <si>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</si>
  <si>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</si>
  <si>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</si>
  <si>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</si>
  <si>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</si>
  <si>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</si>
  <si>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</si>
  <si>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</si>
  <si>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</si>
  <si>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</si>
  <si>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</si>
  <si>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</si>
  <si>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</si>
  <si>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</si>
  <si>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</si>
  <si>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</si>
  <si>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</si>
  <si>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</si>
  <si>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</si>
  <si>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</si>
  <si>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</si>
  <si>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</si>
  <si>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</si>
  <si>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</si>
  <si>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</si>
  <si>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</si>
  <si>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</si>
  <si>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</si>
  <si>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</si>
  <si>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</si>
  <si>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</si>
  <si>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</si>
  <si>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</si>
  <si>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</si>
  <si>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</si>
  <si>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</si>
  <si>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</si>
  <si>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</si>
  <si>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</si>
  <si>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</si>
  <si>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</si>
  <si>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</si>
  <si>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</si>
  <si>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</si>
  <si>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</si>
  <si>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</si>
  <si>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</si>
  <si>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</si>
  <si>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</si>
  <si>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</si>
  <si>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</si>
  <si>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</si>
  <si>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</si>
  <si>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</si>
  <si>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</si>
  <si>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</si>
  <si>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</si>
  <si>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</si>
  <si>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</si>
  <si>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</si>
  <si>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</si>
  <si>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</si>
  <si>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</si>
  <si>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</si>
  <si>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</si>
  <si>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</si>
  <si>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</si>
  <si>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</si>
  <si>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</si>
  <si>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</si>
  <si>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</si>
  <si>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</si>
  <si>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</si>
  <si>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</si>
  <si>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</si>
  <si>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</si>
  <si>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</si>
  <si>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</si>
  <si>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</si>
  <si>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</si>
  <si>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</si>
  <si>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</si>
  <si>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</si>
  <si>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</si>
  <si>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</si>
  <si>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</si>
  <si>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</si>
  <si>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</si>
  <si>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</si>
  <si>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</si>
  <si>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</si>
  <si>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</si>
  <si>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</si>
  <si>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</si>
  <si>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</si>
  <si>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</si>
  <si>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</si>
  <si>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</si>
  <si>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</si>
  <si>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</si>
  <si>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</si>
  <si>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</si>
  <si>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</si>
  <si>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</si>
  <si>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</si>
  <si>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</si>
  <si>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</si>
  <si>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</si>
  <si>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</si>
  <si>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</si>
  <si>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</si>
  <si>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</si>
  <si>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</si>
  <si>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</si>
  <si>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</si>
  <si>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</si>
  <si>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</si>
  <si>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</si>
  <si>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</si>
  <si>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</si>
  <si>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</si>
  <si>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</si>
  <si>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</si>
  <si>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</si>
  <si>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</si>
  <si>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</si>
  <si>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</si>
  <si>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</si>
  <si>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</si>
  <si>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</si>
  <si>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</si>
  <si>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</si>
  <si>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</si>
  <si>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</si>
  <si>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</si>
  <si>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</si>
  <si>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</si>
  <si>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</si>
  <si>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</si>
  <si>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</si>
  <si>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</si>
  <si>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</si>
  <si>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</si>
  <si>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</si>
  <si>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</si>
  <si>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</si>
  <si>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</si>
  <si>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</si>
  <si>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</si>
  <si>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</si>
  <si>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</si>
  <si>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</si>
  <si>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</si>
  <si>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</si>
  <si>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</si>
  <si>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</si>
  <si>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</si>
  <si>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</si>
  <si>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</si>
  <si>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</si>
  <si>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</si>
  <si>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</si>
  <si>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</si>
  <si>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</si>
  <si>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</si>
  <si>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</si>
  <si>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</si>
  <si>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</si>
  <si>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</si>
  <si>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</si>
  <si>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</si>
  <si>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</si>
  <si>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</si>
  <si>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</si>
  <si>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</si>
  <si>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</si>
  <si>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</si>
  <si>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</si>
  <si>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</si>
  <si>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</si>
  <si>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</si>
  <si>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</si>
  <si>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</si>
  <si>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</si>
  <si>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</si>
  <si>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</si>
  <si>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</si>
  <si>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</si>
  <si>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</si>
  <si>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</si>
  <si>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</si>
  <si>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</si>
  <si>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</si>
  <si>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</si>
  <si>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</si>
  <si>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</si>
  <si>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</si>
  <si>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</si>
  <si>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</si>
  <si>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</si>
  <si>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</si>
  <si>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</si>
  <si>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</si>
  <si>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</si>
  <si>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</si>
  <si>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</si>
  <si>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</si>
  <si>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</si>
  <si>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</si>
  <si>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</si>
  <si>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</si>
  <si>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</si>
  <si>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</si>
  <si>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</si>
  <si>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</si>
  <si>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</si>
  <si>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</si>
  <si>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</si>
  <si>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</si>
  <si>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</si>
  <si>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</si>
  <si>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</si>
  <si>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</si>
  <si>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</si>
  <si>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</si>
  <si>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</si>
  <si>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</si>
  <si>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</si>
  <si>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</si>
  <si>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</si>
  <si>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</si>
  <si>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</si>
  <si>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</si>
  <si>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</si>
  <si>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</si>
  <si>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</si>
  <si>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</si>
  <si>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</si>
  <si>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</si>
  <si>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</si>
  <si>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</si>
  <si>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</si>
  <si>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</si>
  <si>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</si>
  <si>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</si>
  <si>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</si>
  <si>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</si>
  <si>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</si>
  <si>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</si>
  <si>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</si>
  <si>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</si>
  <si>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</si>
  <si>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</si>
  <si>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</si>
  <si>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</si>
  <si>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</si>
  <si>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</si>
  <si>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</si>
  <si>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</si>
  <si>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</si>
  <si>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</si>
  <si>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</si>
  <si>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</si>
  <si>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</si>
  <si>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</si>
  <si>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</si>
  <si>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</si>
  <si>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</si>
  <si>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</si>
  <si>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</si>
  <si>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</si>
  <si>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</si>
  <si>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</si>
  <si>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</si>
  <si>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</si>
  <si>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</si>
  <si>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</si>
  <si>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</si>
  <si>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</si>
  <si>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</si>
  <si>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</si>
  <si>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</si>
  <si>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</si>
  <si>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</si>
  <si>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</si>
  <si>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</si>
  <si>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</si>
  <si>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</si>
  <si>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</si>
  <si>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</si>
  <si>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</si>
  <si>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</si>
  <si>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</si>
  <si>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</si>
  <si>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</si>
  <si>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</si>
  <si>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</si>
  <si>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</si>
  <si>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</si>
  <si>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</si>
  <si>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</si>
  <si>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</si>
  <si>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</si>
  <si>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</si>
  <si>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</si>
  <si>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</si>
  <si>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</si>
  <si>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</si>
  <si>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</si>
  <si>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</si>
  <si>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</si>
  <si>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</si>
  <si>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</si>
  <si>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</si>
  <si>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</si>
  <si>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</si>
  <si>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</si>
  <si>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</si>
  <si>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</si>
  <si>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</si>
  <si>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</si>
  <si>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</si>
  <si>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</si>
  <si>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</si>
  <si>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</si>
  <si>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</si>
  <si>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</si>
  <si>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</si>
  <si>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</si>
  <si>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</si>
  <si>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</si>
  <si>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</si>
  <si>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</si>
  <si>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</si>
  <si>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</si>
  <si>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</si>
  <si>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</si>
  <si>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</si>
  <si>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</si>
  <si>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</si>
  <si>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</si>
  <si>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</si>
  <si>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</si>
  <si>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</si>
  <si>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</si>
  <si>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</si>
  <si>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</si>
  <si>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</si>
  <si>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</si>
  <si>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</si>
  <si>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</si>
  <si>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</si>
  <si>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</si>
  <si>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</si>
  <si>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</si>
  <si>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</si>
  <si>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</si>
  <si>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</si>
  <si>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</si>
  <si>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</si>
  <si>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</si>
  <si>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</si>
  <si>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</si>
  <si>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</si>
  <si>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</si>
  <si>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</si>
  <si>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</si>
  <si>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</si>
  <si>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</si>
  <si>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</si>
  <si>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</si>
  <si>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</si>
  <si>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</si>
  <si>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</si>
  <si>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</si>
  <si>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</si>
  <si>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</si>
  <si>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</si>
  <si>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</si>
  <si>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</si>
  <si>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</si>
  <si>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</si>
  <si>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</si>
  <si>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</si>
  <si>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</si>
  <si>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</si>
  <si>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</si>
  <si>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</si>
  <si>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</si>
  <si>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</si>
  <si>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</si>
  <si>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</si>
  <si>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</si>
  <si>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</si>
  <si>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</si>
  <si>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</si>
  <si>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</si>
  <si>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</si>
  <si>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</si>
  <si>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</si>
  <si>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</si>
  <si>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</si>
  <si>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</si>
  <si>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</si>
  <si>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</si>
  <si>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</si>
  <si>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</si>
  <si>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</si>
  <si>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</si>
  <si>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</si>
  <si>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</si>
  <si>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</si>
  <si>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</si>
  <si>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</si>
  <si>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</si>
  <si>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</si>
  <si>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</si>
  <si>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</si>
  <si>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</si>
  <si>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</si>
  <si>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</si>
  <si>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</si>
  <si>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</si>
  <si>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</si>
  <si>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</si>
  <si>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</si>
  <si>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</si>
  <si>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</si>
  <si>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</si>
  <si>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</si>
  <si>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</si>
  <si>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</si>
  <si>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</si>
  <si>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</si>
  <si>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</si>
  <si>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</si>
  <si>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</si>
  <si>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</si>
  <si>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</si>
  <si>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</si>
  <si>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</si>
  <si>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</si>
  <si>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</si>
  <si>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</si>
  <si>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</si>
  <si>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</si>
  <si>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</si>
  <si>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</si>
  <si>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</si>
  <si>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</si>
  <si>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</si>
  <si>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</si>
  <si>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</si>
  <si>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</si>
  <si>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</si>
  <si>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</si>
  <si>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</si>
  <si>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</si>
  <si>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</si>
  <si>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</si>
  <si>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</si>
  <si>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</si>
  <si>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</si>
  <si>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</si>
  <si>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</si>
  <si>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</si>
  <si>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</si>
  <si>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</si>
  <si>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</si>
  <si>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</si>
  <si>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</si>
  <si>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</si>
  <si>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</si>
  <si>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</si>
  <si>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</si>
  <si>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</si>
  <si>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</si>
  <si>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</si>
  <si>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</si>
  <si>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</si>
  <si>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</si>
  <si>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</si>
  <si>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</si>
  <si>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</si>
  <si>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</si>
  <si>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</si>
  <si>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</si>
  <si>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</si>
  <si>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</si>
  <si>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</si>
  <si>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</si>
  <si>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</si>
  <si>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</si>
  <si>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</si>
  <si>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</si>
  <si>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</si>
  <si>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</si>
  <si>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</si>
  <si>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</si>
  <si>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</si>
  <si>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</si>
  <si>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</si>
  <si>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</si>
  <si>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</si>
  <si>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</si>
  <si>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</si>
  <si>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</si>
  <si>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</si>
  <si>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</si>
  <si>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</si>
  <si>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</si>
  <si>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</si>
  <si>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</si>
  <si>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</si>
  <si>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</si>
  <si>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</si>
  <si>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</si>
  <si>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</si>
  <si>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</si>
  <si>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</si>
  <si>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</si>
  <si>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</si>
  <si>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</si>
  <si>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</si>
  <si>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</si>
  <si>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</si>
  <si>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</si>
  <si>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</si>
  <si>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</si>
  <si>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</si>
  <si>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</si>
  <si>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</si>
  <si>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</si>
  <si>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</si>
  <si>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</si>
  <si>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</si>
  <si>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</si>
  <si>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</si>
  <si>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</si>
  <si>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</si>
  <si>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</si>
  <si>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</si>
  <si>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</si>
  <si>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</si>
  <si>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</si>
  <si>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</si>
  <si>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</si>
  <si>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</si>
  <si>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</si>
  <si>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</si>
  <si>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</si>
  <si>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</si>
  <si>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</si>
  <si>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</si>
  <si>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</si>
  <si>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</si>
  <si>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</si>
  <si>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</si>
  <si>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</si>
  <si>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</si>
  <si>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</si>
  <si>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</si>
  <si>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</si>
  <si>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</si>
  <si>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</si>
  <si>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</si>
  <si>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</si>
  <si>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</si>
  <si>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</si>
  <si>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</si>
  <si>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</si>
  <si>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</si>
  <si>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</si>
  <si>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</si>
  <si>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</si>
  <si>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</si>
  <si>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</si>
  <si>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</si>
  <si>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</si>
  <si>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</si>
  <si>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</si>
  <si>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</si>
  <si>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</si>
  <si>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</si>
  <si>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</si>
  <si>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</si>
  <si>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</si>
  <si>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</si>
  <si>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</si>
  <si>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</si>
  <si>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</si>
  <si>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</si>
  <si>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</si>
  <si>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</si>
  <si>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</si>
  <si>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</si>
  <si>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</si>
  <si>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</si>
  <si>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</si>
  <si>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</si>
  <si>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</si>
  <si>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</si>
  <si>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</si>
  <si>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</si>
  <si>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</si>
  <si>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</si>
  <si>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</si>
  <si>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</si>
  <si>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</si>
  <si>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</si>
  <si>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</si>
  <si>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</si>
  <si>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</si>
  <si>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</si>
  <si>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</si>
  <si>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</si>
  <si>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</si>
  <si>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</si>
  <si>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</si>
  <si>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</si>
  <si>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</si>
  <si>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</si>
  <si>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</si>
  <si>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</si>
  <si>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</si>
  <si>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</si>
  <si>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</si>
  <si>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</si>
  <si>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</si>
  <si>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</si>
  <si>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</si>
  <si>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</si>
  <si>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</si>
  <si>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</si>
  <si>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</si>
  <si>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</si>
  <si>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</si>
  <si>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</si>
  <si>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</si>
  <si>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</si>
  <si>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</si>
  <si>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</si>
  <si>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</si>
  <si>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</si>
  <si>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</si>
  <si>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</si>
  <si>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</si>
  <si>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</si>
  <si>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</si>
  <si>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</si>
  <si>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</si>
  <si>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</si>
  <si>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</si>
  <si>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</si>
  <si>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</si>
  <si>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</si>
  <si>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</si>
  <si>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</si>
  <si>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</si>
  <si>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</si>
  <si>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</si>
  <si>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</si>
  <si>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</si>
  <si>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</si>
  <si>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</si>
  <si>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</si>
  <si>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</si>
  <si>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</si>
  <si>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</si>
  <si>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</si>
  <si>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</si>
  <si>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</si>
  <si>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</si>
  <si>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</si>
  <si>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</si>
  <si>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</si>
  <si>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</si>
  <si>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</si>
  <si>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</si>
  <si>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</si>
  <si>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</si>
  <si>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</si>
  <si>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</si>
  <si>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</si>
  <si>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</si>
  <si>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</si>
  <si>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</si>
  <si>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</si>
  <si>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</si>
  <si>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</si>
  <si>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</si>
  <si>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</si>
  <si>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</si>
  <si>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</si>
  <si>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</si>
  <si>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</si>
  <si>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</si>
  <si>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</si>
  <si>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</si>
  <si>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</si>
  <si>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</si>
  <si>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</si>
  <si>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</si>
  <si>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</si>
  <si>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</si>
  <si>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</si>
  <si>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</si>
  <si>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</si>
  <si>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</si>
  <si>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</si>
  <si>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</si>
  <si>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</si>
  <si>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</si>
  <si>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</si>
  <si>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</si>
  <si>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</si>
  <si>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</si>
  <si>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</si>
  <si>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</si>
  <si>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</si>
  <si>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</si>
  <si>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</si>
  <si>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</si>
  <si>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</si>
  <si>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</si>
  <si>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</si>
  <si>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</si>
  <si>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</si>
  <si>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</si>
  <si>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</si>
  <si>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</si>
  <si>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</si>
  <si>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</si>
  <si>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</si>
  <si>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</si>
  <si>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</si>
  <si>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</si>
  <si>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</si>
  <si>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</si>
  <si>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</si>
  <si>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</si>
  <si>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</si>
  <si>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</si>
  <si>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</si>
  <si>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</si>
  <si>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</si>
  <si>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</si>
  <si>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</si>
  <si>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</si>
  <si>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</si>
  <si>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</si>
  <si>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</si>
  <si>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</si>
  <si>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</si>
  <si>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</si>
  <si>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</si>
  <si>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</si>
  <si>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</si>
  <si>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</si>
  <si>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</si>
  <si>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</si>
  <si>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</si>
  <si>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</si>
  <si>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</si>
  <si>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</si>
  <si>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</si>
  <si>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</si>
  <si>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</si>
  <si>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</si>
  <si>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</si>
  <si>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</si>
  <si>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</si>
  <si>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</si>
  <si>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</si>
  <si>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</si>
  <si>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</si>
  <si>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</si>
  <si>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</si>
  <si>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</si>
  <si>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</si>
  <si>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</si>
  <si>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</si>
  <si>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</si>
  <si>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</si>
  <si>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</si>
  <si>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</si>
  <si>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</si>
  <si>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</si>
  <si>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</si>
  <si>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</si>
  <si>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</si>
  <si>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</si>
  <si>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</si>
  <si>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</si>
  <si>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</si>
  <si>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</si>
  <si>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</si>
  <si>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</si>
  <si>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</si>
  <si>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</si>
  <si>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</si>
  <si>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</si>
  <si>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</si>
  <si>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</si>
  <si>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</si>
  <si>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</si>
  <si>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</si>
  <si>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</si>
  <si>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</si>
  <si>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</si>
  <si>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</si>
  <si>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</si>
  <si>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</si>
  <si>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</si>
  <si>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</si>
  <si>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</si>
  <si>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</si>
  <si>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</si>
  <si>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</si>
  <si>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</si>
  <si>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</si>
  <si>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</si>
  <si>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</si>
  <si>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</si>
  <si>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</si>
  <si>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</si>
  <si>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</si>
  <si>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</si>
  <si>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</si>
  <si>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</si>
  <si>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</si>
  <si>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</si>
  <si>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</si>
  <si>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</si>
  <si>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</si>
  <si>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</si>
  <si>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</si>
  <si>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</si>
  <si>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</si>
  <si>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</si>
  <si>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</si>
  <si>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</si>
  <si>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</si>
  <si>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</si>
  <si>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</si>
  <si>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</si>
  <si>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</si>
  <si>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</si>
  <si>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</si>
  <si>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</si>
  <si>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</si>
  <si>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</si>
  <si>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</si>
  <si>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</si>
  <si>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</si>
  <si>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</si>
  <si>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</si>
  <si>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</si>
  <si>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</si>
  <si>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</si>
  <si>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</si>
  <si>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</si>
  <si>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</si>
  <si>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</si>
  <si>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</si>
  <si>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</si>
  <si>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</si>
  <si>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</si>
  <si>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</si>
  <si>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</si>
  <si>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</si>
  <si>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</si>
  <si>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</si>
  <si>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</si>
  <si>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</si>
  <si>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</si>
  <si>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</si>
  <si>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</si>
  <si>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</si>
  <si>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</si>
  <si>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</si>
  <si>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</si>
  <si>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</si>
  <si>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</si>
  <si>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</si>
  <si>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</si>
  <si>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</si>
  <si>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</si>
  <si>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</si>
  <si>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</si>
  <si>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</si>
  <si>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</si>
  <si>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</si>
  <si>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</si>
  <si>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</si>
  <si>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</si>
  <si>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</si>
  <si>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</si>
  <si>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</si>
  <si>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</si>
  <si>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</si>
  <si>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</si>
  <si>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</si>
  <si>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</si>
  <si>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</si>
  <si>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</si>
  <si>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</si>
  <si>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</si>
  <si>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</si>
  <si>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</si>
  <si>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</si>
  <si>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</si>
  <si>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</si>
  <si>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</si>
  <si>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</si>
  <si>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</si>
  <si>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</si>
  <si>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</si>
  <si>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</si>
  <si>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</si>
  <si>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</si>
  <si>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</si>
  <si>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</si>
  <si>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</si>
  <si>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</si>
  <si>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</si>
  <si>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</si>
  <si>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</si>
  <si>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</si>
  <si>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</si>
  <si>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</si>
  <si>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</si>
  <si>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</si>
  <si>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</si>
  <si>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</si>
  <si>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</si>
  <si>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</si>
  <si>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</si>
  <si>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</si>
  <si>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</si>
  <si>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</si>
  <si>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</si>
  <si>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</si>
  <si>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</si>
  <si>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</si>
  <si>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</si>
  <si>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</si>
  <si>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</si>
  <si>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</si>
  <si>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</si>
  <si>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</si>
  <si>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</si>
  <si>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</si>
  <si>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</si>
  <si>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</si>
  <si>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</si>
  <si>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</si>
  <si>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</si>
  <si>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</si>
  <si>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</si>
  <si>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</si>
  <si>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</si>
  <si>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</si>
  <si>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</si>
  <si>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</si>
  <si>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</si>
  <si>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</si>
  <si>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</si>
  <si>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</si>
  <si>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</si>
  <si>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</si>
  <si>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</si>
  <si>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</si>
  <si>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</si>
  <si>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</si>
  <si>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</si>
  <si>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</si>
  <si>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</si>
  <si>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</si>
  <si>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</si>
  <si>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</si>
  <si>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</si>
  <si>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</si>
  <si>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</si>
  <si>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</si>
  <si>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</si>
  <si>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</si>
  <si>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</si>
  <si>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</si>
  <si>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</si>
  <si>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</si>
  <si>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</si>
  <si>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</si>
  <si>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</si>
  <si>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</si>
  <si>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</si>
  <si>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</si>
  <si>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</si>
  <si>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</si>
  <si>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</si>
  <si>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</si>
  <si>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</si>
  <si>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</si>
  <si>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</si>
  <si>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</si>
  <si>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</si>
  <si>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</si>
  <si>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</si>
  <si>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</si>
  <si>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</si>
  <si>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</si>
  <si>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</si>
  <si>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</si>
  <si>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</si>
  <si>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</si>
  <si>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</si>
  <si>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</si>
  <si>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</si>
  <si>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</si>
  <si>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</si>
  <si>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</si>
  <si>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</si>
  <si>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</si>
  <si>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</si>
  <si>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</si>
  <si>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</si>
  <si>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</si>
  <si>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</si>
  <si>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</si>
  <si>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</si>
  <si>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</si>
  <si>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</si>
  <si>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</si>
  <si>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</si>
  <si>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</si>
  <si>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</si>
  <si>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</si>
  <si>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</si>
  <si>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</si>
  <si>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</si>
  <si>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</si>
  <si>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</si>
  <si>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</si>
  <si>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</si>
  <si>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</si>
  <si>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</si>
  <si>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</si>
  <si>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</si>
  <si>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</si>
  <si>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</si>
  <si>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</si>
  <si>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</si>
  <si>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</si>
  <si>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</si>
  <si>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</si>
  <si>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</si>
  <si>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</si>
  <si>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</si>
  <si>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</si>
  <si>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</si>
  <si>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</si>
  <si>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</si>
  <si>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</si>
  <si>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</si>
  <si>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</si>
  <si>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</si>
  <si>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</si>
  <si>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</si>
  <si>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</si>
  <si>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</si>
  <si>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</si>
  <si>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</si>
  <si>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</si>
  <si>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</si>
  <si>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</si>
  <si>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</si>
  <si>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</si>
  <si>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</si>
  <si>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</si>
  <si>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</si>
  <si>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</si>
  <si>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</si>
  <si>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</si>
  <si>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</si>
  <si>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</si>
  <si>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</si>
  <si>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</si>
  <si>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</si>
  <si>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</si>
  <si>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</si>
  <si>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</si>
  <si>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</si>
  <si>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</si>
  <si>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</si>
  <si>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</si>
  <si>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</si>
  <si>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</si>
  <si>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</si>
  <si>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</si>
  <si>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</si>
  <si>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</si>
  <si>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</si>
  <si>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</si>
  <si>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</si>
  <si>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</si>
  <si>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</si>
  <si>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</si>
  <si>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</si>
  <si>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</si>
  <si>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</si>
  <si>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</si>
  <si>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</si>
  <si>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</si>
  <si>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</si>
  <si>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</si>
  <si>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</si>
  <si>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</si>
  <si>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</si>
  <si>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</si>
  <si>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</si>
  <si>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</si>
  <si>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</si>
  <si>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</si>
  <si>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</si>
  <si>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</si>
  <si>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</si>
  <si>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</si>
  <si>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</si>
  <si>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</si>
  <si>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</si>
  <si>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</si>
  <si>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</si>
  <si>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</si>
  <si>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</si>
  <si>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</si>
  <si>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</si>
  <si>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</si>
  <si>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</si>
  <si>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</si>
  <si>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</si>
  <si>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</si>
  <si>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</si>
  <si>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</si>
  <si>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</si>
  <si>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</si>
  <si>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</si>
  <si>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</si>
  <si>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</si>
  <si>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</si>
  <si>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</si>
  <si>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</si>
  <si>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</si>
  <si>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</si>
  <si>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</si>
  <si>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</si>
  <si>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</si>
  <si>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</si>
  <si>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</si>
  <si>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</si>
  <si>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</si>
  <si>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</si>
  <si>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</si>
  <si>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</si>
  <si>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</si>
  <si>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</si>
  <si>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</si>
  <si>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</si>
  <si>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</si>
  <si>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</si>
  <si>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</si>
  <si>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</si>
  <si>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</si>
  <si>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</si>
  <si>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</si>
  <si>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</si>
  <si>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</si>
  <si>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</si>
  <si>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</si>
  <si>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</si>
  <si>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</si>
  <si>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</si>
  <si>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</si>
  <si>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</si>
  <si>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</si>
  <si>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</si>
  <si>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</si>
  <si>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</si>
  <si>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</si>
  <si>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</si>
  <si>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</si>
  <si>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</si>
  <si>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</si>
  <si>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</si>
  <si>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</si>
  <si>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</si>
  <si>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</si>
  <si>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</si>
  <si>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</si>
  <si>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</si>
  <si>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</si>
  <si>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</si>
  <si>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</si>
  <si>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</si>
  <si>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</si>
  <si>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</si>
  <si>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</si>
  <si>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</si>
  <si>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</si>
  <si>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</si>
  <si>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</si>
  <si>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</si>
  <si>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</si>
  <si>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</si>
  <si>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</si>
  <si>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</si>
  <si>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</si>
  <si>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</si>
  <si>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</si>
  <si>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</si>
  <si>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</si>
  <si>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</si>
  <si>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</si>
  <si>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</si>
  <si>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</si>
  <si>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</si>
  <si>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</si>
  <si>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</si>
  <si>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</si>
  <si>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</si>
  <si>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</si>
  <si>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</si>
  <si>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</si>
  <si>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</si>
  <si>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</si>
  <si>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</si>
  <si>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</si>
  <si>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</si>
  <si>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</si>
  <si>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</si>
  <si>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</si>
  <si>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</si>
  <si>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</si>
  <si>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</si>
  <si>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</si>
  <si>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</si>
  <si>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</si>
  <si>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</si>
  <si>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</si>
  <si>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</si>
  <si>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</si>
  <si>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</si>
  <si>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</si>
  <si>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</si>
  <si>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</si>
  <si>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</si>
  <si>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</si>
  <si>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</si>
  <si>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</si>
  <si>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</si>
  <si>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</si>
  <si>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</si>
  <si>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</si>
  <si>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</si>
  <si>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</si>
  <si>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</si>
  <si>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</si>
  <si>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</si>
  <si>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</si>
  <si>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</si>
  <si>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</si>
  <si>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</si>
  <si>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</si>
  <si>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</si>
  <si>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</si>
  <si>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</si>
  <si>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</si>
  <si>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</si>
  <si>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</si>
  <si>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</si>
  <si>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</si>
  <si>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</si>
  <si>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</si>
  <si>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</si>
  <si>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</si>
  <si>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</si>
  <si>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</si>
  <si>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</si>
  <si>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</si>
  <si>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</si>
  <si>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</si>
  <si>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</si>
  <si>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</si>
  <si>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</si>
  <si>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</si>
  <si>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</si>
  <si>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</si>
  <si>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</si>
  <si>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</si>
  <si>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</si>
  <si>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</si>
  <si>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</si>
  <si>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</si>
  <si>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</si>
  <si>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</si>
  <si>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</si>
  <si>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</si>
  <si>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</si>
  <si>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</si>
  <si>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</si>
  <si>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</si>
  <si>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</si>
  <si>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</si>
  <si>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</si>
  <si>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</si>
  <si>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</si>
  <si>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</si>
  <si>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</si>
  <si>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</si>
  <si>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</si>
  <si>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</si>
  <si>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</si>
  <si>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</si>
  <si>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</si>
  <si>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</si>
  <si>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</si>
  <si>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</si>
  <si>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</si>
  <si>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</si>
  <si>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</si>
  <si>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</si>
  <si>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</si>
  <si>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</si>
  <si>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</si>
  <si>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</si>
  <si>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</si>
  <si>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</si>
  <si>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</si>
  <si>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</si>
  <si>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</si>
  <si>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</si>
  <si>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</si>
  <si>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</si>
  <si>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</si>
  <si>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</si>
  <si>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</si>
  <si>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</si>
  <si>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</si>
  <si>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</si>
  <si>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</si>
  <si>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</si>
  <si>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</si>
  <si>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</si>
  <si>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</si>
  <si>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</si>
  <si>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</si>
  <si>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</si>
  <si>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</si>
  <si>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</si>
  <si>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</si>
  <si>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</si>
  <si>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</si>
  <si>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</si>
  <si>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</si>
  <si>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</si>
  <si>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</si>
  <si>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</si>
  <si>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</si>
  <si>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</si>
  <si>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</si>
  <si>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</si>
  <si>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</si>
  <si>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</si>
  <si>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</si>
  <si>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</si>
  <si>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</si>
  <si>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</si>
  <si>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</si>
  <si>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</si>
  <si>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</si>
  <si>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</si>
  <si>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</si>
  <si>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</si>
  <si>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</si>
  <si>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</si>
  <si>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</si>
  <si>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</si>
  <si>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</si>
  <si>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</si>
  <si>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</si>
  <si>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</si>
  <si>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</si>
  <si>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</si>
  <si>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</si>
  <si>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</si>
  <si>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</si>
  <si>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</si>
  <si>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</si>
  <si>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</si>
  <si>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</si>
  <si>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</si>
  <si>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</si>
  <si>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</si>
  <si>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</si>
  <si>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</si>
  <si>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</si>
  <si>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</si>
  <si>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</si>
  <si>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</si>
  <si>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</si>
  <si>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</si>
  <si>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</si>
  <si>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</si>
  <si>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</si>
  <si>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</si>
  <si>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</si>
  <si>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</si>
  <si>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</si>
  <si>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</si>
  <si>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</si>
  <si>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</si>
  <si>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</si>
  <si>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</si>
  <si>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</si>
  <si>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</si>
  <si>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</si>
  <si>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</si>
  <si>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</si>
  <si>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</si>
  <si>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</si>
  <si>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</si>
  <si>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</si>
  <si>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</si>
  <si>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</si>
  <si>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</si>
  <si>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</si>
  <si>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</si>
  <si>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</si>
  <si>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</si>
  <si>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</si>
  <si>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</si>
  <si>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</si>
  <si>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</si>
  <si>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</si>
  <si>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</si>
  <si>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</si>
  <si>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</si>
  <si>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</si>
  <si>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</si>
  <si>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</si>
  <si>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</si>
  <si>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</si>
  <si>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</si>
  <si>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</si>
  <si>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</si>
  <si>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</si>
  <si>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</si>
  <si>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</si>
  <si>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</si>
  <si>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</si>
  <si>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</si>
  <si>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</si>
  <si>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</si>
  <si>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</si>
  <si>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</si>
  <si>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</si>
  <si>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</si>
  <si>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</si>
  <si>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</si>
  <si>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</si>
  <si>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</si>
  <si>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</si>
  <si>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</si>
  <si>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</si>
  <si>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</si>
  <si>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</si>
  <si>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</si>
  <si>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</si>
  <si>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</si>
  <si>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</si>
  <si>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</si>
  <si>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</si>
  <si>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</si>
  <si>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</si>
  <si>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</si>
  <si>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</si>
  <si>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</si>
  <si>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</si>
  <si>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</si>
  <si>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</si>
  <si>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</si>
  <si>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</si>
  <si>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</si>
  <si>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</si>
  <si>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</si>
  <si>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</si>
  <si>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</si>
  <si>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</si>
  <si>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</si>
  <si>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</si>
  <si>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</si>
  <si>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</si>
  <si>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</si>
  <si>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</si>
  <si>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</si>
  <si>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</si>
  <si>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</si>
  <si>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</si>
  <si>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</si>
  <si>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</si>
  <si>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</si>
  <si>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</si>
  <si>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</si>
  <si>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</si>
  <si>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</si>
  <si>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</si>
  <si>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</si>
  <si>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</si>
  <si>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</si>
  <si>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</si>
  <si>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</si>
  <si>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</si>
  <si>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</si>
  <si>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</si>
  <si>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</si>
  <si>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</si>
  <si>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</si>
  <si>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</si>
  <si>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</si>
  <si>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</si>
  <si>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</si>
  <si>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</si>
  <si>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</si>
  <si>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</si>
  <si>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</si>
  <si>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</si>
  <si>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</si>
  <si>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</si>
  <si>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</si>
  <si>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</si>
  <si>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</si>
  <si>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</si>
  <si>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</si>
  <si>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</si>
  <si>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</si>
  <si>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</si>
  <si>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</si>
  <si>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</si>
  <si>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</si>
  <si>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</si>
  <si>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</si>
  <si>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</si>
  <si>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</si>
  <si>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</si>
  <si>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</si>
  <si>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</si>
  <si>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</si>
  <si>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</si>
  <si>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</si>
  <si>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</si>
  <si>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</si>
  <si>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</si>
  <si>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</si>
  <si>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</si>
  <si>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</si>
  <si>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</si>
  <si>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</si>
  <si>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</si>
  <si>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</si>
  <si>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</si>
  <si>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</si>
  <si>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</si>
  <si>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</si>
  <si>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</si>
  <si>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</si>
  <si>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</si>
  <si>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</si>
  <si>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</si>
  <si>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</si>
  <si>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</si>
  <si>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</si>
  <si>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</si>
  <si>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</si>
  <si>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</si>
  <si>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</si>
  <si>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</si>
  <si>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</si>
  <si>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</si>
  <si>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</si>
  <si>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</si>
  <si>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</si>
  <si>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</si>
  <si>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</si>
  <si>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</si>
  <si>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</si>
  <si>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</si>
  <si>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</si>
  <si>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</si>
  <si>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</si>
  <si>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</si>
  <si>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</si>
  <si>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</si>
  <si>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</si>
  <si>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</si>
  <si>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</si>
  <si>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</si>
  <si>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</si>
  <si>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</si>
  <si>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</si>
  <si>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</si>
  <si>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</si>
  <si>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</si>
  <si>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</si>
  <si>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</si>
  <si>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</si>
  <si>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</si>
  <si>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</si>
  <si>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</si>
  <si>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</si>
  <si>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</si>
  <si>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</si>
  <si>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</si>
  <si>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</si>
  <si>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</si>
  <si>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</si>
  <si>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</si>
  <si>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</si>
  <si>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</si>
  <si>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</si>
  <si>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</si>
  <si>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</si>
  <si>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</si>
  <si>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</si>
  <si>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</si>
  <si>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</si>
  <si>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</si>
  <si>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</si>
  <si>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</si>
  <si>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</si>
  <si>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</si>
  <si>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</si>
  <si>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</si>
  <si>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</si>
  <si>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</si>
  <si>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</si>
  <si>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</si>
  <si>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</si>
  <si>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</si>
  <si>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</si>
  <si>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</si>
  <si>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</si>
  <si>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</si>
  <si>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</si>
  <si>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</si>
  <si>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</si>
  <si>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</si>
  <si>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</si>
  <si>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</si>
  <si>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</si>
  <si>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</si>
  <si>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</si>
  <si>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</si>
  <si>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</si>
  <si>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</si>
  <si>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</si>
  <si>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</si>
  <si>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</si>
  <si>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</si>
  <si>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</si>
  <si>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</si>
  <si>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</si>
  <si>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</si>
  <si>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</si>
  <si>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</si>
  <si>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</si>
  <si>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</si>
  <si>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</si>
  <si>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</si>
  <si>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</si>
  <si>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</si>
  <si>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</si>
  <si>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</si>
  <si>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</si>
  <si>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</si>
  <si>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</si>
  <si>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</si>
  <si>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</si>
  <si>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</si>
  <si>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</si>
  <si>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</si>
  <si>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</si>
  <si>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</si>
  <si>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</si>
  <si>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</si>
  <si>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</si>
  <si>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</si>
  <si>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</si>
  <si>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</si>
  <si>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</si>
  <si>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</si>
  <si>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</si>
  <si>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</si>
  <si>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</si>
  <si>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</si>
  <si>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</si>
  <si>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</si>
  <si>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</si>
  <si>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</si>
  <si>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</si>
  <si>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</si>
  <si>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</si>
  <si>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</si>
  <si>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</si>
  <si>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</si>
  <si>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</si>
  <si>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</si>
  <si>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</si>
  <si>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</si>
  <si>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</si>
  <si>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</si>
  <si>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</si>
  <si>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</si>
  <si>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</si>
  <si>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</si>
  <si>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</si>
  <si>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</si>
  <si>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</si>
  <si>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</si>
  <si>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</si>
  <si>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</si>
  <si>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</si>
  <si>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</si>
  <si>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</si>
  <si>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</si>
  <si>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</si>
  <si>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</si>
  <si>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</si>
  <si>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</si>
  <si>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</si>
  <si>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</si>
  <si>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</si>
  <si>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</si>
  <si>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</si>
  <si>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</si>
  <si>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</si>
  <si>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</si>
  <si>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</si>
  <si>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</si>
  <si>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</si>
  <si>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</si>
  <si>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</si>
  <si>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</si>
  <si>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</si>
  <si>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</si>
  <si>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</si>
  <si>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</si>
  <si>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</si>
  <si>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</si>
  <si>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</si>
  <si>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</si>
  <si>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</si>
  <si>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</si>
  <si>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</si>
  <si>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</si>
  <si>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</si>
  <si>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</si>
  <si>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</si>
  <si>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</si>
  <si>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</si>
  <si>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</si>
  <si>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</si>
  <si>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</si>
  <si>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</si>
  <si>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</si>
  <si>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</si>
  <si>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</si>
  <si>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</si>
  <si>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</si>
  <si>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</si>
  <si>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</si>
  <si>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</si>
  <si>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</si>
  <si>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</si>
  <si>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</si>
  <si>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</si>
  <si>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</si>
  <si>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</si>
  <si>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</si>
  <si>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</si>
  <si>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</si>
  <si>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</si>
  <si>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</si>
  <si>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</si>
  <si>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</si>
  <si>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</si>
  <si>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</si>
  <si>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</si>
  <si>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</si>
  <si>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</si>
  <si>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</si>
  <si>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</si>
  <si>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</si>
  <si>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</si>
  <si>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</si>
  <si>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</si>
  <si>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</si>
  <si>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</si>
  <si>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</si>
  <si>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</si>
  <si>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</si>
  <si>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</si>
  <si>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</si>
  <si>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</si>
  <si>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</si>
  <si>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</si>
  <si>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</si>
  <si>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</si>
  <si>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</si>
  <si>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</si>
  <si>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</si>
  <si>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</si>
  <si>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</si>
  <si>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</si>
  <si>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</si>
  <si>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</si>
  <si>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</si>
  <si>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</si>
  <si>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</si>
  <si>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</si>
  <si>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</si>
  <si>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</si>
  <si>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</si>
  <si>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</si>
  <si>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</si>
  <si>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</si>
  <si>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</si>
  <si>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</si>
  <si>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</si>
  <si>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</si>
  <si>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</si>
  <si>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</si>
  <si>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</si>
  <si>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</si>
  <si>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</si>
  <si>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</si>
  <si>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</si>
  <si>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</si>
  <si>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</si>
  <si>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</si>
  <si>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</si>
  <si>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</si>
  <si>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</si>
  <si>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</si>
  <si>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</si>
  <si>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</si>
  <si>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</si>
  <si>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</si>
  <si>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</si>
  <si>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</si>
  <si>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</si>
  <si>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</si>
  <si>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</si>
  <si>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</si>
  <si>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</si>
  <si>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</si>
  <si>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</si>
  <si>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</si>
  <si>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</si>
  <si>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</si>
  <si>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</si>
  <si>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</si>
  <si>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</si>
  <si>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</si>
  <si>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</si>
  <si>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</si>
  <si>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</si>
  <si>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</si>
  <si>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</si>
  <si>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</si>
  <si>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</si>
  <si>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</si>
  <si>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</si>
  <si>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</si>
  <si>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</si>
  <si>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</si>
  <si>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</si>
  <si>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</si>
  <si>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</si>
  <si>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</si>
  <si>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</si>
  <si>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</si>
  <si>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</si>
  <si>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</si>
  <si>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</si>
  <si>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</si>
  <si>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</si>
  <si>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</si>
  <si>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</si>
  <si>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</si>
  <si>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</si>
  <si>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</si>
  <si>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</si>
  <si>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</si>
  <si>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</si>
  <si>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</si>
  <si>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</si>
  <si>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</si>
  <si>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</si>
  <si>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</si>
  <si>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</si>
  <si>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</si>
  <si>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</si>
  <si>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</si>
  <si>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</si>
  <si>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</si>
  <si>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</si>
  <si>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</si>
  <si>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</si>
  <si>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</si>
  <si>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</si>
  <si>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</si>
  <si>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</si>
  <si>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</si>
  <si>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</si>
  <si>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</si>
  <si>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</si>
  <si>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</si>
  <si>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</si>
  <si>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</si>
  <si>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</si>
  <si>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</si>
  <si>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</si>
  <si>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</si>
  <si>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</si>
  <si>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</si>
  <si>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</si>
  <si>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</si>
  <si>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</si>
  <si>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</si>
  <si>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</si>
  <si>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</si>
  <si>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</si>
  <si>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</si>
  <si>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</si>
  <si>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</si>
  <si>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</si>
  <si>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</si>
  <si>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</si>
  <si>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</si>
  <si>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</si>
  <si>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</si>
  <si>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</si>
  <si>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</si>
  <si>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</si>
  <si>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</si>
  <si>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</si>
  <si>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</si>
  <si>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</si>
  <si>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</si>
  <si>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</si>
  <si>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</si>
  <si>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</si>
  <si>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</si>
  <si>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</si>
  <si>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</si>
  <si>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</si>
  <si>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</si>
  <si>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</si>
  <si>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</si>
  <si>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</si>
  <si>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</si>
  <si>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</si>
  <si>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</si>
  <si>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</si>
  <si>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</si>
  <si>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</si>
  <si>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</si>
  <si>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</si>
  <si>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</si>
  <si>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</si>
  <si>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</si>
  <si>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</si>
  <si>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</si>
  <si>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</si>
  <si>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</si>
  <si>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</si>
  <si>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</si>
  <si>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</si>
  <si>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</si>
  <si>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</si>
  <si>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</si>
  <si>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</si>
  <si>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</si>
  <si>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</si>
  <si>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</si>
  <si>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</si>
  <si>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</si>
  <si>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</si>
  <si>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</si>
  <si>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</si>
  <si>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</si>
  <si>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</si>
  <si>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</si>
  <si>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</si>
  <si>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</si>
  <si>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</si>
  <si>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</si>
  <si>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</si>
  <si>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</si>
  <si>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</si>
  <si>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</si>
  <si>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</si>
  <si>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</si>
  <si>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</si>
  <si>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</si>
  <si>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</si>
  <si>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</si>
  <si>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</si>
  <si>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</si>
  <si>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</si>
  <si>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</si>
  <si>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</si>
  <si>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</si>
  <si>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</si>
  <si>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</si>
  <si>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</si>
  <si>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</si>
  <si>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</si>
  <si>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</si>
  <si>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</si>
  <si>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</si>
  <si>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</si>
  <si>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</si>
  <si>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</si>
  <si>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</si>
  <si>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</si>
  <si>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</si>
  <si>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</si>
  <si>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</si>
  <si>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</si>
  <si>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</si>
  <si>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</si>
  <si>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</si>
  <si>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</si>
  <si>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</si>
  <si>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</si>
  <si>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</si>
  <si>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</si>
  <si>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</si>
  <si>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</si>
  <si>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</si>
  <si>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</si>
  <si>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</si>
  <si>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</si>
  <si>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</si>
  <si>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</si>
  <si>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</si>
  <si>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</si>
  <si>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</si>
  <si>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</si>
  <si>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</si>
  <si>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</si>
  <si>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</si>
  <si>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</si>
  <si>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</si>
  <si>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</si>
  <si>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</si>
  <si>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</si>
  <si>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</si>
  <si>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</si>
  <si>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</si>
  <si>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</si>
  <si>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</si>
  <si>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</si>
  <si>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</si>
  <si>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</si>
  <si>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</si>
  <si>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</si>
  <si>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</si>
  <si>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</si>
  <si>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</si>
  <si>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</si>
  <si>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</si>
  <si>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</si>
  <si>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</si>
  <si>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</si>
  <si>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</si>
  <si>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</si>
  <si>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</si>
  <si>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</si>
  <si>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</si>
  <si>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</si>
  <si>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</si>
  <si>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</si>
  <si>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</si>
  <si>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</si>
  <si>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</si>
  <si>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</si>
  <si>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</si>
  <si>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</si>
  <si>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</si>
  <si>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</si>
  <si>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</si>
  <si>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</si>
  <si>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</si>
  <si>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</si>
  <si>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</si>
  <si>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</si>
  <si>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</si>
  <si>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</si>
  <si>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</si>
  <si>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</si>
  <si>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</si>
  <si>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</si>
  <si>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</si>
  <si>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</si>
  <si>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</si>
  <si>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</si>
  <si>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</si>
  <si>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</si>
  <si>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</si>
  <si>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</si>
  <si>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</si>
  <si>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</si>
  <si>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</si>
  <si>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</si>
  <si>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</si>
  <si>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</si>
  <si>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</si>
  <si>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</si>
  <si>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</si>
  <si>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</si>
  <si>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</si>
  <si>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</si>
  <si>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</si>
  <si>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</si>
  <si>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</si>
  <si>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</si>
  <si>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</si>
  <si>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</si>
  <si>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</si>
  <si>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</si>
  <si>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</si>
  <si>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</si>
  <si>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</si>
  <si>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</si>
  <si>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</si>
  <si>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</si>
  <si>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</si>
  <si>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</si>
  <si>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</si>
  <si>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</si>
  <si>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</si>
  <si>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</si>
  <si>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</si>
  <si>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</si>
  <si>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</si>
  <si>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</si>
  <si>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</si>
  <si>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</si>
  <si>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</si>
  <si>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</si>
  <si>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</si>
  <si>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</si>
  <si>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</si>
  <si>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</si>
  <si>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</si>
  <si>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</si>
  <si>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</si>
  <si>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</si>
  <si>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</si>
  <si>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</si>
  <si>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</si>
  <si>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</si>
  <si>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</si>
  <si>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</si>
  <si>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</si>
  <si>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</si>
  <si>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</si>
  <si>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</si>
  <si>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</si>
  <si>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</si>
  <si>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</si>
  <si>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</si>
  <si>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</si>
  <si>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</si>
  <si>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</si>
  <si>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</si>
  <si>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</si>
  <si>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</si>
  <si>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</si>
  <si>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</si>
  <si>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</si>
  <si>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</si>
  <si>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</si>
  <si>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</si>
  <si>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</si>
  <si>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</si>
  <si>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</si>
  <si>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</si>
  <si>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</si>
  <si>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</si>
  <si>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</si>
  <si>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</si>
  <si>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</si>
  <si>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</si>
  <si>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</si>
  <si>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</si>
  <si>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</si>
  <si>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</si>
  <si>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</si>
  <si>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</si>
  <si>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</si>
  <si>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</si>
  <si>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</si>
  <si>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</si>
  <si>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</si>
  <si>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</si>
  <si>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</si>
  <si>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</si>
  <si>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</si>
  <si>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</si>
  <si>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</si>
  <si>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</si>
  <si>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</si>
  <si>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</si>
  <si>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</si>
  <si>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</si>
  <si>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</si>
  <si>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</si>
  <si>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</si>
  <si>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</si>
  <si>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</si>
  <si>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</si>
  <si>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</si>
  <si>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</si>
  <si>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</si>
  <si>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</si>
  <si>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</si>
  <si>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</si>
  <si>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</si>
  <si>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</si>
  <si>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</si>
  <si>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</si>
  <si>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</si>
  <si>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</si>
  <si>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</si>
  <si>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</si>
  <si>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</si>
  <si>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</si>
  <si>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</si>
  <si>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</si>
  <si>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</si>
  <si>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</si>
  <si>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</si>
  <si>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</si>
  <si>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</si>
  <si>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</si>
  <si>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</si>
  <si>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</si>
  <si>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</si>
  <si>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</si>
  <si>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</si>
  <si>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</si>
  <si>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</si>
  <si>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</si>
  <si>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</si>
  <si>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</si>
  <si>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</si>
  <si>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</si>
  <si>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</si>
  <si>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</si>
  <si>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</si>
  <si>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</si>
  <si>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</si>
  <si>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</si>
  <si>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</si>
  <si>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</si>
  <si>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</si>
  <si>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</si>
  <si>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</si>
  <si>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</si>
  <si>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</si>
  <si>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</si>
  <si>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</si>
  <si>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</si>
  <si>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</si>
  <si>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</si>
  <si>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</si>
  <si>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</si>
  <si>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</si>
  <si>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</si>
  <si>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</si>
  <si>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</si>
  <si>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</si>
  <si>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</si>
  <si>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</si>
  <si>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</si>
  <si>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</si>
  <si>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</si>
  <si>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</si>
  <si>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</si>
  <si>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</si>
  <si>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</si>
  <si>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</si>
  <si>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</si>
  <si>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</si>
  <si>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</si>
  <si>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</si>
  <si>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</si>
  <si>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</si>
  <si>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</si>
  <si>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</si>
  <si>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</si>
  <si>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</si>
  <si>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</si>
  <si>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</si>
  <si>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</si>
  <si>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</si>
  <si>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</si>
  <si>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</si>
  <si>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</si>
  <si>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</si>
  <si>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</si>
  <si>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</si>
  <si>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</si>
  <si>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</si>
  <si>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</si>
  <si>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</si>
  <si>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</si>
  <si>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</si>
  <si>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</si>
  <si>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</si>
  <si>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</si>
  <si>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</si>
  <si>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</si>
  <si>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</si>
  <si>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</si>
  <si>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</si>
  <si>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</si>
  <si>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</si>
  <si>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</si>
  <si>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</si>
  <si>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</si>
  <si>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</si>
  <si>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</si>
  <si>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</si>
  <si>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</si>
  <si>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</si>
  <si>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</si>
  <si>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</si>
  <si>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</si>
  <si>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</si>
  <si>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</si>
  <si>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</si>
  <si>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</si>
  <si>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</si>
  <si>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</si>
  <si>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</si>
  <si>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</si>
  <si>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</si>
  <si>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</si>
  <si>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</si>
  <si>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</si>
  <si>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</si>
  <si>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</si>
  <si>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</si>
  <si>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</si>
  <si>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</si>
  <si>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</si>
  <si>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</si>
  <si>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</si>
  <si>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</si>
  <si>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</si>
  <si>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</si>
  <si>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</si>
  <si>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</si>
  <si>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</si>
  <si>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</si>
  <si>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</si>
  <si>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</si>
  <si>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</si>
  <si>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</si>
  <si>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</si>
  <si>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</si>
  <si>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</si>
  <si>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</si>
  <si>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</si>
  <si>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</si>
  <si>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</si>
  <si>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</si>
  <si>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</si>
  <si>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</si>
  <si>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</si>
  <si>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</si>
  <si>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</si>
  <si>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</si>
  <si>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</si>
  <si>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</si>
  <si>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</si>
  <si>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</si>
  <si>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</si>
  <si>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</si>
  <si>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</si>
  <si>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</si>
  <si>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</si>
  <si>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</si>
  <si>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</si>
  <si>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</si>
  <si>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</si>
  <si>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</si>
  <si>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</si>
  <si>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</si>
  <si>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</si>
  <si>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</si>
  <si>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</si>
  <si>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</si>
  <si>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</si>
  <si>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</si>
  <si>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</si>
  <si>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</si>
  <si>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</si>
  <si>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</si>
  <si>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</si>
  <si>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</si>
  <si>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</si>
  <si>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</si>
  <si>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</si>
  <si>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</si>
  <si>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</si>
  <si>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</si>
  <si>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</si>
  <si>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</si>
  <si>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</si>
  <si>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</si>
  <si>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</si>
  <si>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</si>
  <si>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</si>
  <si>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</si>
  <si>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</si>
  <si>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</si>
  <si>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</si>
  <si>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</si>
  <si>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</si>
  <si>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</si>
  <si>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</si>
  <si>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</si>
  <si>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</si>
  <si>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</si>
  <si>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</si>
  <si>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</si>
  <si>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</si>
  <si>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</si>
  <si>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</si>
  <si>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</si>
  <si>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</si>
  <si>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</si>
  <si>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</si>
  <si>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</si>
  <si>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</si>
  <si>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</si>
  <si>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</si>
  <si>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</si>
  <si>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</si>
  <si>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</si>
  <si>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</si>
  <si>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</si>
  <si>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</si>
  <si>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</si>
  <si>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</si>
  <si>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</si>
  <si>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</si>
  <si>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</si>
  <si>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</si>
  <si>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</si>
  <si>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</si>
  <si>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</si>
  <si>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</si>
  <si>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</si>
  <si>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</si>
  <si>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</si>
  <si>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</si>
  <si>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</si>
  <si>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</si>
  <si>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</si>
  <si>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</si>
  <si>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</si>
  <si>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</si>
  <si>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</si>
  <si>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</si>
  <si>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</si>
  <si>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</si>
  <si>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</si>
  <si>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</si>
  <si>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</si>
  <si>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</si>
  <si>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</si>
  <si>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</si>
  <si>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</si>
  <si>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</si>
  <si>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</si>
  <si>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</si>
  <si>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</si>
  <si>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</si>
  <si>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</si>
  <si>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</si>
  <si>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</si>
  <si>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</si>
  <si>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</si>
  <si>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</si>
  <si>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</si>
  <si>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</si>
  <si>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</si>
  <si>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</si>
  <si>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</si>
  <si>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</si>
  <si>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</si>
  <si>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</si>
  <si>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</si>
  <si>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</si>
  <si>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</si>
  <si>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</si>
  <si>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</si>
  <si>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</si>
  <si>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</si>
  <si>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</si>
  <si>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</si>
  <si>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</si>
  <si>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</si>
  <si>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</si>
  <si>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</si>
  <si>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</si>
  <si>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</si>
  <si>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</si>
  <si>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</si>
  <si>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</si>
  <si>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</si>
  <si>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</si>
  <si>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</si>
  <si>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</si>
  <si>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</si>
  <si>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</si>
  <si>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</si>
  <si>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</si>
  <si>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</si>
  <si>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</si>
  <si>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</si>
  <si>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</si>
  <si>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</si>
  <si>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</si>
  <si>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</si>
  <si>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</si>
  <si>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</si>
  <si>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</si>
  <si>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</si>
  <si>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</si>
  <si>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</si>
  <si>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</si>
  <si>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</si>
  <si>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</si>
  <si>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</si>
  <si>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</si>
  <si>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</si>
  <si>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</si>
  <si>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</si>
  <si>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</si>
  <si>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</si>
  <si>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</si>
  <si>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</si>
  <si>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</si>
  <si>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</si>
  <si>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</si>
  <si>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</si>
  <si>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</si>
  <si>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</si>
  <si>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</si>
  <si>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</si>
  <si>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</si>
  <si>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</si>
  <si>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</si>
  <si>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</si>
  <si>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</si>
  <si>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</si>
  <si>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</si>
  <si>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</si>
  <si>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</si>
  <si>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</si>
  <si>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</si>
  <si>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</si>
  <si>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</si>
  <si>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</si>
  <si>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</si>
  <si>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</si>
  <si>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</si>
  <si>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</si>
  <si>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</si>
  <si>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</si>
  <si>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</si>
  <si>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</si>
  <si>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</si>
  <si>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</si>
  <si>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</si>
  <si>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</si>
  <si>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</si>
  <si>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</si>
  <si>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</si>
  <si>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</si>
  <si>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</si>
  <si>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</si>
  <si>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</si>
  <si>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</si>
  <si>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</si>
  <si>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</si>
  <si>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</si>
  <si>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</si>
  <si>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</si>
  <si>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</si>
  <si>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</si>
  <si>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</si>
  <si>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</si>
  <si>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</si>
  <si>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</si>
  <si>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</si>
  <si>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</si>
  <si>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</si>
  <si>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</si>
  <si>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</si>
  <si>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</si>
  <si>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</si>
  <si>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</si>
  <si>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</si>
  <si>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</si>
  <si>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</si>
  <si>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</si>
  <si>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</si>
  <si>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</si>
  <si>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</si>
  <si>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</si>
  <si>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</si>
  <si>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</si>
  <si>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</si>
  <si>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</si>
  <si>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</si>
  <si>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</si>
  <si>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</si>
  <si>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</si>
  <si>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</si>
  <si>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</si>
  <si>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</si>
  <si>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</si>
  <si>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</si>
  <si>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</si>
  <si>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</si>
  <si>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</si>
  <si>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</si>
  <si>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</si>
  <si>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</si>
  <si>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</si>
  <si>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</si>
  <si>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</si>
  <si>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</si>
  <si>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</si>
  <si>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</si>
  <si>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</si>
  <si>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</si>
  <si>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</si>
  <si>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</si>
  <si>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</si>
  <si>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</si>
  <si>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</si>
  <si>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</si>
  <si>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</si>
  <si>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</si>
  <si>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</si>
  <si>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</si>
  <si>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</si>
  <si>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</si>
  <si>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</si>
  <si>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</si>
  <si>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</si>
  <si>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</si>
  <si>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</si>
  <si>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</si>
  <si>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</si>
  <si>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</si>
  <si>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</si>
  <si>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</si>
  <si>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</si>
  <si>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</si>
  <si>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</si>
  <si>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</si>
  <si>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</si>
  <si>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</si>
  <si>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</si>
  <si>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</si>
  <si>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</si>
  <si>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</si>
  <si>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</si>
  <si>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</si>
  <si>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</si>
  <si>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</si>
  <si>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</si>
  <si>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</si>
  <si>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</si>
  <si>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</si>
  <si>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</si>
  <si>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</si>
  <si>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</si>
  <si>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</si>
  <si>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</si>
  <si>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</si>
  <si>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</si>
  <si>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</si>
  <si>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</si>
  <si>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</si>
  <si>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</si>
  <si>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</si>
  <si>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</si>
  <si>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</si>
  <si>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</si>
  <si>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</si>
  <si>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</si>
  <si>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</si>
  <si>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</si>
  <si>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</si>
  <si>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</si>
  <si>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</si>
  <si>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</si>
  <si>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</si>
  <si>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</si>
  <si>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</si>
  <si>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</si>
  <si>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</si>
  <si>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</si>
  <si>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</si>
  <si>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</si>
  <si>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</si>
  <si>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</si>
  <si>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</si>
  <si>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</si>
  <si>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</si>
  <si>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</si>
  <si>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</si>
  <si>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</si>
  <si>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</si>
  <si>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</si>
  <si>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</si>
  <si>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</si>
  <si>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</si>
  <si>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</si>
  <si>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</si>
  <si>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</si>
  <si>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</si>
  <si>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</si>
  <si>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</si>
  <si>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</si>
  <si>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</si>
  <si>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</si>
  <si>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</si>
  <si>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</si>
  <si>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</si>
  <si>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</si>
  <si>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</si>
  <si>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</si>
  <si>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</si>
  <si>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</si>
  <si>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</si>
  <si>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</si>
  <si>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</si>
  <si>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</si>
  <si>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</si>
  <si>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</si>
  <si>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</si>
  <si>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</si>
  <si>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</si>
  <si>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</si>
  <si>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</si>
  <si>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</si>
  <si>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</si>
  <si>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</si>
  <si>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</si>
  <si>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</si>
  <si>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</si>
  <si>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</si>
  <si>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</si>
  <si>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</si>
  <si>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</si>
  <si>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</si>
  <si>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</si>
  <si>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</si>
  <si>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</si>
  <si>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</si>
  <si>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</si>
  <si>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</si>
  <si>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</si>
  <si>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</si>
  <si>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</si>
  <si>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</si>
  <si>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</si>
  <si>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</si>
  <si>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</si>
  <si>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</si>
  <si>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</si>
  <si>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</si>
  <si>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</si>
  <si>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</si>
  <si>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</si>
  <si>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</si>
  <si>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</si>
  <si>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</si>
  <si>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</si>
  <si>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</si>
  <si>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</si>
  <si>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</si>
  <si>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</si>
  <si>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</si>
  <si>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</si>
  <si>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</si>
  <si>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</si>
  <si>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</si>
  <si>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</si>
  <si>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</si>
  <si>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</si>
  <si>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</si>
  <si>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</si>
  <si>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</si>
  <si>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</si>
  <si>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</si>
  <si>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</si>
  <si>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</si>
  <si>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</si>
  <si>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</si>
  <si>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</si>
  <si>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</si>
  <si>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</si>
  <si>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</si>
  <si>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</si>
  <si>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</si>
  <si>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</si>
  <si>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</si>
  <si>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</si>
  <si>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</si>
  <si>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</si>
  <si>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</si>
  <si>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</si>
  <si>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</si>
  <si>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</si>
  <si>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</si>
  <si>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</si>
  <si>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</si>
  <si>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</si>
  <si>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</si>
  <si>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</si>
  <si>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</si>
  <si>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</si>
  <si>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</si>
  <si>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</si>
  <si>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</si>
  <si>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</si>
  <si>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</si>
  <si>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</si>
  <si>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</si>
  <si>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</si>
  <si>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</si>
  <si>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</si>
  <si>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</si>
  <si>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</si>
  <si>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</si>
  <si>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</si>
  <si>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</si>
  <si>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</si>
  <si>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</si>
  <si>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</si>
  <si>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</si>
  <si>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</si>
  <si>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</si>
  <si>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</si>
  <si>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</si>
  <si>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</si>
  <si>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</si>
  <si>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</si>
  <si>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</si>
  <si>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</si>
  <si>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</si>
  <si>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</si>
  <si>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</si>
  <si>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</si>
  <si>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</si>
  <si>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</si>
  <si>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</si>
  <si>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</si>
  <si>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</si>
  <si>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</si>
  <si>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</si>
  <si>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</si>
  <si>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</si>
  <si>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</si>
  <si>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</si>
  <si>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</si>
  <si>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</si>
  <si>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</si>
  <si>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</si>
  <si>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</si>
  <si>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</si>
  <si>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</si>
  <si>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</si>
  <si>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</si>
  <si>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</si>
  <si>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</si>
  <si>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</si>
  <si>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</si>
  <si>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</si>
  <si>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</si>
  <si>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</si>
  <si>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</si>
  <si>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</si>
  <si>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</si>
  <si>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</si>
  <si>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</si>
  <si>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</si>
  <si>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</si>
  <si>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</si>
  <si>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</si>
  <si>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</si>
  <si>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</si>
  <si>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</si>
  <si>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</si>
  <si>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</si>
  <si>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</si>
  <si>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</si>
  <si>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</si>
  <si>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</si>
  <si>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</si>
  <si>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</si>
  <si>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</si>
  <si>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</si>
  <si>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</si>
  <si>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</si>
  <si>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</si>
  <si>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</si>
  <si>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</si>
  <si>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</si>
  <si>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</si>
  <si>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</si>
  <si>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</si>
  <si>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</si>
  <si>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</si>
  <si>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</si>
  <si>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</si>
  <si>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</si>
  <si>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</si>
  <si>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</si>
  <si>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</si>
  <si>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</si>
  <si>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</si>
  <si>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</si>
  <si>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</si>
  <si>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</si>
  <si>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</si>
  <si>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</si>
  <si>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</si>
  <si>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</si>
  <si>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</si>
  <si>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</si>
  <si>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</si>
  <si>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</si>
  <si>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</si>
  <si>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</si>
  <si>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</si>
  <si>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</si>
  <si>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</si>
  <si>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</si>
  <si>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</si>
  <si>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</si>
  <si>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</si>
  <si>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</si>
  <si>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</si>
  <si>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</si>
  <si>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</si>
  <si>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</si>
  <si>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</si>
  <si>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</si>
  <si>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</si>
  <si>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</si>
  <si>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</si>
  <si>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</si>
  <si>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</si>
  <si>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</si>
  <si>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</si>
  <si>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</si>
  <si>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</si>
  <si>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</si>
  <si>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</si>
  <si>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</si>
  <si>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</si>
  <si>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</si>
  <si>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</si>
  <si>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</si>
  <si>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</si>
  <si>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</si>
  <si>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</si>
  <si>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</si>
  <si>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</si>
  <si>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</si>
  <si>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</si>
  <si>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</si>
  <si>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</si>
  <si>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</si>
  <si>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</si>
  <si>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</si>
  <si>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</si>
  <si>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</si>
  <si>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</si>
  <si>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</si>
  <si>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</si>
  <si>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</si>
  <si>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</si>
  <si>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</si>
  <si>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</si>
  <si>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</si>
  <si>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</si>
  <si>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</si>
  <si>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</si>
  <si>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</si>
  <si>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</si>
  <si>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</si>
  <si>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</si>
  <si>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</si>
  <si>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</si>
  <si>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</si>
  <si>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</si>
  <si>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</si>
  <si>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</si>
  <si>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</si>
  <si>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</si>
  <si>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</si>
  <si>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</si>
  <si>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</si>
  <si>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</si>
  <si>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</si>
  <si>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</si>
  <si>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</si>
  <si>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</si>
  <si>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</si>
  <si>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</si>
  <si>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</si>
  <si>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</si>
  <si>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</si>
  <si>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</si>
  <si>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</si>
  <si>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</si>
  <si>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</si>
  <si>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</si>
  <si>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</si>
  <si>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</si>
  <si>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</si>
  <si>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</si>
  <si>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</si>
  <si>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</si>
  <si>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</si>
  <si>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</si>
  <si>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</si>
  <si>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</si>
  <si>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</si>
  <si>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</si>
  <si>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</si>
  <si>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</si>
  <si>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</si>
  <si>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</si>
  <si>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</si>
  <si>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</si>
  <si>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</si>
  <si>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</si>
  <si>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</si>
  <si>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</si>
  <si>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</si>
  <si>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</si>
  <si>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</si>
  <si>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</si>
  <si>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</si>
  <si>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</si>
  <si>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</si>
  <si>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</si>
  <si>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</si>
  <si>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</si>
  <si>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</si>
  <si>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</si>
  <si>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</si>
  <si>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</si>
  <si>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</si>
  <si>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</si>
  <si>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</si>
  <si>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</si>
  <si>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</si>
  <si>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</si>
  <si>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</si>
  <si>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</si>
  <si>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</si>
  <si>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</si>
  <si>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</si>
  <si>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</si>
  <si>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</si>
  <si>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</si>
  <si>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</si>
  <si>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</si>
  <si>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</si>
  <si>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</si>
  <si>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</si>
  <si>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</si>
  <si>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</si>
  <si>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</si>
  <si>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</si>
  <si>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</si>
  <si>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</si>
  <si>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</si>
  <si>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</si>
  <si>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</si>
  <si>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</si>
  <si>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</si>
  <si>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</si>
  <si>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</si>
  <si>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</si>
  <si>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</si>
  <si>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</si>
  <si>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</si>
  <si>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</si>
  <si>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</si>
  <si>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</si>
  <si>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</si>
  <si>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</si>
  <si>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</si>
  <si>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</si>
  <si>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</si>
  <si>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</si>
  <si>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</si>
  <si>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</si>
  <si>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</si>
  <si>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</si>
  <si>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</si>
  <si>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</si>
  <si>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</si>
  <si>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</si>
  <si>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</si>
  <si>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</si>
  <si>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</si>
  <si>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</si>
  <si>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</si>
  <si>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</si>
  <si>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</si>
  <si>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</si>
  <si>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</si>
  <si>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</si>
  <si>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</si>
  <si>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</si>
  <si>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</si>
  <si>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</si>
  <si>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</si>
  <si>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</si>
  <si>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</si>
  <si>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</si>
  <si>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</si>
  <si>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</si>
  <si>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</si>
  <si>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</si>
  <si>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</si>
  <si>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</si>
  <si>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</si>
  <si>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</si>
  <si>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</si>
  <si>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</si>
  <si>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</si>
  <si>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</si>
  <si>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</si>
  <si>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</si>
  <si>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</si>
  <si>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</si>
  <si>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</si>
  <si>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</si>
  <si>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</si>
  <si>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</si>
  <si>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</si>
  <si>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</si>
  <si>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</si>
  <si>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</si>
  <si>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</si>
  <si>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</si>
  <si>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</si>
  <si>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</si>
  <si>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</si>
  <si>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</si>
  <si>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</si>
  <si>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</si>
  <si>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</si>
  <si>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</si>
  <si>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</si>
  <si>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</si>
  <si>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</si>
  <si>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</si>
  <si>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</si>
  <si>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</si>
  <si>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</si>
  <si>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</si>
  <si>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</si>
  <si>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</si>
  <si>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</si>
  <si>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</si>
  <si>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</si>
  <si>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</si>
  <si>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</si>
  <si>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</si>
  <si>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</si>
  <si>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</si>
  <si>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</si>
  <si>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</si>
  <si>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</si>
  <si>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</si>
  <si>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</si>
  <si>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</si>
  <si>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</si>
  <si>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</si>
  <si>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</si>
  <si>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</si>
  <si>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</si>
  <si>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</si>
  <si>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</si>
  <si>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</si>
  <si>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</si>
  <si>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</si>
  <si>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</si>
  <si>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</si>
  <si>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</si>
  <si>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</si>
  <si>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</si>
  <si>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</si>
  <si>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</si>
  <si>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</si>
  <si>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</si>
  <si>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</si>
  <si>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</si>
  <si>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</si>
  <si>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</si>
  <si>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</si>
  <si>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</si>
  <si>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</si>
  <si>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</si>
  <si>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</si>
  <si>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</si>
  <si>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</si>
  <si>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</si>
  <si>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</si>
  <si>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</si>
  <si>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</si>
  <si>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</si>
  <si>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</si>
  <si>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</si>
  <si>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</si>
  <si>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</si>
  <si>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</si>
  <si>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</si>
  <si>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</si>
  <si>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</si>
  <si>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</si>
  <si>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</si>
  <si>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</si>
  <si>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</si>
  <si>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</si>
  <si>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</si>
  <si>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</si>
  <si>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</si>
  <si>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</si>
  <si>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</si>
  <si>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</si>
  <si>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</si>
  <si>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</si>
  <si>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</si>
  <si>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</si>
  <si>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</si>
  <si>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</si>
  <si>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</si>
  <si>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</si>
  <si>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</si>
  <si>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</si>
  <si>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</si>
  <si>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</si>
  <si>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</si>
  <si>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</si>
  <si>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</si>
  <si>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</si>
  <si>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</si>
  <si>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</si>
  <si>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</si>
  <si>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</si>
  <si>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</si>
  <si>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</si>
  <si>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</si>
  <si>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</si>
  <si>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</si>
  <si>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</si>
  <si>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</si>
  <si>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</si>
  <si>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</si>
  <si>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</si>
  <si>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</si>
  <si>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</si>
  <si>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</si>
  <si>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</si>
  <si>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</si>
  <si>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</si>
  <si>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</si>
  <si>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</si>
  <si>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</si>
  <si>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</si>
  <si>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</si>
  <si>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</si>
  <si>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</si>
  <si>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</si>
  <si>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</si>
  <si>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</si>
  <si>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</si>
  <si>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</si>
  <si>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</si>
  <si>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</si>
  <si>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普通装修</t>
  </si>
  <si>
    <t>普通装修</t>
    <phoneticPr fontId="134" type="noConversion"/>
  </si>
  <si>
    <t>东</t>
  </si>
  <si>
    <t>核定资产</t>
  </si>
  <si>
    <t>房地产市场价值</t>
  </si>
  <si>
    <t>北京市</t>
  </si>
  <si>
    <t>自然人</t>
  </si>
  <si>
    <t>地上</t>
  </si>
  <si>
    <t>是</t>
  </si>
  <si>
    <t>信息服务用房</t>
  </si>
  <si>
    <t>跃层商住</t>
    <phoneticPr fontId="16" type="noConversion"/>
  </si>
  <si>
    <t>成新度</t>
  </si>
  <si>
    <t>收益法 (元)</t>
  </si>
  <si>
    <t>押一</t>
  </si>
  <si>
    <t>钢混</t>
  </si>
  <si>
    <t>非生产用房</t>
  </si>
  <si>
    <t>否</t>
  </si>
  <si>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</si>
  <si>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</si>
  <si>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</si>
  <si>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</si>
  <si>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</si>
  <si>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</si>
  <si>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</si>
  <si>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</si>
  <si>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</si>
  <si>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</si>
  <si>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</si>
  <si>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</si>
  <si>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t>精装修</t>
    <phoneticPr fontId="24" type="noConversion"/>
  </si>
  <si>
    <t>自定义容积率</t>
  </si>
  <si>
    <t>不临65条商业街</t>
  </si>
  <si>
    <t>与级别开发程度一致</t>
  </si>
  <si>
    <t>地价指数</t>
  </si>
  <si>
    <t>中心城区</t>
  </si>
  <si>
    <t>一般</t>
  </si>
  <si>
    <t>较好</t>
  </si>
  <si>
    <t>楼层</t>
    <phoneticPr fontId="24" type="noConversion"/>
  </si>
  <si>
    <t>七通</t>
  </si>
  <si>
    <t>精装修</t>
  </si>
  <si>
    <t>南北</t>
  </si>
  <si>
    <t>南北</t>
    <phoneticPr fontId="24" type="noConversion"/>
  </si>
  <si>
    <t>一般装修</t>
    <phoneticPr fontId="24" type="noConversion"/>
  </si>
  <si>
    <t>北京市朝阳区望京东园七区3号楼10层3单元1001</t>
  </si>
  <si>
    <t>评估值</t>
    <phoneticPr fontId="134" type="noConversion"/>
  </si>
  <si>
    <t>评估单价</t>
    <phoneticPr fontId="134" type="noConversion"/>
  </si>
  <si>
    <t>成交价</t>
    <phoneticPr fontId="134" type="noConversion"/>
  </si>
  <si>
    <t>成交单价</t>
  </si>
  <si>
    <t>成交单价</t>
    <phoneticPr fontId="134" type="noConversion"/>
  </si>
  <si>
    <t>竞拍轮次</t>
    <phoneticPr fontId="134" type="noConversion"/>
  </si>
  <si>
    <t>保利中央公园赏林园</t>
    <phoneticPr fontId="134" type="noConversion"/>
  </si>
  <si>
    <t>1拍10轮，七折起拍</t>
    <phoneticPr fontId="134" type="noConversion"/>
  </si>
  <si>
    <t>北京市朝阳区望京东园一区117号楼12层1501</t>
  </si>
  <si>
    <t>宝星华庭</t>
    <phoneticPr fontId="134" type="noConversion"/>
  </si>
  <si>
    <t>北京市朝阳区望京东园七区10号楼3单元301号房产一处 - 司法拍卖 - 阿里资产</t>
  </si>
  <si>
    <t>保利中央公园嬉林园</t>
    <phoneticPr fontId="134" type="noConversion"/>
  </si>
  <si>
    <t>北京市朝阳区望京东园七区10号楼3单元301号房产一处</t>
    <phoneticPr fontId="134" type="noConversion"/>
  </si>
  <si>
    <t>1拍，九折起拍</t>
    <phoneticPr fontId="134" type="noConversion"/>
  </si>
  <si>
    <t>北京市朝阳区望京东园110号楼13单元1902室 - 司法拍卖 - 阿里资产</t>
  </si>
  <si>
    <t>北京市朝阳区望京东园110号楼13单元1902室</t>
    <phoneticPr fontId="134" type="noConversion"/>
  </si>
  <si>
    <t>宝星园</t>
    <phoneticPr fontId="134" type="noConversion"/>
  </si>
  <si>
    <t>1拍，七折起拍</t>
    <phoneticPr fontId="134" type="noConversion"/>
  </si>
  <si>
    <t>北京市朝阳区望京东园六区601号楼3门103号房产</t>
    <phoneticPr fontId="134" type="noConversion"/>
  </si>
  <si>
    <t>北京市朝阳区望京东园六区601号楼3门103号房产 - 司法拍卖 - 阿里资产</t>
  </si>
  <si>
    <t>国风北京</t>
  </si>
  <si>
    <t>国风北京</t>
    <phoneticPr fontId="134" type="noConversion"/>
  </si>
  <si>
    <t>变卖，五六折流拍</t>
    <phoneticPr fontId="134" type="noConversion"/>
  </si>
  <si>
    <t>北京市朝阳区望京东园三区6号楼1单元27层2701号住宅及望京东园三区3号楼地下车库负1层1218、1219号车位 - 司法拍卖 - 阿里资产</t>
  </si>
  <si>
    <t>万和远洋公馆</t>
    <phoneticPr fontId="134" type="noConversion"/>
  </si>
  <si>
    <t>1拍107轮，八折起拍</t>
    <phoneticPr fontId="134" type="noConversion"/>
  </si>
  <si>
    <r>
      <t>一拍</t>
    </r>
    <r>
      <rPr>
        <b/>
        <sz val="12"/>
        <color rgb="FF333333"/>
        <rFont val="Arial"/>
        <family val="2"/>
      </rPr>
      <t> </t>
    </r>
    <r>
      <rPr>
        <b/>
        <sz val="12"/>
        <color rgb="FF333333"/>
        <rFont val="宋体"/>
        <family val="3"/>
        <charset val="134"/>
      </rPr>
      <t>北京市朝阳区望京东园三区</t>
    </r>
    <r>
      <rPr>
        <b/>
        <sz val="12"/>
        <color rgb="FF333333"/>
        <rFont val="Arial"/>
        <family val="2"/>
      </rPr>
      <t>6</t>
    </r>
    <r>
      <rPr>
        <b/>
        <sz val="12"/>
        <color rgb="FF333333"/>
        <rFont val="宋体"/>
        <family val="3"/>
        <charset val="134"/>
      </rPr>
      <t>号楼</t>
    </r>
    <r>
      <rPr>
        <b/>
        <sz val="12"/>
        <color rgb="FF333333"/>
        <rFont val="Arial"/>
        <family val="2"/>
      </rPr>
      <t>1</t>
    </r>
    <r>
      <rPr>
        <b/>
        <sz val="12"/>
        <color rgb="FF333333"/>
        <rFont val="宋体"/>
        <family val="3"/>
        <charset val="134"/>
      </rPr>
      <t>单元</t>
    </r>
    <r>
      <rPr>
        <b/>
        <sz val="12"/>
        <color rgb="FF333333"/>
        <rFont val="Arial"/>
        <family val="2"/>
      </rPr>
      <t>27</t>
    </r>
    <r>
      <rPr>
        <b/>
        <sz val="12"/>
        <color rgb="FF333333"/>
        <rFont val="宋体"/>
        <family val="3"/>
        <charset val="134"/>
      </rPr>
      <t>层</t>
    </r>
    <r>
      <rPr>
        <b/>
        <sz val="12"/>
        <color rgb="FF333333"/>
        <rFont val="Arial"/>
        <family val="2"/>
      </rPr>
      <t>2701</t>
    </r>
    <r>
      <rPr>
        <b/>
        <sz val="12"/>
        <color rgb="FF333333"/>
        <rFont val="宋体"/>
        <family val="3"/>
        <charset val="134"/>
      </rPr>
      <t>号住宅</t>
    </r>
    <phoneticPr fontId="134" type="noConversion"/>
  </si>
  <si>
    <t>望京东园617号楼8层801</t>
  </si>
  <si>
    <t>国风上观</t>
  </si>
  <si>
    <t>商品房</t>
  </si>
  <si>
    <t>27（-03）</t>
  </si>
  <si>
    <t>望京东园620号楼2层203</t>
  </si>
  <si>
    <t>27（-2）</t>
  </si>
  <si>
    <t>望京东园617号楼27层2703</t>
  </si>
  <si>
    <t>望京东园623号楼15层1单元1502</t>
  </si>
  <si>
    <t>27（-02）</t>
  </si>
  <si>
    <t>望京东园609号楼7层5单元701</t>
  </si>
  <si>
    <t>14（-02）</t>
  </si>
  <si>
    <t>望京东园601号楼8层4门803号</t>
  </si>
  <si>
    <t>望京东园623号楼24层2单元2403</t>
  </si>
  <si>
    <t>望京东园六区612号楼6层2-601</t>
  </si>
  <si>
    <t>望京东园611号楼6层3-602</t>
  </si>
  <si>
    <t>12（-01）</t>
  </si>
  <si>
    <t>望京东园617号楼16层1603</t>
  </si>
  <si>
    <t>27（-3）</t>
  </si>
  <si>
    <t>望京东园六区609号楼9层8门903号</t>
  </si>
  <si>
    <t>望京东园六区604号楼7层3单元701</t>
  </si>
  <si>
    <t>14（-2）</t>
  </si>
  <si>
    <t>望京东园601号楼7层⑤-703</t>
  </si>
  <si>
    <t>望京东园六区604号楼6层3单元602</t>
  </si>
  <si>
    <t>望京东园611号楼6层1门602</t>
  </si>
  <si>
    <t>成交价格</t>
    <phoneticPr fontId="134" type="noConversion"/>
  </si>
  <si>
    <t>成交日期</t>
    <phoneticPr fontId="134" type="noConversion"/>
  </si>
  <si>
    <t>总楼层</t>
    <phoneticPr fontId="134" type="noConversion"/>
  </si>
  <si>
    <t>所在楼层</t>
    <phoneticPr fontId="134" type="noConversion"/>
  </si>
  <si>
    <t>坐落</t>
    <phoneticPr fontId="134" type="noConversion"/>
  </si>
  <si>
    <t>时间</t>
  </si>
  <si>
    <t>户型</t>
  </si>
  <si>
    <t>面积(㎡)</t>
  </si>
  <si>
    <t>楼层</t>
  </si>
  <si>
    <t>朝向</t>
  </si>
  <si>
    <t>挂牌价(万)</t>
  </si>
  <si>
    <t>挂牌时间</t>
  </si>
  <si>
    <t>成交价(万)</t>
  </si>
  <si>
    <t>3室1厅</t>
  </si>
  <si>
    <t>低楼层(共27层)</t>
  </si>
  <si>
    <t>南 北</t>
  </si>
  <si>
    <t>4室2厅</t>
  </si>
  <si>
    <t>中楼层(共27层)</t>
  </si>
  <si>
    <t>2室2厅</t>
  </si>
  <si>
    <t>高楼层(共9层)</t>
  </si>
  <si>
    <t>南</t>
  </si>
  <si>
    <t>顶层(共27层)</t>
  </si>
  <si>
    <t>3室2厅</t>
  </si>
  <si>
    <t>高楼层(共27层)</t>
  </si>
  <si>
    <t>1室0厅</t>
  </si>
  <si>
    <t>地下室(共29层)</t>
  </si>
  <si>
    <t>2室1厅</t>
  </si>
  <si>
    <t>3室2厅1卫</t>
  </si>
  <si>
    <t>0000-00-00</t>
  </si>
  <si>
    <t>1室1厅</t>
  </si>
  <si>
    <t>/</t>
  </si>
  <si>
    <t>4室1厅</t>
  </si>
  <si>
    <t>底层(共27层)</t>
  </si>
  <si>
    <t>高楼层(共22层)</t>
  </si>
  <si>
    <t>高楼层 共27层</t>
  </si>
  <si>
    <t>低楼层 共27层</t>
  </si>
  <si>
    <t>顶层 共27层</t>
  </si>
  <si>
    <t>中楼层 共27层</t>
  </si>
  <si>
    <t>中楼层 共9层</t>
  </si>
  <si>
    <t>底层/27层</t>
  </si>
  <si>
    <t>高楼层/27层</t>
  </si>
  <si>
    <t>中楼层/27层</t>
  </si>
  <si>
    <t>低楼层/27层</t>
  </si>
  <si>
    <t>3室1厅1卫</t>
  </si>
  <si>
    <t>暂无数据</t>
  </si>
  <si>
    <t>顶层/22层</t>
  </si>
  <si>
    <t>东 南 北</t>
  </si>
  <si>
    <t>高楼层/9层</t>
  </si>
  <si>
    <t>西南 北</t>
  </si>
  <si>
    <t>低楼层/22层</t>
  </si>
  <si>
    <t>1室2厅</t>
  </si>
  <si>
    <t>高楼层/22层</t>
  </si>
  <si>
    <t>3室2厅2卫</t>
  </si>
  <si>
    <t>4室2厅2卫</t>
  </si>
  <si>
    <t>底层/22层</t>
  </si>
  <si>
    <t>中楼层/9层</t>
  </si>
  <si>
    <t>中楼层/22层</t>
  </si>
  <si>
    <t>东 南</t>
  </si>
  <si>
    <t>顶层/27层</t>
  </si>
  <si>
    <t>平层住宅</t>
  </si>
  <si>
    <t>2010</t>
    <phoneticPr fontId="6" type="noConversion"/>
  </si>
  <si>
    <t>国风上观</t>
    <phoneticPr fontId="3" type="noConversion"/>
  </si>
  <si>
    <t>高楼层</t>
    <phoneticPr fontId="24" type="noConversion"/>
  </si>
  <si>
    <t>低楼层</t>
    <phoneticPr fontId="24" type="noConversion"/>
  </si>
  <si>
    <t>中楼层</t>
    <phoneticPr fontId="24" type="noConversion"/>
  </si>
  <si>
    <t>一般装修</t>
  </si>
  <si>
    <t>南北</t>
    <phoneticPr fontId="134" type="noConversion"/>
  </si>
  <si>
    <r>
      <t>高/</t>
    </r>
    <r>
      <rPr>
        <sz val="11"/>
        <color theme="1"/>
        <rFont val="宋体"/>
        <family val="3"/>
        <charset val="134"/>
        <scheme val="minor"/>
      </rPr>
      <t>27</t>
    </r>
    <phoneticPr fontId="134" type="noConversion"/>
  </si>
  <si>
    <t>精装修</t>
    <phoneticPr fontId="134" type="noConversion"/>
  </si>
  <si>
    <t>南</t>
    <phoneticPr fontId="134" type="noConversion"/>
  </si>
  <si>
    <r>
      <t>中/</t>
    </r>
    <r>
      <rPr>
        <sz val="11"/>
        <color theme="1"/>
        <rFont val="宋体"/>
        <family val="3"/>
        <charset val="134"/>
        <scheme val="minor"/>
      </rPr>
      <t>27</t>
    </r>
    <phoneticPr fontId="134" type="noConversion"/>
  </si>
  <si>
    <r>
      <t>低/</t>
    </r>
    <r>
      <rPr>
        <sz val="11"/>
        <color theme="1"/>
        <rFont val="宋体"/>
        <family val="3"/>
        <charset val="134"/>
        <scheme val="minor"/>
      </rPr>
      <t>27</t>
    </r>
    <phoneticPr fontId="134" type="noConversion"/>
  </si>
  <si>
    <t>高/27</t>
    <phoneticPr fontId="134" type="noConversion"/>
  </si>
  <si>
    <t>南西北</t>
    <phoneticPr fontId="134" type="noConversion"/>
  </si>
  <si>
    <t>中/9</t>
    <phoneticPr fontId="134" type="noConversion"/>
  </si>
  <si>
    <t>低/27</t>
    <phoneticPr fontId="134" type="noConversion"/>
  </si>
  <si>
    <t>一般装修</t>
    <phoneticPr fontId="134" type="noConversion"/>
  </si>
  <si>
    <t>高楼层</t>
    <phoneticPr fontId="134" type="noConversion"/>
  </si>
  <si>
    <t>低楼层</t>
    <phoneticPr fontId="134" type="noConversion"/>
  </si>
  <si>
    <t>中楼层</t>
    <phoneticPr fontId="134" type="noConversion"/>
  </si>
  <si>
    <t>南</t>
    <phoneticPr fontId="24" type="noConversion"/>
  </si>
  <si>
    <t>住宅</t>
    <phoneticPr fontId="7" type="noConversion"/>
  </si>
  <si>
    <t>建成年代</t>
    <phoneticPr fontId="6" type="noConversion"/>
  </si>
  <si>
    <t>成交时间</t>
    <phoneticPr fontId="134" type="noConversion"/>
  </si>
  <si>
    <t>望京东园617号楼14层1403</t>
  </si>
  <si>
    <t>望京东园617号楼13层1303</t>
  </si>
  <si>
    <t>望京东园613号楼5层502</t>
  </si>
  <si>
    <t>望京东园623号楼27层1单元2703</t>
  </si>
  <si>
    <t>望京东园620号楼20层2002</t>
  </si>
  <si>
    <t>望京东园620号楼26层2601</t>
  </si>
  <si>
    <t>望京东园624号楼6层1单元603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</si>
</sst>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u/>
      <sz val="11"/>
      <color theme="10"/>
      <name val="宋体"/>
      <family val="3"/>
      <charset val="134"/>
      <scheme val="minor"/>
    </font>
    <font>
      <sz val="12"/>
      <color rgb="FF333333"/>
      <name val="Segoe UI"/>
      <family val="2"/>
    </font>
    <font>
      <b/>
      <sz val="12"/>
      <color rgb="FF333333"/>
      <name val="Arial"/>
      <family val="2"/>
    </font>
    <font>
      <b/>
      <sz val="12"/>
      <color rgb="FF333333"/>
      <name val="宋体"/>
      <family val="3"/>
      <charset val="134"/>
    </font>
    <font>
      <sz val="9"/>
      <color rgb="FF333333"/>
      <name val="Microsoft YaHei"/>
      <family val="2"/>
      <charset val="134"/>
    </font>
    <font>
      <sz val="11"/>
      <color rgb="FFFF0000"/>
      <name val="宋体"/>
      <family val="3"/>
      <charset val="134"/>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
      <patternFill patternType="solid">
        <fgColor rgb="FFEAF6FC"/>
        <bgColor indexed="64"/>
      </patternFill>
    </fill>
    <fill>
      <patternFill patternType="solid">
        <fgColor theme="6"/>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5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272" fillId="0" borderId="0" xfId="19">
      <alignment vertical="center"/>
    </xf>
    <xf numFmtId="0" fontId="0" fillId="0" borderId="0" xfId="0" applyAlignment="1">
      <alignment vertical="center" wrapText="1"/>
    </xf>
    <xf numFmtId="14" fontId="0" fillId="0" borderId="0" xfId="0" applyNumberFormat="1">
      <alignment vertical="center"/>
    </xf>
    <xf numFmtId="0" fontId="276" fillId="12" borderId="176" xfId="0" applyFont="1" applyFill="1" applyBorder="1" applyAlignment="1">
      <alignment horizontal="center" vertical="center" wrapText="1"/>
    </xf>
    <xf numFmtId="31" fontId="276" fillId="12" borderId="176" xfId="0" applyNumberFormat="1" applyFont="1" applyFill="1" applyBorder="1" applyAlignment="1">
      <alignment horizontal="center" vertical="center" wrapText="1"/>
    </xf>
    <xf numFmtId="0" fontId="276" fillId="22" borderId="176" xfId="0" applyFont="1" applyFill="1" applyBorder="1" applyAlignment="1">
      <alignment horizontal="center" vertical="center" wrapText="1"/>
    </xf>
    <xf numFmtId="31" fontId="276" fillId="22" borderId="176" xfId="0" applyNumberFormat="1" applyFont="1" applyFill="1" applyBorder="1" applyAlignment="1">
      <alignment horizontal="center" vertical="center" wrapText="1"/>
    </xf>
    <xf numFmtId="0" fontId="276" fillId="23" borderId="176" xfId="0" applyFont="1" applyFill="1" applyBorder="1" applyAlignment="1">
      <alignment horizontal="center" vertical="center" wrapText="1"/>
    </xf>
    <xf numFmtId="31" fontId="276" fillId="23" borderId="176" xfId="0" applyNumberFormat="1"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vertical="center"/>
    </xf>
    <xf numFmtId="0" fontId="273" fillId="0" borderId="0" xfId="0" applyFont="1" applyAlignment="1">
      <alignment horizontal="center" vertical="center" wrapText="1"/>
    </xf>
    <xf numFmtId="14" fontId="0" fillId="0" borderId="0" xfId="0" applyNumberFormat="1" applyAlignment="1">
      <alignment horizontal="center" vertical="center"/>
    </xf>
    <xf numFmtId="14" fontId="0" fillId="5" borderId="0" xfId="0" applyNumberFormat="1" applyFill="1">
      <alignment vertical="center"/>
    </xf>
    <xf numFmtId="0" fontId="128" fillId="0" borderId="41" xfId="0" applyFont="1" applyBorder="1" applyAlignment="1" applyProtection="1">
      <alignment horizontal="center" vertical="center" wrapText="1"/>
      <protection locked="0"/>
    </xf>
    <xf numFmtId="49" fontId="128" fillId="0" borderId="7" xfId="0" applyNumberFormat="1"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95" fillId="5" borderId="0" xfId="0" applyFont="1" applyFill="1">
      <alignment vertical="center"/>
    </xf>
    <xf numFmtId="14" fontId="95" fillId="5" borderId="0" xfId="0" applyNumberFormat="1" applyFon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49" fontId="77" fillId="6" borderId="0" xfId="0" applyNumberFormat="1" applyFont="1" applyFill="1" applyAlignment="1" applyProtection="1">
      <alignment horizontal="center" vertical="center" wrapText="1"/>
      <protection locked="0"/>
    </xf>
    <xf numFmtId="0" fontId="277" fillId="0" borderId="0" xfId="0" applyFont="1">
      <alignment vertical="center"/>
    </xf>
    <xf numFmtId="14" fontId="277" fillId="0" borderId="0" xfId="0" applyNumberFormat="1" applyFont="1">
      <alignment vertical="center"/>
    </xf>
    <xf numFmtId="14" fontId="277" fillId="5" borderId="1" xfId="0" applyNumberFormat="1" applyFont="1" applyFill="1" applyBorder="1">
      <alignment vertical="center"/>
    </xf>
    <xf numFmtId="0" fontId="0" fillId="5" borderId="1" xfId="0" applyFill="1" applyBorder="1">
      <alignment vertical="center"/>
    </xf>
    <xf numFmtId="0" fontId="277" fillId="5" borderId="1" xfId="0" applyFont="1" applyFill="1" applyBorder="1">
      <alignment vertical="center"/>
    </xf>
    <xf numFmtId="14" fontId="0" fillId="5" borderId="1" xfId="0" applyNumberFormat="1" applyFill="1" applyBorder="1">
      <alignment vertical="center"/>
    </xf>
    <xf numFmtId="14" fontId="277" fillId="0" borderId="1" xfId="0" applyNumberFormat="1" applyFont="1" applyBorder="1">
      <alignment vertical="center"/>
    </xf>
    <xf numFmtId="0" fontId="0" fillId="0" borderId="1" xfId="0" applyBorder="1">
      <alignment vertical="center"/>
    </xf>
    <xf numFmtId="0" fontId="277" fillId="0" borderId="1" xfId="0" applyFont="1" applyBorder="1">
      <alignment vertical="center"/>
    </xf>
    <xf numFmtId="14" fontId="0" fillId="0" borderId="1" xfId="0" applyNumberFormat="1" applyBorder="1">
      <alignment vertical="center"/>
    </xf>
    <xf numFmtId="0" fontId="276" fillId="24" borderId="177" xfId="0" applyFont="1" applyFill="1" applyBorder="1" applyAlignment="1">
      <alignment horizontal="center" vertical="center" wrapText="1"/>
    </xf>
    <xf numFmtId="31" fontId="276" fillId="24" borderId="177" xfId="0" applyNumberFormat="1" applyFont="1" applyFill="1" applyBorder="1" applyAlignment="1">
      <alignment horizontal="center" vertical="center" wrapText="1"/>
    </xf>
    <xf numFmtId="0" fontId="276" fillId="24" borderId="176" xfId="0" applyFont="1" applyFill="1" applyBorder="1" applyAlignment="1">
      <alignment horizontal="center" vertical="center" wrapText="1"/>
    </xf>
    <xf numFmtId="31" fontId="276" fillId="24" borderId="176" xfId="0" applyNumberFormat="1" applyFont="1" applyFill="1" applyBorder="1" applyAlignment="1">
      <alignment horizontal="center" vertical="center" wrapText="1"/>
    </xf>
    <xf numFmtId="14" fontId="277" fillId="24" borderId="1" xfId="0" applyNumberFormat="1" applyFont="1" applyFill="1" applyBorder="1">
      <alignment vertical="center"/>
    </xf>
    <xf numFmtId="0" fontId="0" fillId="24" borderId="1" xfId="0" applyFill="1" applyBorder="1">
      <alignment vertical="center"/>
    </xf>
    <xf numFmtId="0" fontId="277" fillId="24" borderId="1" xfId="0" applyFont="1" applyFill="1" applyBorder="1">
      <alignment vertical="center"/>
    </xf>
    <xf numFmtId="14" fontId="0" fillId="24" borderId="1" xfId="0" applyNumberFormat="1" applyFill="1" applyBorder="1">
      <alignment vertical="center"/>
    </xf>
    <xf numFmtId="14" fontId="277" fillId="0" borderId="1" xfId="0" applyNumberFormat="1" applyFont="1" applyFill="1" applyBorder="1">
      <alignment vertical="center"/>
    </xf>
    <xf numFmtId="0" fontId="0" fillId="0" borderId="1" xfId="0" applyFill="1" applyBorder="1">
      <alignment vertical="center"/>
    </xf>
    <xf numFmtId="0" fontId="277" fillId="0" borderId="1" xfId="0" applyFont="1" applyFill="1" applyBorder="1">
      <alignment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zh-CN"/>
        </a:p>
      </c:txPr>
    </c:title>
    <c:autoTitleDeleted val="0"/>
    <c:plotArea>
      <c:layout/>
      <c:lineChart>
        <c:grouping val="standard"/>
        <c:varyColors val="0"/>
        <c:ser>
          <c:idx val="0"/>
          <c:order val="0"/>
          <c:tx>
            <c:strRef>
              <c:f>成交案例!$AC$1</c:f>
              <c:strCache>
                <c:ptCount val="1"/>
                <c:pt idx="0">
                  <c:v>面积(㎡)</c:v>
                </c:pt>
              </c:strCache>
            </c:strRef>
          </c:tx>
          <c:spPr>
            <a:ln w="28575" cap="rnd">
              <a:solidFill>
                <a:schemeClr val="accent1"/>
              </a:solidFill>
              <a:round/>
            </a:ln>
            <a:effectLst/>
          </c:spPr>
          <c:marker>
            <c:symbol val="none"/>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成交案例!$AC$2:$AC$183</c:f>
            </c:numRef>
          </c:val>
          <c:smooth val="0"/>
          <c:extLst>
            <c:ext xmlns:c16="http://schemas.microsoft.com/office/drawing/2014/chart" uri="{C3380CC4-5D6E-409C-BE32-E72D297353CC}">
              <c16:uniqueId val="{00000000-608B-4A34-983A-99033F12C715}"/>
            </c:ext>
          </c:extLst>
        </c:ser>
        <c:ser>
          <c:idx val="1"/>
          <c:order val="1"/>
          <c:tx>
            <c:strRef>
              <c:f>成交案例!$AD$1</c:f>
              <c:strCache>
                <c:ptCount val="1"/>
                <c:pt idx="0">
                  <c:v>楼层</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成交案例!$AD$2:$AD$183</c:f>
            </c:numRef>
          </c:val>
          <c:smooth val="0"/>
          <c:extLst>
            <c:ext xmlns:c16="http://schemas.microsoft.com/office/drawing/2014/chart" uri="{C3380CC4-5D6E-409C-BE32-E72D297353CC}">
              <c16:uniqueId val="{00000001-608B-4A34-983A-99033F12C715}"/>
            </c:ext>
          </c:extLst>
        </c:ser>
        <c:ser>
          <c:idx val="2"/>
          <c:order val="2"/>
          <c:tx>
            <c:strRef>
              <c:f>成交案例!$AE$1</c:f>
              <c:strCache>
                <c:ptCount val="1"/>
                <c:pt idx="0">
                  <c:v>朝向</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成交案例!$AE$2:$AE$183</c:f>
            </c:numRef>
          </c:val>
          <c:smooth val="0"/>
          <c:extLst>
            <c:ext xmlns:c16="http://schemas.microsoft.com/office/drawing/2014/chart" uri="{C3380CC4-5D6E-409C-BE32-E72D297353CC}">
              <c16:uniqueId val="{00000002-608B-4A34-983A-99033F12C715}"/>
            </c:ext>
          </c:extLst>
        </c:ser>
        <c:ser>
          <c:idx val="3"/>
          <c:order val="3"/>
          <c:tx>
            <c:strRef>
              <c:f>成交案例!$AF$1</c:f>
              <c:strCache>
                <c:ptCount val="1"/>
                <c:pt idx="0">
                  <c:v>挂牌价(万)</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成交案例!$AF$2:$AF$183</c:f>
            </c:numRef>
          </c:val>
          <c:smooth val="0"/>
          <c:extLst>
            <c:ext xmlns:c16="http://schemas.microsoft.com/office/drawing/2014/chart" uri="{C3380CC4-5D6E-409C-BE32-E72D297353CC}">
              <c16:uniqueId val="{00000003-608B-4A34-983A-99033F12C715}"/>
            </c:ext>
          </c:extLst>
        </c:ser>
        <c:ser>
          <c:idx val="4"/>
          <c:order val="4"/>
          <c:tx>
            <c:strRef>
              <c:f>成交案例!$AG$1</c:f>
              <c:strCache>
                <c:ptCount val="1"/>
                <c:pt idx="0">
                  <c:v>挂牌时间</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成交案例!$AG$2:$AG$183</c:f>
            </c:numRef>
          </c:val>
          <c:smooth val="0"/>
          <c:extLst>
            <c:ext xmlns:c16="http://schemas.microsoft.com/office/drawing/2014/chart" uri="{C3380CC4-5D6E-409C-BE32-E72D297353CC}">
              <c16:uniqueId val="{00000004-608B-4A34-983A-99033F12C715}"/>
            </c:ext>
          </c:extLst>
        </c:ser>
        <c:ser>
          <c:idx val="5"/>
          <c:order val="5"/>
          <c:tx>
            <c:strRef>
              <c:f>成交案例!$AH$1</c:f>
              <c:strCache>
                <c:ptCount val="1"/>
                <c:pt idx="0">
                  <c:v>成交价(万)</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成交案例!$AH$2:$AH$183</c:f>
            </c:numRef>
          </c:val>
          <c:smooth val="0"/>
          <c:extLst>
            <c:ext xmlns:c16="http://schemas.microsoft.com/office/drawing/2014/chart" uri="{C3380CC4-5D6E-409C-BE32-E72D297353CC}">
              <c16:uniqueId val="{00000005-608B-4A34-983A-99033F12C715}"/>
            </c:ext>
          </c:extLst>
        </c:ser>
        <c:ser>
          <c:idx val="6"/>
          <c:order val="6"/>
          <c:tx>
            <c:strRef>
              <c:f>成交案例!$AI$1</c:f>
              <c:strCache>
                <c:ptCount val="1"/>
                <c:pt idx="0">
                  <c:v>成交单价</c:v>
                </c:pt>
              </c:strCache>
            </c:strRef>
          </c:tx>
          <c:spPr>
            <a:ln w="28575" cap="rnd">
              <a:solidFill>
                <a:schemeClr val="accent1">
                  <a:lumMod val="60000"/>
                </a:schemeClr>
              </a:solidFill>
              <a:round/>
            </a:ln>
            <a:effectLst/>
          </c:spPr>
          <c:marker>
            <c:symbol val="none"/>
          </c:marker>
          <c:cat>
            <c:numRef>
              <c:f>成交案例!$AA$2:$AB$183</c:f>
              <c:numCache>
                <c:formatCode>m/d/yyyy</c:formatCode>
                <c:ptCount val="180"/>
                <c:pt idx="0">
                  <c:v>45994</c:v>
                </c:pt>
                <c:pt idx="1">
                  <c:v>45972</c:v>
                </c:pt>
                <c:pt idx="2">
                  <c:v>45969</c:v>
                </c:pt>
                <c:pt idx="3">
                  <c:v>45968</c:v>
                </c:pt>
                <c:pt idx="4">
                  <c:v>45955</c:v>
                </c:pt>
                <c:pt idx="5">
                  <c:v>45932</c:v>
                </c:pt>
                <c:pt idx="6">
                  <c:v>45908</c:v>
                </c:pt>
                <c:pt idx="7">
                  <c:v>45837</c:v>
                </c:pt>
                <c:pt idx="8">
                  <c:v>45800</c:v>
                </c:pt>
                <c:pt idx="9">
                  <c:v>45724</c:v>
                </c:pt>
                <c:pt idx="10">
                  <c:v>45669</c:v>
                </c:pt>
                <c:pt idx="12">
                  <c:v>45612</c:v>
                </c:pt>
                <c:pt idx="13">
                  <c:v>45598</c:v>
                </c:pt>
                <c:pt idx="14">
                  <c:v>45567</c:v>
                </c:pt>
                <c:pt idx="15">
                  <c:v>45563</c:v>
                </c:pt>
                <c:pt idx="16">
                  <c:v>45537</c:v>
                </c:pt>
                <c:pt idx="17">
                  <c:v>45480</c:v>
                </c:pt>
                <c:pt idx="18">
                  <c:v>45479</c:v>
                </c:pt>
                <c:pt idx="19">
                  <c:v>45451</c:v>
                </c:pt>
                <c:pt idx="20">
                  <c:v>45448</c:v>
                </c:pt>
                <c:pt idx="22">
                  <c:v>45297</c:v>
                </c:pt>
                <c:pt idx="23">
                  <c:v>45283</c:v>
                </c:pt>
                <c:pt idx="24">
                  <c:v>45235</c:v>
                </c:pt>
                <c:pt idx="25">
                  <c:v>45221</c:v>
                </c:pt>
                <c:pt idx="26">
                  <c:v>45153</c:v>
                </c:pt>
                <c:pt idx="27">
                  <c:v>45088</c:v>
                </c:pt>
                <c:pt idx="28">
                  <c:v>45073</c:v>
                </c:pt>
                <c:pt idx="29">
                  <c:v>45067</c:v>
                </c:pt>
                <c:pt idx="30">
                  <c:v>44984</c:v>
                </c:pt>
                <c:pt idx="31">
                  <c:v>44944</c:v>
                </c:pt>
                <c:pt idx="32">
                  <c:v>44928</c:v>
                </c:pt>
                <c:pt idx="33">
                  <c:v>44928</c:v>
                </c:pt>
                <c:pt idx="34">
                  <c:v>44928</c:v>
                </c:pt>
                <c:pt idx="35">
                  <c:v>44893</c:v>
                </c:pt>
                <c:pt idx="36">
                  <c:v>44801</c:v>
                </c:pt>
                <c:pt idx="37">
                  <c:v>44786</c:v>
                </c:pt>
                <c:pt idx="38">
                  <c:v>44785</c:v>
                </c:pt>
                <c:pt idx="39">
                  <c:v>44751</c:v>
                </c:pt>
                <c:pt idx="40">
                  <c:v>44746</c:v>
                </c:pt>
                <c:pt idx="41">
                  <c:v>44655</c:v>
                </c:pt>
                <c:pt idx="42">
                  <c:v>44558</c:v>
                </c:pt>
                <c:pt idx="43">
                  <c:v>44555</c:v>
                </c:pt>
                <c:pt idx="44">
                  <c:v>44550</c:v>
                </c:pt>
                <c:pt idx="45">
                  <c:v>44514</c:v>
                </c:pt>
                <c:pt idx="46">
                  <c:v>44501</c:v>
                </c:pt>
                <c:pt idx="47">
                  <c:v>44436</c:v>
                </c:pt>
              </c:numCache>
            </c:numRef>
          </c:cat>
          <c:val>
            <c:numRef>
              <c:f>成交案例!$AI$2:$AI$183</c:f>
              <c:numCache>
                <c:formatCode>General</c:formatCode>
                <c:ptCount val="180"/>
                <c:pt idx="0">
                  <c:v>51987</c:v>
                </c:pt>
                <c:pt idx="1">
                  <c:v>55143</c:v>
                </c:pt>
                <c:pt idx="2">
                  <c:v>63899</c:v>
                </c:pt>
                <c:pt idx="3">
                  <c:v>58584</c:v>
                </c:pt>
                <c:pt idx="4">
                  <c:v>50632</c:v>
                </c:pt>
                <c:pt idx="5">
                  <c:v>57493</c:v>
                </c:pt>
                <c:pt idx="6">
                  <c:v>59432</c:v>
                </c:pt>
                <c:pt idx="7">
                  <c:v>79067</c:v>
                </c:pt>
                <c:pt idx="8">
                  <c:v>66127</c:v>
                </c:pt>
                <c:pt idx="9">
                  <c:v>68578</c:v>
                </c:pt>
                <c:pt idx="10">
                  <c:v>86964</c:v>
                </c:pt>
                <c:pt idx="12">
                  <c:v>61444</c:v>
                </c:pt>
                <c:pt idx="13">
                  <c:v>67702</c:v>
                </c:pt>
                <c:pt idx="14">
                  <c:v>70932</c:v>
                </c:pt>
                <c:pt idx="15">
                  <c:v>65122</c:v>
                </c:pt>
                <c:pt idx="16">
                  <c:v>64040</c:v>
                </c:pt>
                <c:pt idx="17">
                  <c:v>84851</c:v>
                </c:pt>
                <c:pt idx="18">
                  <c:v>65060</c:v>
                </c:pt>
                <c:pt idx="19">
                  <c:v>85456</c:v>
                </c:pt>
                <c:pt idx="20">
                  <c:v>67221</c:v>
                </c:pt>
                <c:pt idx="22">
                  <c:v>92048</c:v>
                </c:pt>
                <c:pt idx="23">
                  <c:v>78412</c:v>
                </c:pt>
                <c:pt idx="24">
                  <c:v>94357</c:v>
                </c:pt>
                <c:pt idx="25">
                  <c:v>92286</c:v>
                </c:pt>
                <c:pt idx="26">
                  <c:v>86932</c:v>
                </c:pt>
                <c:pt idx="27">
                  <c:v>95710</c:v>
                </c:pt>
                <c:pt idx="28">
                  <c:v>84786</c:v>
                </c:pt>
                <c:pt idx="29">
                  <c:v>77019</c:v>
                </c:pt>
                <c:pt idx="30">
                  <c:v>109798</c:v>
                </c:pt>
                <c:pt idx="31">
                  <c:v>79869</c:v>
                </c:pt>
                <c:pt idx="32">
                  <c:v>97857</c:v>
                </c:pt>
                <c:pt idx="33">
                  <c:v>82303</c:v>
                </c:pt>
                <c:pt idx="34">
                  <c:v>101851</c:v>
                </c:pt>
                <c:pt idx="35">
                  <c:v>82075</c:v>
                </c:pt>
                <c:pt idx="36">
                  <c:v>79963</c:v>
                </c:pt>
                <c:pt idx="37">
                  <c:v>112275</c:v>
                </c:pt>
                <c:pt idx="38">
                  <c:v>83352</c:v>
                </c:pt>
                <c:pt idx="39">
                  <c:v>84939</c:v>
                </c:pt>
                <c:pt idx="40">
                  <c:v>87567</c:v>
                </c:pt>
                <c:pt idx="41">
                  <c:v>90250</c:v>
                </c:pt>
                <c:pt idx="42">
                  <c:v>78597</c:v>
                </c:pt>
                <c:pt idx="43">
                  <c:v>99133</c:v>
                </c:pt>
                <c:pt idx="44">
                  <c:v>78169</c:v>
                </c:pt>
                <c:pt idx="45">
                  <c:v>87471</c:v>
                </c:pt>
                <c:pt idx="46">
                  <c:v>98009</c:v>
                </c:pt>
                <c:pt idx="47">
                  <c:v>100953</c:v>
                </c:pt>
              </c:numCache>
            </c:numRef>
          </c:val>
          <c:smooth val="0"/>
          <c:extLst>
            <c:ext xmlns:c16="http://schemas.microsoft.com/office/drawing/2014/chart" uri="{C3380CC4-5D6E-409C-BE32-E72D297353CC}">
              <c16:uniqueId val="{00000006-608B-4A34-983A-99033F12C715}"/>
            </c:ext>
          </c:extLst>
        </c:ser>
        <c:dLbls>
          <c:showLegendKey val="0"/>
          <c:showVal val="0"/>
          <c:showCatName val="0"/>
          <c:showSerName val="0"/>
          <c:showPercent val="0"/>
          <c:showBubbleSize val="0"/>
        </c:dLbls>
        <c:smooth val="0"/>
        <c:axId val="1273508303"/>
        <c:axId val="1273515983"/>
      </c:lineChart>
      <c:dateAx>
        <c:axId val="1273508303"/>
        <c:scaling>
          <c:orientation val="minMax"/>
        </c:scaling>
        <c:delete val="0"/>
        <c:axPos val="b"/>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73515983"/>
        <c:crosses val="autoZero"/>
        <c:auto val="1"/>
        <c:lblOffset val="100"/>
        <c:baseTimeUnit val="days"/>
      </c:dateAx>
      <c:valAx>
        <c:axId val="127351598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zh-CN"/>
          </a:p>
        </c:txPr>
        <c:crossAx val="12735083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zh-CN"/>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238125</xdr:colOff>
      <xdr:row>10</xdr:row>
      <xdr:rowOff>104775</xdr:rowOff>
    </xdr:from>
    <xdr:to>
      <xdr:col>25</xdr:col>
      <xdr:colOff>265815</xdr:colOff>
      <xdr:row>25</xdr:row>
      <xdr:rowOff>56454</xdr:rowOff>
    </xdr:to>
    <xdr:pic>
      <xdr:nvPicPr>
        <xdr:cNvPr id="2" name="图片 1">
          <a:extLst>
            <a:ext uri="{FF2B5EF4-FFF2-40B4-BE49-F238E27FC236}">
              <a16:creationId xmlns:a16="http://schemas.microsoft.com/office/drawing/2014/main" id="{4FBEFD45-EF0A-CFF0-7716-362486D4453F}"/>
            </a:ext>
          </a:extLst>
        </xdr:cNvPr>
        <xdr:cNvPicPr>
          <a:picLocks noChangeAspect="1"/>
        </xdr:cNvPicPr>
      </xdr:nvPicPr>
      <xdr:blipFill>
        <a:blip xmlns:r="http://schemas.openxmlformats.org/officeDocument/2006/relationships" r:embed="rId1"/>
        <a:stretch>
          <a:fillRect/>
        </a:stretch>
      </xdr:blipFill>
      <xdr:spPr>
        <a:xfrm>
          <a:off x="14458950" y="3238500"/>
          <a:ext cx="7076190" cy="33997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11</xdr:col>
      <xdr:colOff>61912</xdr:colOff>
      <xdr:row>17</xdr:row>
      <xdr:rowOff>76199</xdr:rowOff>
    </xdr:from>
    <xdr:to>
      <xdr:col>35</xdr:col>
      <xdr:colOff>342900</xdr:colOff>
      <xdr:row>33</xdr:row>
      <xdr:rowOff>47624</xdr:rowOff>
    </xdr:to>
    <xdr:graphicFrame macro="">
      <xdr:nvGraphicFramePr>
        <xdr:cNvPr id="4" name="图表 3">
          <a:extLst>
            <a:ext uri="{FF2B5EF4-FFF2-40B4-BE49-F238E27FC236}">
              <a16:creationId xmlns:a16="http://schemas.microsoft.com/office/drawing/2014/main" id="{9EA99F33-96BC-DC2F-B3AD-55E3481F4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sf-item.taobao.com/sf_item/1004274045911.htm?spm=a213w.7398504.paiList.1.67cd45bbPpMCj6&amp;track_id=c0a9e276-d8f2-47e7-b4c0-7347924808fd" TargetMode="External"/><Relationship Id="rId7" Type="http://schemas.openxmlformats.org/officeDocument/2006/relationships/drawing" Target="../drawings/drawing1.xml"/><Relationship Id="rId2" Type="http://schemas.openxmlformats.org/officeDocument/2006/relationships/hyperlink" Target="https://paimai.jd.com/307411786" TargetMode="External"/><Relationship Id="rId1" Type="http://schemas.openxmlformats.org/officeDocument/2006/relationships/hyperlink" Target="https://paimai.jd.com/307832583" TargetMode="External"/><Relationship Id="rId6" Type="http://schemas.openxmlformats.org/officeDocument/2006/relationships/hyperlink" Target="https://sf-item.taobao.com/sf_item/960928600072.htm?spm=a213w.7398504.paiList.6.67cd45bbPpMCj6&amp;track_id=c0a9e276-d8f2-47e7-b4c0-7347924808fd" TargetMode="External"/><Relationship Id="rId5" Type="http://schemas.openxmlformats.org/officeDocument/2006/relationships/hyperlink" Target="https://sf-item.taobao.com/sf_item/942588253928.htm?spm=a213w.7398504.paiList.5.67cd45bbPpMCj6&amp;track_id=c0a9e276-d8f2-47e7-b4c0-7347924808fd" TargetMode="External"/><Relationship Id="rId4" Type="http://schemas.openxmlformats.org/officeDocument/2006/relationships/hyperlink" Target="https://sf-item.taobao.com/sf_item/1005292891040.htm?spm=a213w.7398504.paiList.2.67cd45bbPpMCj6&amp;track_id=c0a9e276-d8f2-47e7-b4c0-7347924808fd" TargetMode="Externa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估价对象为北京市房地产，为所有。根据《国有土地使用证》[]，估价对象（分摊）出让国有建设用地使用权面积为0平方米，建筑面积为184.46平方米。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估价对象为北京市房地产,属开发建设的，该项目尚在开发建设中。根据《国有土地使用证》[]，估价对象（分摊）出让国有建设用地使用权面积为0平方米，规划建筑面积为184.46平方米。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2025年12月23日（评估专业人员实地查勘之日）</v>
      </c>
    </row>
    <row r="13" spans="1:2">
      <c r="A13" s="1119" t="s">
        <v>529</v>
      </c>
      <c r="B13" s="1120" t="str">
        <f>'预评函-1'!A18</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184.46</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3428</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3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1"/>
      <c r="B54" s="1447" t="s">
        <v>385</v>
      </c>
      <c r="C54" s="1445" t="s">
        <v>583</v>
      </c>
    </row>
    <row r="55" spans="1:4">
      <c r="A55" s="3231"/>
      <c r="B55" s="1447" t="s">
        <v>386</v>
      </c>
      <c r="C55" s="1445" t="s">
        <v>584</v>
      </c>
    </row>
    <row r="56" spans="1:4">
      <c r="A56" s="3231"/>
      <c r="B56" s="1447" t="s">
        <v>387</v>
      </c>
      <c r="C56" s="1445" t="s">
        <v>588</v>
      </c>
    </row>
    <row r="57" spans="1:4">
      <c r="A57" s="323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32" t="s">
        <v>2580</v>
      </c>
      <c r="J2" s="3232"/>
      <c r="K2" s="3232"/>
      <c r="L2" s="3232"/>
      <c r="M2" s="3232"/>
      <c r="N2" s="3232"/>
      <c r="O2" s="3232"/>
      <c r="P2" s="3232"/>
      <c r="Q2" s="3232"/>
      <c r="R2" s="3232"/>
    </row>
    <row r="3" spans="1:18">
      <c r="A3" s="2761" t="s">
        <v>2501</v>
      </c>
      <c r="B3" s="2762">
        <f>项目基本情况!D3</f>
        <v>46014</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31.01</v>
      </c>
      <c r="D7" s="2766">
        <f>IF(ISERROR(ROUND(POWER(1+E7,A7-C7)*(POWER(1+E7,C7)-1)/(POWER(1+E7,A7)-1),3)),0,ROUND(POWER(1+E7,A7-C7)*(POWER(1+E7,C7)-1)/(POWER(1+E7,A7)-1),4))</f>
        <v>0.75190000000000001</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L13" sqref="L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40" t="str">
        <f>IF(B10="北京市","北京市",C10)&amp;F10&amp;IF(结果表!G1="在建","出让国有建设用地使用权及在建建筑物",IF(结果表!G1="土地","出让国有建设用地使用权",))&amp;B9&amp;"预评估"</f>
        <v>北京市房地产市场价值预评估</v>
      </c>
      <c r="C1" s="3241"/>
      <c r="D1" s="3241"/>
      <c r="E1" s="3241"/>
      <c r="F1" s="3241"/>
      <c r="G1" s="3241"/>
      <c r="H1" s="3241"/>
      <c r="I1" s="3242"/>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46014</v>
      </c>
      <c r="C3" s="2184" t="s">
        <v>2171</v>
      </c>
      <c r="D3" s="2183">
        <f>B3</f>
        <v>46014</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3421</v>
      </c>
      <c r="C8" s="2199"/>
      <c r="D8" s="3243" t="s">
        <v>2177</v>
      </c>
      <c r="E8" s="2200"/>
      <c r="F8" s="2201"/>
      <c r="G8" s="2440"/>
      <c r="H8" s="2440"/>
      <c r="I8" s="2440"/>
      <c r="J8" s="2243"/>
      <c r="K8" s="2398"/>
      <c r="L8" s="2397"/>
      <c r="M8" s="2397"/>
      <c r="N8" s="2243"/>
      <c r="O8" s="1670"/>
      <c r="P8" s="2243"/>
      <c r="Q8" s="2243"/>
      <c r="R8" s="2243"/>
    </row>
    <row r="9" spans="1:30" ht="13.5" thickBot="1">
      <c r="A9" s="2202" t="s">
        <v>2178</v>
      </c>
      <c r="B9" s="2203" t="s">
        <v>3422</v>
      </c>
      <c r="C9" s="2204"/>
      <c r="D9" s="3244"/>
      <c r="E9" s="2203"/>
      <c r="F9" s="2205"/>
      <c r="G9" s="2441"/>
      <c r="H9" s="2441"/>
      <c r="I9" s="2441"/>
      <c r="J9" s="2243"/>
      <c r="K9" s="2400"/>
      <c r="L9" s="2397"/>
      <c r="M9" s="2397"/>
      <c r="N9" s="2243"/>
      <c r="O9" s="1670"/>
      <c r="P9" s="2243"/>
      <c r="Q9" s="2243"/>
      <c r="R9" s="2243"/>
    </row>
    <row r="10" spans="1:30" ht="13.5" thickTop="1">
      <c r="A10" s="2206" t="s">
        <v>2179</v>
      </c>
      <c r="B10" s="2207" t="s">
        <v>3423</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3424</v>
      </c>
      <c r="C11" s="2212"/>
      <c r="D11" s="2213"/>
      <c r="E11" s="2180"/>
      <c r="F11" s="2180"/>
      <c r="G11" s="2180"/>
      <c r="H11" s="2180"/>
      <c r="I11" s="2180"/>
      <c r="J11" s="2800"/>
      <c r="K11" s="2397" t="s">
        <v>3573</v>
      </c>
      <c r="L11" s="3529" t="s">
        <v>3595</v>
      </c>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f>K11-2</f>
        <v>2008</v>
      </c>
      <c r="L12" s="2397"/>
      <c r="M12" s="2243"/>
      <c r="N12" s="1670"/>
      <c r="O12" s="2243"/>
      <c r="P12" s="2243"/>
      <c r="Q12" s="2243"/>
      <c r="AD12" s="1618"/>
    </row>
    <row r="13" spans="1:30">
      <c r="A13" s="3120" t="s">
        <v>3330</v>
      </c>
      <c r="B13" s="2216" t="s">
        <v>2190</v>
      </c>
      <c r="C13" s="803">
        <v>65362</v>
      </c>
      <c r="D13" s="803"/>
      <c r="E13" s="803"/>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f>IF(A13="出让",IF(C13="","",ROUNDDOWN(MIN((C13-$D$3)/365,C14),2)),C14)</f>
        <v>53</v>
      </c>
      <c r="D15" s="2219" t="str">
        <f>IF(A13="出让",IF(D13="","",ROUNDDOWN(MIN((D13-$D$3)/365,D14),2)),D14)</f>
        <v/>
      </c>
      <c r="E15" s="2219" t="str">
        <f>IF(A13="出让",IF(E13="","",ROUNDDOWN(MIN((E13-$D$3)/365,E14),2)),E14)</f>
        <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50"/>
      <c r="C16" s="3251"/>
      <c r="D16" s="3252"/>
      <c r="E16" s="2220" t="s">
        <v>2194</v>
      </c>
      <c r="F16" s="3253"/>
      <c r="G16" s="3254"/>
      <c r="H16" s="3254"/>
      <c r="I16" s="3255"/>
      <c r="J16" s="2243"/>
      <c r="K16" s="2401"/>
      <c r="L16" s="1670"/>
      <c r="M16" s="1670"/>
      <c r="N16" s="2243"/>
      <c r="O16" s="1670"/>
      <c r="P16" s="2243"/>
      <c r="Q16" s="2243"/>
      <c r="R16" s="2243"/>
    </row>
    <row r="17" spans="1:28">
      <c r="A17" s="305" t="s">
        <v>2195</v>
      </c>
      <c r="B17" s="294" t="s">
        <v>2196</v>
      </c>
      <c r="C17" s="8">
        <f>'数据-汇总表'!E3</f>
        <v>184.46</v>
      </c>
      <c r="D17" s="1256" t="s">
        <v>2197</v>
      </c>
      <c r="E17" s="3256" t="s">
        <v>2198</v>
      </c>
      <c r="F17" s="3257"/>
      <c r="G17" s="3257"/>
      <c r="H17" s="3257"/>
      <c r="I17" s="3258"/>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59" t="s">
        <v>2202</v>
      </c>
      <c r="F18" s="3260"/>
      <c r="G18" s="3260"/>
      <c r="H18" s="3260"/>
      <c r="I18" s="3261"/>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46" t="s">
        <v>2206</v>
      </c>
      <c r="C20" s="3247"/>
      <c r="D20" s="3248" t="s">
        <v>2207</v>
      </c>
      <c r="E20" s="3249"/>
      <c r="F20" s="2428" t="s">
        <v>1056</v>
      </c>
      <c r="G20" s="2440"/>
      <c r="H20" s="2440"/>
      <c r="I20" s="2440"/>
      <c r="J20" s="2243"/>
      <c r="K20" s="324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4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4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34"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34"/>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34"/>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35"/>
      <c r="B30" s="294" t="s">
        <v>2218</v>
      </c>
      <c r="C30" s="3236"/>
      <c r="D30" s="3237"/>
      <c r="E30" s="2440"/>
      <c r="F30" s="2440"/>
      <c r="G30" s="2440"/>
      <c r="H30" s="2440"/>
      <c r="I30" s="2440"/>
      <c r="J30" s="2243"/>
      <c r="K30" s="2400"/>
      <c r="L30" s="2397"/>
      <c r="M30" s="2397"/>
      <c r="N30" s="2243"/>
      <c r="O30" s="1670"/>
      <c r="P30" s="2243"/>
      <c r="Q30" s="2243"/>
      <c r="R30" s="2243"/>
      <c r="S30" s="2243"/>
      <c r="T30" s="2243"/>
      <c r="U30" s="2243"/>
      <c r="V30" s="2243"/>
    </row>
    <row r="31" spans="1:28">
      <c r="A31" s="3238"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9"/>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9"/>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33" t="s">
        <v>2228</v>
      </c>
      <c r="T34" s="315" t="str">
        <f>NUMBERSTRING(7-K34,1)&amp;"通"</f>
        <v>七通</v>
      </c>
      <c r="U34" s="2243"/>
      <c r="V34" s="2243"/>
    </row>
    <row r="35" spans="1:30">
      <c r="A35" s="2234"/>
      <c r="B35" s="3233" t="s">
        <v>2229</v>
      </c>
      <c r="C35" s="3233"/>
      <c r="D35" s="3233"/>
      <c r="E35" s="3233"/>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33"/>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c r="D37" s="2235" t="s">
        <v>110</v>
      </c>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c r="C38" s="2236"/>
      <c r="D38" s="2236" t="s">
        <v>2945</v>
      </c>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18" sqref="L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184.46</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184.46</v>
      </c>
      <c r="H5" s="13">
        <f t="shared" ref="H5:AT5" si="0">SUM(H13:H656)</f>
        <v>184.46</v>
      </c>
      <c r="I5" s="13">
        <f t="shared" si="0"/>
        <v>184.46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184.46</v>
      </c>
      <c r="BA5" s="15">
        <f t="shared" si="1"/>
        <v>184.46</v>
      </c>
      <c r="BB5" s="15">
        <f t="shared" si="1"/>
        <v>184.46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3425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3402</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3572</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住宅</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平层住宅</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3426</v>
      </c>
      <c r="E13" s="13">
        <f>IF($C$3="是",ROUND($A$3*G13/$B$3,2),ROUND($A$3*(G13-AT13)/$B$3,2))</f>
        <v>0</v>
      </c>
      <c r="F13" s="29"/>
      <c r="G13" s="30">
        <f>H13+AC13+AT13</f>
        <v>184.46</v>
      </c>
      <c r="H13" s="17">
        <f>SUMIF(I$12:AB$12,"总值",I13:AB13)</f>
        <v>184.46</v>
      </c>
      <c r="I13" s="1514">
        <v>184.46</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184.46</v>
      </c>
      <c r="BA13" s="13">
        <f>SUM(BB13:BK13)</f>
        <v>184.46</v>
      </c>
      <c r="BB13" s="13">
        <f>IF($D13="是",I13-J13,0)</f>
        <v>184.46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H25" sqref="H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71" t="s">
        <v>1131</v>
      </c>
      <c r="B2" s="3271"/>
      <c r="C2" s="3271"/>
      <c r="D2" s="748" t="s">
        <v>1107</v>
      </c>
      <c r="E2" s="1523" t="s">
        <v>1108</v>
      </c>
      <c r="F2" s="2437"/>
      <c r="G2" s="2430"/>
      <c r="H2" s="2431"/>
      <c r="I2" s="2144" t="s">
        <v>1132</v>
      </c>
      <c r="J2" s="2437"/>
      <c r="K2" s="2437"/>
      <c r="L2" s="2437"/>
      <c r="M2" s="2437"/>
      <c r="N2" s="2438"/>
      <c r="O2" s="2437"/>
      <c r="P2" s="2437"/>
    </row>
    <row r="3" spans="1:16" ht="15.75" thickBot="1">
      <c r="A3" s="3272" t="s">
        <v>1105</v>
      </c>
      <c r="B3" s="3272"/>
      <c r="C3" s="3272"/>
      <c r="D3" s="41">
        <f>'数据-基础表'!AY6</f>
        <v>0</v>
      </c>
      <c r="E3" s="41">
        <f>'数据-基础表'!AZ5</f>
        <v>184.46</v>
      </c>
      <c r="F3" s="2437"/>
      <c r="G3" s="42"/>
      <c r="H3" s="43" t="s">
        <v>1106</v>
      </c>
      <c r="I3" s="802" t="e">
        <f>ROUND('数据-基础表'!B3/'数据-基础表'!A3,2)</f>
        <v>#DIV/0!</v>
      </c>
      <c r="J3" s="2437"/>
      <c r="K3" s="2437"/>
      <c r="L3" s="2437"/>
      <c r="M3" s="2437"/>
      <c r="N3" s="2438"/>
      <c r="O3" s="2437"/>
      <c r="P3" s="2437"/>
    </row>
    <row r="4" spans="1:16" ht="15">
      <c r="A4" s="3273"/>
      <c r="B4" s="3274"/>
      <c r="C4" s="3275"/>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76" t="s">
        <v>1110</v>
      </c>
      <c r="C5" s="3276"/>
      <c r="D5" s="43">
        <f>ROUND($D$3*E5/$E$3,2)</f>
        <v>0</v>
      </c>
      <c r="E5" s="44">
        <f>SUMIF('数据-基础表'!$11:$11,"住宅",'数据-基础表'!$5:$5)</f>
        <v>184.46</v>
      </c>
      <c r="F5" s="2437"/>
      <c r="G5" s="42"/>
      <c r="H5" s="43" t="s">
        <v>1106</v>
      </c>
      <c r="I5" s="802" t="e">
        <f>ROUND(E31/D31,2)</f>
        <v>#DIV/0!</v>
      </c>
      <c r="J5" s="2437"/>
      <c r="K5" s="2437"/>
      <c r="L5" s="2437"/>
      <c r="M5" s="2437"/>
      <c r="N5" s="2437"/>
      <c r="O5" s="2437"/>
      <c r="P5" s="2437"/>
    </row>
    <row r="6" spans="1:16" ht="15" thickBot="1">
      <c r="A6" s="1527"/>
      <c r="B6" s="3276" t="s">
        <v>1111</v>
      </c>
      <c r="C6" s="3276"/>
      <c r="D6" s="43">
        <f>ROUND($D$3*E6/$E$3,2)</f>
        <v>0</v>
      </c>
      <c r="E6" s="44">
        <f>E3-E5</f>
        <v>0</v>
      </c>
      <c r="F6" s="2437"/>
      <c r="G6" s="1529" t="s">
        <v>1112</v>
      </c>
      <c r="H6" s="45" t="s">
        <v>1113</v>
      </c>
      <c r="I6" s="2433" t="e">
        <f>ROUND(F31/D31,2)</f>
        <v>#DIV/0!</v>
      </c>
      <c r="J6" s="2437"/>
      <c r="K6" s="2437"/>
      <c r="L6" s="2437"/>
      <c r="M6" s="2437"/>
      <c r="N6" s="2437"/>
      <c r="O6" s="2437"/>
      <c r="P6" s="2437"/>
    </row>
    <row r="7" spans="1:16" ht="15.75" thickBot="1">
      <c r="A7" s="3268"/>
      <c r="B7" s="3269"/>
      <c r="C7" s="3270"/>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184.46</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184.46</v>
      </c>
      <c r="F16" s="2437"/>
      <c r="G16" s="2437"/>
      <c r="H16" s="1531" t="s">
        <v>1135</v>
      </c>
      <c r="I16" s="1532"/>
      <c r="J16" s="1071"/>
      <c r="K16" s="3265" t="s">
        <v>1135</v>
      </c>
      <c r="L16" s="3266"/>
      <c r="M16" s="3266"/>
      <c r="N16" s="3266"/>
      <c r="O16" s="3266"/>
      <c r="P16" s="3267"/>
    </row>
    <row r="17" spans="1:19" ht="15">
      <c r="A17" s="1533" t="s">
        <v>1136</v>
      </c>
      <c r="B17" s="1534" t="s">
        <v>1137</v>
      </c>
      <c r="C17" s="1535" t="s">
        <v>1138</v>
      </c>
      <c r="D17" s="1536" t="s">
        <v>1126</v>
      </c>
      <c r="E17" s="1537" t="s">
        <v>1127</v>
      </c>
      <c r="F17" s="1538"/>
      <c r="G17" s="1539"/>
      <c r="H17" s="1540" t="s">
        <v>1139</v>
      </c>
      <c r="I17" s="1541" t="s">
        <v>1124</v>
      </c>
      <c r="J17" s="1071"/>
      <c r="K17" s="3262" t="s">
        <v>1140</v>
      </c>
      <c r="L17" s="3263"/>
      <c r="M17" s="3264"/>
      <c r="N17" s="3262" t="s">
        <v>1141</v>
      </c>
      <c r="O17" s="3263"/>
      <c r="P17" s="326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3594</v>
      </c>
      <c r="D19" s="43">
        <f>ROUND($D$3*E19/$E$3,2)</f>
        <v>0</v>
      </c>
      <c r="E19" s="51">
        <f t="shared" ref="E19:E26" si="1">SUM(F19:G19)</f>
        <v>184.46</v>
      </c>
      <c r="F19" s="2556">
        <f>'数据-基础表'!I13</f>
        <v>184.46</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184.46</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184.46</v>
      </c>
      <c r="F27" s="1072">
        <f>IF(SUM(F19:F26)=E8,SUM(F19:F26),"地上面积有误")</f>
        <v>184.46</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184.46</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184.46</v>
      </c>
      <c r="F31" s="644">
        <f>F27+F30</f>
        <v>184.46</v>
      </c>
      <c r="G31" s="645">
        <f>G27+G30</f>
        <v>0</v>
      </c>
      <c r="H31" s="2437"/>
      <c r="I31" s="2437"/>
      <c r="J31" s="2437"/>
      <c r="K31" s="2437"/>
      <c r="L31" s="2437"/>
      <c r="M31" s="2437"/>
      <c r="N31" s="2437"/>
      <c r="O31" s="2437"/>
      <c r="P31" s="2437"/>
    </row>
    <row r="32" spans="1:19">
      <c r="A32" s="1526"/>
      <c r="B32" s="1526" t="s">
        <v>1159</v>
      </c>
      <c r="C32" s="1526"/>
      <c r="D32" s="1526"/>
      <c r="E32" s="990">
        <f>SUMIF(C19:C26,"*住宅*",E19:E26)</f>
        <v>184.46</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6" sqref="I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住宅</v>
      </c>
      <c r="B6" s="1587" t="str">
        <f>IF(A6=0,"","经营性")</f>
        <v>经营性</v>
      </c>
      <c r="C6" s="1588" t="s">
        <v>3402</v>
      </c>
      <c r="D6" s="805">
        <f>SUMIF(项目基本情况!C$12:I$12,C6,项目基本情况!C$14:I$14)</f>
        <v>70</v>
      </c>
      <c r="E6" s="804">
        <f>IF(B6="","",SUMIF(项目基本情况!C$12:I$12,C6,项目基本情况!C$13:I$13))</f>
        <v>65362</v>
      </c>
      <c r="F6" s="61">
        <f>SUMIF(项目基本情况!C$12:I$12,C6,项目基本情况!C$15:I$15)</f>
        <v>53</v>
      </c>
      <c r="G6" s="62">
        <f>IF(ISERROR(ROUND(POWER(1+H6,D6-F6)*(POWER(1+H6,F6)-1)/(POWER(1+H6,D6)-1),3)),0,ROUND(POWER(1+H6,D6-F6)*(POWER(1+H6,F6)-1)/(POWER(1+H6,D6)-1),3))</f>
        <v>0.94599999999999995</v>
      </c>
      <c r="H6" s="691">
        <v>4.4999999999999998E-2</v>
      </c>
      <c r="I6" s="691">
        <v>3.5000000000000003E-2</v>
      </c>
      <c r="J6" s="63">
        <v>5.5E-2</v>
      </c>
      <c r="K6" s="970">
        <f>SUMIF('数据-汇总表'!C$19:C$33,A6,'数据-汇总表'!E$19:E$33)</f>
        <v>184.46</v>
      </c>
      <c r="L6" s="692">
        <v>3500</v>
      </c>
      <c r="M6" s="64">
        <f t="shared" ref="M6:M14" si="0">ROUND(K6*L6/10000,0)</f>
        <v>65</v>
      </c>
      <c r="N6" s="690">
        <v>0.8</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82</v>
      </c>
      <c r="V6" s="67">
        <v>1.4999999999999999E-2</v>
      </c>
      <c r="W6" s="67">
        <v>0.05</v>
      </c>
      <c r="X6" s="979"/>
      <c r="Y6" s="68">
        <f>N6</f>
        <v>0.8</v>
      </c>
      <c r="Z6" s="69"/>
      <c r="AA6" s="63"/>
      <c r="AB6" s="63"/>
      <c r="AC6" s="979"/>
      <c r="AD6" s="70"/>
      <c r="AE6" s="980">
        <f ca="1">IF(AN6="",0,SUMIF(INDIRECT("'"&amp;AN6&amp;"'"&amp;"!E:E"),$AE$5,INDIRECT("'"&amp;AN6&amp;"'"&amp;"!F:F")))</f>
        <v>53</v>
      </c>
      <c r="AF6" s="74"/>
      <c r="AG6" s="130">
        <f>IF(AF6="",0,AE6-AF6)</f>
        <v>0</v>
      </c>
      <c r="AH6" s="71"/>
      <c r="AI6" s="73">
        <v>12</v>
      </c>
      <c r="AJ6" s="74"/>
      <c r="AK6" s="75">
        <v>2E-3</v>
      </c>
      <c r="AL6" s="76">
        <v>1E-3</v>
      </c>
      <c r="AM6" s="77">
        <v>0.01</v>
      </c>
      <c r="AN6" s="1589" t="s">
        <v>3430</v>
      </c>
      <c r="AO6" s="50">
        <f ca="1">SUMIF(INDIRECT("'"&amp;AN6&amp;"'"&amp;"!A:A"),"总价",INDIRECT("'"&amp;AN6&amp;"'"&amp;"!B:B"))</f>
        <v>528.42679999999996</v>
      </c>
      <c r="AP6" s="1590">
        <f>IF(C6="住宅",K6*L6,0)</f>
        <v>645610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0.94599999999999995</v>
      </c>
      <c r="H16" s="84">
        <f>ROUND(SUMPRODUCT(H6:H13,K6:K13)/SUMPRODUCT((H6:H13&gt;0)*(K6:K13)),3)</f>
        <v>4.4999999999999998E-2</v>
      </c>
      <c r="I16" s="85"/>
      <c r="J16" s="85"/>
      <c r="K16" s="86">
        <f>SUM(K6:K15)</f>
        <v>184.46</v>
      </c>
      <c r="L16" s="87">
        <f>ROUND(M16*10000/SUM(K6:K14),0)</f>
        <v>3524</v>
      </c>
      <c r="M16" s="87">
        <f>SUM(M6:M14)</f>
        <v>65</v>
      </c>
      <c r="N16" s="88">
        <f>ROUND(SUMPRODUCT(M6:M14,N6:N14)/M16,3)</f>
        <v>0.8</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v>0.05</v>
      </c>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0.01</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77" t="s">
        <v>2286</v>
      </c>
      <c r="B1" s="3278"/>
      <c r="C1" s="3278"/>
      <c r="D1" s="3278"/>
      <c r="E1" s="3278"/>
      <c r="F1" s="3278"/>
      <c r="G1" s="3278"/>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35" sqref="M3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184.46</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46014</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965.4452</v>
      </c>
      <c r="C5" s="2298" t="e">
        <f ca="1">IF(B5=D14,结果表!H102,ROUND(B5*10000/$B$1,0))</f>
        <v>#REF!</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184.46</v>
      </c>
      <c r="C14" s="2304"/>
      <c r="D14" s="2304">
        <f ca="1">ROUND(E14*B14/10000,4)</f>
        <v>965.4452</v>
      </c>
      <c r="E14" s="2304">
        <f ca="1">结果表!G20</f>
        <v>52339</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J26" sqref="J2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3" t="str">
        <f>项目基本情况!S2</f>
        <v>北京市房地产</v>
      </c>
      <c r="B2" s="3314"/>
      <c r="C2" s="3314"/>
      <c r="D2" s="3314"/>
      <c r="E2" s="3314"/>
      <c r="F2" s="3314"/>
      <c r="G2" s="3314"/>
      <c r="H2" s="3314"/>
      <c r="I2" s="3315"/>
    </row>
    <row r="3" spans="1:12" ht="12.75">
      <c r="A3" s="3317" t="s">
        <v>1264</v>
      </c>
      <c r="B3" s="3318"/>
      <c r="C3" s="3318"/>
      <c r="D3" s="3318"/>
      <c r="E3" s="3318"/>
      <c r="F3" s="3318"/>
      <c r="G3" s="3318"/>
      <c r="H3" s="3318"/>
      <c r="I3" s="3318"/>
    </row>
    <row r="4" spans="1:12" ht="14.25">
      <c r="A4" s="1624" t="s">
        <v>1265</v>
      </c>
      <c r="B4" s="1625" t="s">
        <v>1266</v>
      </c>
      <c r="C4" s="1626" t="s">
        <v>3443</v>
      </c>
      <c r="D4" s="1626" t="s">
        <v>3430</v>
      </c>
      <c r="E4" s="3319" t="s">
        <v>1267</v>
      </c>
      <c r="F4" s="3320"/>
      <c r="G4" s="3320"/>
      <c r="H4" s="3320"/>
      <c r="I4" s="332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93" t="s">
        <v>1268</v>
      </c>
      <c r="B5" s="3280">
        <v>25</v>
      </c>
      <c r="C5" s="3296"/>
      <c r="D5" s="3316"/>
      <c r="E5" s="123" t="s">
        <v>1269</v>
      </c>
      <c r="F5" s="1627"/>
      <c r="G5" s="1627"/>
      <c r="H5" s="1627"/>
      <c r="I5" s="1281"/>
    </row>
    <row r="6" spans="1:12" ht="12.75">
      <c r="A6" s="3293"/>
      <c r="B6" s="3280"/>
      <c r="C6" s="3297"/>
      <c r="D6" s="3316"/>
      <c r="E6" s="123" t="s">
        <v>1270</v>
      </c>
      <c r="F6" s="1627"/>
      <c r="G6" s="1627"/>
      <c r="H6" s="1627"/>
      <c r="I6" s="1281"/>
    </row>
    <row r="7" spans="1:12" ht="12.75">
      <c r="A7" s="3293"/>
      <c r="B7" s="3280"/>
      <c r="C7" s="3298"/>
      <c r="D7" s="3316"/>
      <c r="E7" s="123" t="s">
        <v>1271</v>
      </c>
      <c r="F7" s="1627"/>
      <c r="G7" s="1627"/>
      <c r="H7" s="1627"/>
      <c r="I7" s="1281"/>
    </row>
    <row r="8" spans="1:12" ht="12.75">
      <c r="A8" s="3293" t="s">
        <v>1272</v>
      </c>
      <c r="B8" s="3280">
        <v>15</v>
      </c>
      <c r="C8" s="3296"/>
      <c r="D8" s="3316"/>
      <c r="E8" s="123" t="s">
        <v>1273</v>
      </c>
      <c r="F8" s="1627"/>
      <c r="G8" s="1627"/>
      <c r="H8" s="1627"/>
      <c r="I8" s="1281"/>
    </row>
    <row r="9" spans="1:12" ht="12.75">
      <c r="A9" s="3293"/>
      <c r="B9" s="3280"/>
      <c r="C9" s="3298"/>
      <c r="D9" s="3316"/>
      <c r="E9" s="123" t="s">
        <v>1274</v>
      </c>
      <c r="F9" s="1627"/>
      <c r="G9" s="1627"/>
      <c r="H9" s="1627"/>
      <c r="I9" s="1281"/>
    </row>
    <row r="10" spans="1:12" ht="12.75">
      <c r="A10" s="3293" t="s">
        <v>1275</v>
      </c>
      <c r="B10" s="3280">
        <v>15</v>
      </c>
      <c r="C10" s="3296"/>
      <c r="D10" s="3316"/>
      <c r="E10" s="123" t="s">
        <v>1276</v>
      </c>
      <c r="F10" s="1627"/>
      <c r="G10" s="1627"/>
      <c r="H10" s="1627"/>
      <c r="I10" s="1281"/>
    </row>
    <row r="11" spans="1:12" ht="12.75">
      <c r="A11" s="3293"/>
      <c r="B11" s="3280"/>
      <c r="C11" s="3298"/>
      <c r="D11" s="3316"/>
      <c r="E11" s="123" t="s">
        <v>1277</v>
      </c>
      <c r="F11" s="1627"/>
      <c r="G11" s="1627"/>
      <c r="H11" s="1627"/>
      <c r="I11" s="1281"/>
    </row>
    <row r="12" spans="1:12" ht="12.75">
      <c r="A12" s="3293" t="s">
        <v>1278</v>
      </c>
      <c r="B12" s="3280">
        <v>15</v>
      </c>
      <c r="C12" s="3296"/>
      <c r="D12" s="3316"/>
      <c r="E12" s="123" t="s">
        <v>1279</v>
      </c>
      <c r="F12" s="1627"/>
      <c r="G12" s="1627"/>
      <c r="H12" s="1627"/>
      <c r="I12" s="1281"/>
    </row>
    <row r="13" spans="1:12" ht="12.75">
      <c r="A13" s="3293"/>
      <c r="B13" s="3280"/>
      <c r="C13" s="3298"/>
      <c r="D13" s="3316"/>
      <c r="E13" s="123" t="s">
        <v>1280</v>
      </c>
      <c r="F13" s="1627"/>
      <c r="G13" s="1627"/>
      <c r="H13" s="1627"/>
      <c r="I13" s="1281"/>
    </row>
    <row r="14" spans="1:12" ht="12.75">
      <c r="A14" s="3293" t="s">
        <v>1281</v>
      </c>
      <c r="B14" s="3280">
        <v>30</v>
      </c>
      <c r="C14" s="3296">
        <v>8</v>
      </c>
      <c r="D14" s="3316">
        <f>10-C14</f>
        <v>2</v>
      </c>
      <c r="E14" s="123" t="s">
        <v>1282</v>
      </c>
      <c r="F14" s="1627"/>
      <c r="G14" s="1627"/>
      <c r="H14" s="1627"/>
      <c r="I14" s="1281"/>
    </row>
    <row r="15" spans="1:12" ht="12.75">
      <c r="A15" s="3293"/>
      <c r="B15" s="3280"/>
      <c r="C15" s="3297"/>
      <c r="D15" s="3316"/>
      <c r="E15" s="123" t="s">
        <v>1283</v>
      </c>
      <c r="F15" s="1627"/>
      <c r="G15" s="1627"/>
      <c r="H15" s="1627"/>
      <c r="I15" s="1281"/>
    </row>
    <row r="16" spans="1:12" ht="12.75">
      <c r="A16" s="3293"/>
      <c r="B16" s="3280"/>
      <c r="C16" s="3298"/>
      <c r="D16" s="3316"/>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03" t="s">
        <v>2131</v>
      </c>
      <c r="F18" s="3304"/>
      <c r="G18" s="3304"/>
      <c r="H18" s="3304"/>
      <c r="I18" s="3304"/>
      <c r="K18" s="294" t="s">
        <v>1289</v>
      </c>
      <c r="L18" s="294">
        <f>IF(C1="",'数据-汇总表'!E3,SUMIF(项目类型,C1,'数据-汇总表'!E17:E26)+SUMIF(项目类型,C1,'数据-汇总表'!I17:I26))</f>
        <v>184.46</v>
      </c>
      <c r="M18" s="294">
        <f>IF(C1="",'数据-汇总表'!E3,SUMIF(项目类型,C1,'数据-汇总表'!E17:E26))</f>
        <v>184.46</v>
      </c>
    </row>
    <row r="19" spans="1:36" ht="15">
      <c r="A19" s="1630" t="s">
        <v>1290</v>
      </c>
      <c r="B19" s="1631" t="s">
        <v>1291</v>
      </c>
      <c r="C19" s="126">
        <f ca="1">SUMIF(INDIRECT("'"&amp;C4&amp;"'"&amp;"!A:A"),结果表!B19,INDIRECT("'"&amp;C4&amp;"'"&amp;"!B:B"))</f>
        <v>1074.7009</v>
      </c>
      <c r="D19" s="127">
        <f ca="1">SUMIF(INDIRECT("'"&amp;D4&amp;"'"&amp;"!A:A"),结果表!B19,INDIRECT("'"&amp;D4&amp;"'"&amp;"!B:B"))</f>
        <v>528.42679999999996</v>
      </c>
      <c r="E19" s="1630" t="s">
        <v>1292</v>
      </c>
      <c r="F19" s="1631" t="s">
        <v>1291</v>
      </c>
      <c r="G19" s="128">
        <f ca="1">ROUND(C19*$C$18+D19*$D$18,0)</f>
        <v>965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58262</v>
      </c>
      <c r="D20" s="130">
        <f ca="1">SUMIF(INDIRECT("'"&amp;D4&amp;"'"&amp;"!A:A"),结果表!B20,INDIRECT("'"&amp;D4&amp;"'"&amp;"!B:B"))</f>
        <v>28647</v>
      </c>
      <c r="E20" s="1633"/>
      <c r="F20" s="43" t="s">
        <v>1295</v>
      </c>
      <c r="G20" s="131">
        <f ca="1">ROUND(C20*$C$18+D20*$D$18,0)</f>
        <v>52339</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1.0337744035692364</v>
      </c>
      <c r="E22" s="121"/>
      <c r="F22" s="121"/>
      <c r="G22" s="121"/>
      <c r="H22" s="121"/>
      <c r="I22" s="121"/>
    </row>
    <row r="23" spans="1:36" ht="13.5" thickBot="1">
      <c r="A23" s="646"/>
      <c r="B23" s="646"/>
      <c r="C23" s="646"/>
      <c r="D23" s="646"/>
      <c r="E23" s="121"/>
      <c r="F23" s="121"/>
      <c r="G23" s="121"/>
      <c r="H23" s="121"/>
      <c r="I23" s="121"/>
    </row>
    <row r="24" spans="1:36" ht="14.25">
      <c r="A24" s="3287" t="s">
        <v>1299</v>
      </c>
      <c r="B24" s="1631" t="s">
        <v>1291</v>
      </c>
      <c r="C24" s="128">
        <f>IF(B30=0,0,D30)</f>
        <v>0</v>
      </c>
      <c r="D24" s="1637"/>
      <c r="E24" s="121"/>
      <c r="F24" s="121"/>
      <c r="G24" s="121"/>
      <c r="H24" s="121"/>
      <c r="I24" s="121"/>
    </row>
    <row r="25" spans="1:36" ht="14.25">
      <c r="A25" s="328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52339</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07" t="s">
        <v>1312</v>
      </c>
      <c r="B36" s="1652" t="s">
        <v>1313</v>
      </c>
      <c r="C36" s="137"/>
      <c r="D36" s="1653"/>
      <c r="E36" s="1567"/>
      <c r="F36" s="1654"/>
      <c r="G36" s="121"/>
      <c r="H36" s="121"/>
      <c r="I36" s="121"/>
    </row>
    <row r="37" spans="1:15" ht="15.75" thickBot="1">
      <c r="A37" s="3308"/>
      <c r="B37" s="1555" t="s">
        <v>1314</v>
      </c>
      <c r="C37" s="139"/>
      <c r="D37" s="1071"/>
      <c r="E37" s="1071"/>
      <c r="F37" s="1654"/>
      <c r="G37" s="121"/>
      <c r="H37" s="121"/>
      <c r="I37" s="121"/>
    </row>
    <row r="38" spans="1:15" ht="15.75" thickBot="1">
      <c r="A38" s="330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84" t="s">
        <v>1326</v>
      </c>
      <c r="B45" s="3285"/>
      <c r="C45" s="3286"/>
      <c r="D45" s="147" t="e">
        <f ca="1">ROUND(H101*F45,0)</f>
        <v>#REF!</v>
      </c>
      <c r="E45" s="148" t="s">
        <v>1327</v>
      </c>
      <c r="F45" s="149">
        <v>1</v>
      </c>
      <c r="G45" s="150" t="s">
        <v>1328</v>
      </c>
      <c r="H45" s="121"/>
      <c r="I45" s="121"/>
      <c r="J45" s="3362" t="s">
        <v>1329</v>
      </c>
      <c r="K45" s="3362"/>
      <c r="L45" s="3362"/>
      <c r="M45" s="3362"/>
      <c r="N45" s="3362"/>
      <c r="O45" s="3362"/>
    </row>
    <row r="46" spans="1:15" ht="14.25" customHeight="1">
      <c r="A46" s="3281" t="s">
        <v>1330</v>
      </c>
      <c r="B46" s="3282"/>
      <c r="C46" s="3282"/>
      <c r="D46" s="3282"/>
      <c r="E46" s="3282"/>
      <c r="F46" s="3282"/>
      <c r="G46" s="3283"/>
      <c r="H46" s="1668"/>
      <c r="I46" s="151"/>
      <c r="J46" s="2308">
        <v>1</v>
      </c>
      <c r="K46" s="3343" t="s">
        <v>1331</v>
      </c>
      <c r="L46" s="3343"/>
      <c r="M46" s="3363"/>
      <c r="N46" s="3363"/>
      <c r="O46" s="3363"/>
    </row>
    <row r="47" spans="1:15" ht="12" customHeight="1">
      <c r="A47" s="152" t="s">
        <v>1332</v>
      </c>
      <c r="B47" s="153"/>
      <c r="C47" s="154"/>
      <c r="D47" s="1024" t="s">
        <v>1333</v>
      </c>
      <c r="E47" s="294" t="s">
        <v>1334</v>
      </c>
      <c r="F47" s="155" t="s">
        <v>1335</v>
      </c>
      <c r="G47" s="2331" t="s">
        <v>1336</v>
      </c>
      <c r="H47" s="2332"/>
      <c r="I47" s="151"/>
      <c r="J47" s="2308">
        <v>2</v>
      </c>
      <c r="K47" s="3343" t="s">
        <v>1337</v>
      </c>
      <c r="L47" s="3343"/>
      <c r="M47" s="3364">
        <f>'数据-取费表'!B2</f>
        <v>46014</v>
      </c>
      <c r="N47" s="3364"/>
      <c r="O47" s="3364"/>
    </row>
    <row r="48" spans="1:15" ht="25.5">
      <c r="A48" s="3312" t="s">
        <v>1338</v>
      </c>
      <c r="B48" s="3295"/>
      <c r="C48" s="3295"/>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43" t="s">
        <v>1340</v>
      </c>
      <c r="L48" s="3343"/>
      <c r="M48" s="3365" t="e">
        <f ca="1">H101</f>
        <v>#REF!</v>
      </c>
      <c r="N48" s="3365"/>
      <c r="O48" s="3365"/>
    </row>
    <row r="49" spans="1:35" ht="25.5" customHeight="1">
      <c r="A49" s="2150" t="s">
        <v>1341</v>
      </c>
      <c r="B49" s="3279" t="s">
        <v>1342</v>
      </c>
      <c r="C49" s="3279"/>
      <c r="D49" s="1478">
        <v>0</v>
      </c>
      <c r="E49" s="316" t="s">
        <v>1343</v>
      </c>
      <c r="F49" s="2231" t="s">
        <v>28</v>
      </c>
      <c r="G49" s="3349"/>
      <c r="H49" s="2132" t="s">
        <v>2134</v>
      </c>
      <c r="I49" s="2133"/>
      <c r="J49" s="2308">
        <v>4</v>
      </c>
      <c r="K49" s="3343" t="str">
        <f>IF(项目基本情况!E8="房地产抵押价值","房地产抵押价值","抵押担保权已注销时的房地产抵押价值")</f>
        <v>抵押担保权已注销时的房地产抵押价值</v>
      </c>
      <c r="L49" s="3343"/>
      <c r="M49" s="3365" t="str">
        <f>IF(项目基本情况!E8="房地产抵押价值",H107,H109)</f>
        <v>——</v>
      </c>
      <c r="N49" s="3365"/>
      <c r="O49" s="3365"/>
    </row>
    <row r="50" spans="1:35" ht="25.5" customHeight="1">
      <c r="A50" s="2336"/>
      <c r="B50" s="3279" t="s">
        <v>1344</v>
      </c>
      <c r="C50" s="3279"/>
      <c r="D50" s="2187"/>
      <c r="E50" s="323"/>
      <c r="F50" s="2231"/>
      <c r="G50" s="3350"/>
      <c r="H50" s="2134" t="s">
        <v>2135</v>
      </c>
      <c r="I50" s="2133"/>
      <c r="J50" s="3362" t="s">
        <v>1345</v>
      </c>
      <c r="K50" s="3362"/>
      <c r="L50" s="3362"/>
      <c r="M50" s="3362"/>
      <c r="N50" s="3362"/>
      <c r="O50" s="3362"/>
    </row>
    <row r="51" spans="1:35" ht="20.45" customHeight="1">
      <c r="A51" s="2337"/>
      <c r="B51" s="3279" t="s">
        <v>1346</v>
      </c>
      <c r="C51" s="3279"/>
      <c r="D51" s="1024"/>
      <c r="E51" s="319"/>
      <c r="F51" s="2231"/>
      <c r="G51" s="3351"/>
      <c r="H51" s="2134" t="s">
        <v>2136</v>
      </c>
      <c r="I51" s="2133"/>
      <c r="J51" s="2309" t="s">
        <v>1347</v>
      </c>
      <c r="K51" s="3343" t="s">
        <v>1348</v>
      </c>
      <c r="L51" s="3343"/>
      <c r="M51" s="2309" t="s">
        <v>1349</v>
      </c>
      <c r="N51" s="2309" t="s">
        <v>1350</v>
      </c>
      <c r="O51" s="2309" t="s">
        <v>1351</v>
      </c>
    </row>
    <row r="52" spans="1:35" ht="24" customHeight="1">
      <c r="A52" s="2151" t="s">
        <v>1352</v>
      </c>
      <c r="B52" s="3279" t="s">
        <v>1353</v>
      </c>
      <c r="C52" s="3279"/>
      <c r="D52" s="1024" t="e">
        <f ca="1">ROUND(D45*'数据-取费表'!B41/(1+'数据-取费表'!C42),0)</f>
        <v>#REF!</v>
      </c>
      <c r="E52" s="1256" t="s">
        <v>1354</v>
      </c>
      <c r="F52" s="2338">
        <f>'数据-取费表'!B41</f>
        <v>5.6000000000000001E-2</v>
      </c>
      <c r="G52" s="2339"/>
      <c r="H52" s="2329"/>
      <c r="I52" s="1669"/>
      <c r="J52" s="2308">
        <v>1</v>
      </c>
      <c r="K52" s="3344" t="s">
        <v>1355</v>
      </c>
      <c r="L52" s="3344"/>
      <c r="M52" s="2310" t="b">
        <f>D48</f>
        <v>0</v>
      </c>
      <c r="N52" s="2308" t="str">
        <f>E48</f>
        <v>销售额×税（费）率</v>
      </c>
      <c r="O52" s="2311">
        <f>F48</f>
        <v>5.6000000000000001E-2</v>
      </c>
    </row>
    <row r="53" spans="1:35" ht="12" customHeight="1">
      <c r="A53" s="2151" t="s">
        <v>1356</v>
      </c>
      <c r="B53" s="3305" t="s">
        <v>2291</v>
      </c>
      <c r="C53" s="3306"/>
      <c r="D53" s="1024" t="e">
        <f ca="1">ROUND(D45*'数据-取费表'!B41/(1+'数据-取费表'!C42),0)</f>
        <v>#REF!</v>
      </c>
      <c r="E53" s="1256" t="s">
        <v>1354</v>
      </c>
      <c r="F53" s="2338">
        <f>'数据-取费表'!B41</f>
        <v>5.6000000000000001E-2</v>
      </c>
      <c r="G53" s="2339"/>
      <c r="H53" s="2329"/>
      <c r="I53" s="1669"/>
      <c r="J53" s="2308">
        <v>2</v>
      </c>
      <c r="K53" s="3344" t="s">
        <v>1357</v>
      </c>
      <c r="L53" s="3344"/>
      <c r="M53" s="2310" t="e">
        <f t="shared" ref="M53:O54" ca="1" si="0">D55</f>
        <v>#REF!</v>
      </c>
      <c r="N53" s="2308" t="str">
        <f t="shared" si="0"/>
        <v>销售额×税（费）率</v>
      </c>
      <c r="O53" s="2311" t="str">
        <f t="shared" si="0"/>
        <v>免征</v>
      </c>
    </row>
    <row r="54" spans="1:35" ht="12" customHeight="1">
      <c r="A54" s="2151" t="s">
        <v>1358</v>
      </c>
      <c r="B54" s="3305" t="s">
        <v>2292</v>
      </c>
      <c r="C54" s="3306"/>
      <c r="D54" s="1024" t="e">
        <f ca="1">C68</f>
        <v>#REF!</v>
      </c>
      <c r="E54" s="319" t="s">
        <v>1359</v>
      </c>
      <c r="F54" s="2338">
        <f>'数据-取费表'!B41</f>
        <v>5.6000000000000001E-2</v>
      </c>
      <c r="G54" s="2339"/>
      <c r="H54" s="2340"/>
      <c r="I54" s="1669"/>
      <c r="J54" s="2308">
        <v>3</v>
      </c>
      <c r="K54" s="3344" t="s">
        <v>1360</v>
      </c>
      <c r="L54" s="3344"/>
      <c r="M54" s="2310" t="e">
        <f t="shared" ca="1" si="0"/>
        <v>#REF!</v>
      </c>
      <c r="N54" s="2308" t="str">
        <f t="shared" si="0"/>
        <v>增值额×税（费）率</v>
      </c>
      <c r="O54" s="2312" t="str">
        <f t="shared" si="0"/>
        <v>免征</v>
      </c>
    </row>
    <row r="55" spans="1:35" ht="24" customHeight="1">
      <c r="A55" s="3294" t="s">
        <v>1361</v>
      </c>
      <c r="B55" s="3295"/>
      <c r="C55" s="3295"/>
      <c r="D55" s="12" t="e">
        <f ca="1">IF(H55="个人住宅",0,ROUND(D45*I55,0))</f>
        <v>#REF!</v>
      </c>
      <c r="E55" s="1256" t="s">
        <v>1362</v>
      </c>
      <c r="F55" s="2338" t="str">
        <f>IF(H55="正常",I55,"免征")</f>
        <v>免征</v>
      </c>
      <c r="G55" s="2339"/>
      <c r="H55" s="2335"/>
      <c r="I55" s="157">
        <f>'数据-取费表'!B49</f>
        <v>5.0000000000000001E-4</v>
      </c>
      <c r="J55" s="2308">
        <f>IF(H59="非个人房产","",4)</f>
        <v>4</v>
      </c>
      <c r="K55" s="3344" t="str">
        <f>IF(H59="非个人房产","——","个人所得税")</f>
        <v>个人所得税</v>
      </c>
      <c r="L55" s="3344"/>
      <c r="M55" s="2313" t="e">
        <f ca="1">D59</f>
        <v>#REF!</v>
      </c>
      <c r="N55" s="1881" t="str">
        <f>E59</f>
        <v>差额计税</v>
      </c>
      <c r="O55" s="2314">
        <f>F59</f>
        <v>0.01</v>
      </c>
    </row>
    <row r="56" spans="1:35" ht="24.75">
      <c r="A56" s="3294" t="s">
        <v>1363</v>
      </c>
      <c r="B56" s="3295"/>
      <c r="C56" s="3295"/>
      <c r="D56" s="12" t="e">
        <f ca="1">IF(H56="个人住宅",D57,D58)</f>
        <v>#REF!</v>
      </c>
      <c r="E56" s="1256" t="s">
        <v>1364</v>
      </c>
      <c r="F56" s="2338" t="str">
        <f>IF(H56="正常",F58,"免征")</f>
        <v>免征</v>
      </c>
      <c r="G56" s="2341" t="s">
        <v>1365</v>
      </c>
      <c r="H56" s="2342"/>
      <c r="I56" s="1670"/>
      <c r="J56" s="2308" t="str">
        <f>IF(项目基本情况!K6="上海银行",IF(J55="",4,J55+1),"")</f>
        <v/>
      </c>
      <c r="K56" s="3367" t="str">
        <f>IF(项目基本情况!K6="上海银行","其他处置费用","")</f>
        <v/>
      </c>
      <c r="L56" s="3368"/>
      <c r="M56" s="2310" t="str">
        <f>IF(项目基本情况!K6="上海银行",M69,"")</f>
        <v/>
      </c>
      <c r="N56" s="3367" t="str">
        <f>IF(项目基本情况!K6="上海银行","包含处置中涉及的律师、诉讼、拍卖、评估等费用","")</f>
        <v/>
      </c>
      <c r="O56" s="3370"/>
    </row>
    <row r="57" spans="1:35" ht="12.75">
      <c r="A57" s="2151" t="s">
        <v>1341</v>
      </c>
      <c r="B57" s="3305" t="s">
        <v>1366</v>
      </c>
      <c r="C57" s="3306"/>
      <c r="D57" s="1478">
        <v>0</v>
      </c>
      <c r="E57" s="316" t="s">
        <v>1343</v>
      </c>
      <c r="F57" s="294"/>
      <c r="G57" s="2339"/>
      <c r="H57" s="2343"/>
      <c r="I57" s="1670"/>
      <c r="J57" s="3344">
        <f>IF(AND(J55="",J56=""),4,IF(项目基本情况!K6="上海银行",结果表!J56+1,结果表!J55+1))</f>
        <v>5</v>
      </c>
      <c r="K57" s="3344" t="s">
        <v>1367</v>
      </c>
      <c r="L57" s="2315" t="s">
        <v>1368</v>
      </c>
      <c r="M57" s="2316"/>
      <c r="N57" s="2317">
        <f ca="1">SUMIF(M52:M56,"&lt;9e307")</f>
        <v>0</v>
      </c>
      <c r="O57" s="2318"/>
      <c r="P57" s="2463" t="e">
        <f ca="1">N57/M49</f>
        <v>#VALUE!</v>
      </c>
    </row>
    <row r="58" spans="1:35" ht="24.75">
      <c r="A58" s="2151" t="s">
        <v>1352</v>
      </c>
      <c r="B58" s="3305" t="s">
        <v>1369</v>
      </c>
      <c r="C58" s="3279"/>
      <c r="D58" s="12" t="e">
        <f ca="1">IF(H58="转让取得",C81,C97)</f>
        <v>#REF!</v>
      </c>
      <c r="E58" s="1256" t="s">
        <v>1364</v>
      </c>
      <c r="F58" s="294" t="s">
        <v>28</v>
      </c>
      <c r="G58" s="2339"/>
      <c r="H58" s="2342"/>
      <c r="I58" s="1670"/>
      <c r="J58" s="3344"/>
      <c r="K58" s="3344"/>
      <c r="L58" s="2315" t="s">
        <v>1370</v>
      </c>
      <c r="M58" s="2319"/>
      <c r="N58" s="2320" t="str">
        <f ca="1">NUMBERSTRING(INT(N57*10000),2)&amp;"元整"</f>
        <v>零元整</v>
      </c>
      <c r="O58" s="2321"/>
    </row>
    <row r="59" spans="1:35" ht="24.75" thickBot="1">
      <c r="A59" s="3347" t="s">
        <v>1371</v>
      </c>
      <c r="B59" s="3348"/>
      <c r="C59" s="3348"/>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45">
        <f>J57+1</f>
        <v>6</v>
      </c>
      <c r="K59" s="3344" t="s">
        <v>1372</v>
      </c>
      <c r="L59" s="2308" t="s">
        <v>1368</v>
      </c>
      <c r="M59" s="2322"/>
      <c r="N59" s="2323" t="e">
        <f ca="1">M49-N57</f>
        <v>#VALUE!</v>
      </c>
      <c r="O59" s="2324"/>
    </row>
    <row r="60" spans="1:35" ht="12" customHeight="1">
      <c r="A60" s="1671"/>
      <c r="B60" s="646"/>
      <c r="C60" s="646"/>
      <c r="D60" s="646"/>
      <c r="E60" s="1466"/>
      <c r="F60" s="1670"/>
      <c r="G60" s="1670"/>
      <c r="H60" s="151"/>
      <c r="I60" s="121"/>
      <c r="J60" s="3346"/>
      <c r="K60" s="3344"/>
      <c r="L60" s="2315" t="s">
        <v>1370</v>
      </c>
      <c r="M60" s="2319"/>
      <c r="N60" s="2320" t="e">
        <f ca="1">NUMBERSTRING(INT(N59*10000),2)&amp;"元整"</f>
        <v>#VALUE!</v>
      </c>
      <c r="O60" s="2321"/>
    </row>
    <row r="61" spans="1:35" ht="13.5" thickBot="1">
      <c r="A61" s="3292" t="s">
        <v>1373</v>
      </c>
      <c r="B61" s="3292"/>
      <c r="C61" s="3292"/>
      <c r="D61" s="3292"/>
      <c r="E61" s="3292"/>
      <c r="F61" s="1670"/>
      <c r="G61" s="1670"/>
      <c r="H61" s="151"/>
      <c r="I61" s="121"/>
      <c r="J61" s="2308">
        <f>J59+1</f>
        <v>7</v>
      </c>
      <c r="K61" s="3344" t="s">
        <v>1374</v>
      </c>
      <c r="L61" s="3344"/>
      <c r="M61" s="2325"/>
      <c r="N61" s="2326" t="e">
        <f ca="1">ROUND(N59*10000/'数据-汇总表'!E3,0)</f>
        <v>#VALUE!</v>
      </c>
      <c r="O61" s="2327"/>
    </row>
    <row r="62" spans="1:35" ht="12.75">
      <c r="A62" s="3310" t="s">
        <v>1375</v>
      </c>
      <c r="B62" s="3311"/>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69"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69"/>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69"/>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69"/>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69"/>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69"/>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69"/>
      <c r="K69" s="1245" t="s">
        <v>1393</v>
      </c>
      <c r="L69" s="1245"/>
      <c r="M69" s="294" t="e">
        <f>ROUND(SUM(M63:M68),0)</f>
        <v>#VALUE!</v>
      </c>
      <c r="N69" s="2330" t="e">
        <f>M69/M49</f>
        <v>#VALUE!</v>
      </c>
      <c r="Z69" s="1623"/>
      <c r="AI69" s="1561"/>
    </row>
    <row r="70" spans="1:35" s="642" customFormat="1" ht="15" thickBot="1">
      <c r="A70" s="3331" t="s">
        <v>1394</v>
      </c>
      <c r="B70" s="3332"/>
      <c r="C70" s="3332"/>
      <c r="D70" s="3332"/>
      <c r="E70" s="3332"/>
      <c r="F70" s="3332"/>
      <c r="G70" s="3332"/>
      <c r="H70" s="333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0" t="s">
        <v>1375</v>
      </c>
      <c r="B71" s="3311"/>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05" t="s">
        <v>1402</v>
      </c>
      <c r="F76" s="3279"/>
      <c r="G76" s="3279"/>
      <c r="H76" s="333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289" t="s">
        <v>1406</v>
      </c>
      <c r="F78" s="3290"/>
      <c r="G78" s="3290"/>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31" t="s">
        <v>1410</v>
      </c>
      <c r="B83" s="3332"/>
      <c r="C83" s="3332"/>
      <c r="D83" s="3332"/>
      <c r="E83" s="3332"/>
      <c r="F83" s="3332"/>
      <c r="G83" s="3332"/>
      <c r="H83" s="333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0" t="s">
        <v>1375</v>
      </c>
      <c r="B84" s="3311"/>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371" t="s">
        <v>2129</v>
      </c>
      <c r="H90" s="3372"/>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9" t="s">
        <v>1419</v>
      </c>
      <c r="F91" s="3290"/>
      <c r="G91" s="329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9" t="s">
        <v>1422</v>
      </c>
      <c r="F92" s="3290"/>
      <c r="G92" s="3290"/>
      <c r="H92" s="3299"/>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289" t="s">
        <v>1406</v>
      </c>
      <c r="F93" s="3290"/>
      <c r="G93" s="3290"/>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00" t="s">
        <v>1426</v>
      </c>
      <c r="F94" s="3301"/>
      <c r="G94" s="3301"/>
      <c r="H94" s="330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73" t="s">
        <v>1428</v>
      </c>
      <c r="B100" s="3274"/>
      <c r="C100" s="3274"/>
      <c r="D100" s="3291"/>
      <c r="E100" s="3274" t="s">
        <v>1429</v>
      </c>
      <c r="F100" s="3274"/>
      <c r="G100" s="3274"/>
      <c r="H100" s="3291"/>
      <c r="I100" s="121"/>
    </row>
    <row r="101" spans="1:35" ht="18.75" customHeight="1">
      <c r="A101" s="3352" t="s">
        <v>1430</v>
      </c>
      <c r="B101" s="3353"/>
      <c r="C101" s="2369" t="str">
        <f>C4</f>
        <v>比较法-住宅</v>
      </c>
      <c r="D101" s="2370" t="str">
        <f>D4</f>
        <v>收益法 (元)</v>
      </c>
      <c r="E101" s="3366" t="s">
        <v>1431</v>
      </c>
      <c r="F101" s="3323"/>
      <c r="G101" s="1687" t="s">
        <v>1432</v>
      </c>
      <c r="H101" s="2379" t="e">
        <f ca="1">H118</f>
        <v>#REF!</v>
      </c>
      <c r="I101" s="121"/>
    </row>
    <row r="102" spans="1:35" ht="18.75" customHeight="1">
      <c r="A102" s="3325" t="s">
        <v>1433</v>
      </c>
      <c r="B102" s="2368" t="s">
        <v>1432</v>
      </c>
      <c r="C102" s="2369">
        <f ca="1">IF(D32="楼面单价",ROUND(C19,0),C19)</f>
        <v>1074.7009</v>
      </c>
      <c r="D102" s="2370">
        <f ca="1">IF(D32="楼面单价",ROUND(D19,0),D19)</f>
        <v>528.42679999999996</v>
      </c>
      <c r="E102" s="3366"/>
      <c r="F102" s="3323"/>
      <c r="G102" s="1687" t="s">
        <v>1434</v>
      </c>
      <c r="H102" s="2339" t="e">
        <f ca="1">I118</f>
        <v>#REF!</v>
      </c>
      <c r="I102" s="121"/>
    </row>
    <row r="103" spans="1:35" ht="42.75" customHeight="1">
      <c r="A103" s="3325"/>
      <c r="B103" s="2368" t="s">
        <v>1434</v>
      </c>
      <c r="C103" s="2371">
        <f ca="1">C20</f>
        <v>58262</v>
      </c>
      <c r="D103" s="2372">
        <f ca="1">D20</f>
        <v>28647</v>
      </c>
      <c r="E103" s="3360" t="s">
        <v>1435</v>
      </c>
      <c r="F103" s="3361"/>
      <c r="G103" s="1688" t="s">
        <v>1436</v>
      </c>
      <c r="H103" s="2379">
        <f>IF(D36="正常操作",H104+H105+H106,H105+H106)</f>
        <v>0</v>
      </c>
      <c r="I103" s="121"/>
    </row>
    <row r="104" spans="1:35" ht="18.75" customHeight="1">
      <c r="A104" s="3325"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26"/>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22" t="str">
        <f>IF(项目基本情况!E8="已注销","——","3.房地产抵押价值")</f>
        <v>3.房地产抵押价值</v>
      </c>
      <c r="F107" s="3323"/>
      <c r="G107" s="1687" t="s">
        <v>1432</v>
      </c>
      <c r="H107" s="2379" t="e">
        <f ca="1">IF(E107="——","——",H101-H103)</f>
        <v>#REF!</v>
      </c>
      <c r="I107" s="121"/>
    </row>
    <row r="108" spans="1:35" ht="18.75" customHeight="1">
      <c r="A108" s="121"/>
      <c r="B108" s="121"/>
      <c r="C108" s="121"/>
      <c r="D108" s="121"/>
      <c r="E108" s="3322"/>
      <c r="F108" s="3323"/>
      <c r="G108" s="1687" t="s">
        <v>1434</v>
      </c>
      <c r="H108" s="2339">
        <f ca="1">IF(H107=H101,H102,ROUND(H107*10000/'数据-汇总表'!E3,0))</f>
        <v>0</v>
      </c>
      <c r="I108" s="121"/>
    </row>
    <row r="109" spans="1:35" ht="18.75" customHeight="1">
      <c r="A109" s="121"/>
      <c r="B109" s="121"/>
      <c r="C109" s="121"/>
      <c r="D109" s="121"/>
      <c r="E109" s="3322" t="str">
        <f>IF(项目基本情况!E8="已注销及未注销","4.抵押担保权已注销时的房地产抵押价值",IF(项目基本情况!E8="已注销","3.抵押担保权已注销时的房地产抵押价值","——"))</f>
        <v>——</v>
      </c>
      <c r="F109" s="3323"/>
      <c r="G109" s="1687" t="s">
        <v>1432</v>
      </c>
      <c r="H109" s="2382" t="str">
        <f>IF(E109="——","——",H101-H105-H106)</f>
        <v>——</v>
      </c>
      <c r="I109" s="121"/>
    </row>
    <row r="110" spans="1:35" ht="18.75" customHeight="1">
      <c r="A110" s="121"/>
      <c r="B110" s="121"/>
      <c r="C110" s="121"/>
      <c r="D110" s="121"/>
      <c r="E110" s="3322"/>
      <c r="F110" s="3323"/>
      <c r="G110" s="1687" t="s">
        <v>1434</v>
      </c>
      <c r="H110" s="2339" t="str">
        <f>IF(H109="——","——",ROUND(H109*10000/'数据-汇总表'!E3,0))</f>
        <v>——</v>
      </c>
      <c r="I110" s="121"/>
    </row>
    <row r="111" spans="1:35" ht="18.75" customHeight="1">
      <c r="A111" s="121"/>
      <c r="B111" s="121"/>
      <c r="C111" s="121"/>
      <c r="D111" s="121"/>
      <c r="E111" s="3354" t="str">
        <f>IF(项目基本情况!E9="抵押净值",IF(OR(项目基本情况!E8="已注销",项目基本情况!E8="房地产抵押价值"),"4.抵押净值","5.抵押净值"),"——")</f>
        <v>——</v>
      </c>
      <c r="F111" s="3324"/>
      <c r="G111" s="1687" t="s">
        <v>1432</v>
      </c>
      <c r="H111" s="2379" t="str">
        <f>IF(E111="——","——",N59)</f>
        <v>——</v>
      </c>
      <c r="I111" s="121"/>
    </row>
    <row r="112" spans="1:35" ht="18.75" customHeight="1" thickBot="1">
      <c r="A112" s="121"/>
      <c r="B112" s="121"/>
      <c r="C112" s="121"/>
      <c r="D112" s="121"/>
      <c r="E112" s="3355"/>
      <c r="F112" s="3356"/>
      <c r="G112" s="1690" t="s">
        <v>1434</v>
      </c>
      <c r="H112" s="2383" t="str">
        <f>IF(E111="——","——",N61)</f>
        <v>——</v>
      </c>
      <c r="I112" s="121"/>
    </row>
    <row r="113" spans="1:27" ht="18.75" customHeight="1">
      <c r="A113" s="121"/>
      <c r="B113" s="121"/>
      <c r="C113" s="121"/>
      <c r="D113" s="121"/>
      <c r="E113" s="3327" t="s">
        <v>1440</v>
      </c>
      <c r="F113" s="3327"/>
      <c r="G113" s="3327"/>
      <c r="H113" s="3327"/>
      <c r="I113" s="121"/>
    </row>
    <row r="114" spans="1:27" ht="3.75" customHeight="1">
      <c r="A114" s="646"/>
      <c r="B114" s="646"/>
      <c r="C114" s="646"/>
      <c r="D114" s="646"/>
      <c r="E114" s="1671"/>
      <c r="F114" s="1671"/>
      <c r="G114" s="1671"/>
      <c r="H114" s="1671"/>
      <c r="I114" s="646"/>
    </row>
    <row r="115" spans="1:27" ht="18.75" customHeight="1">
      <c r="A115" s="3337" t="s">
        <v>1442</v>
      </c>
      <c r="B115" s="3338"/>
      <c r="C115" s="3338"/>
      <c r="D115" s="3338"/>
      <c r="E115" s="3338"/>
      <c r="F115" s="3338"/>
      <c r="G115" s="3338"/>
      <c r="H115" s="3338"/>
      <c r="I115" s="3339"/>
    </row>
    <row r="116" spans="1:27" ht="27" customHeight="1">
      <c r="A116" s="3293" t="s">
        <v>1443</v>
      </c>
      <c r="B116" s="3328" t="s">
        <v>1444</v>
      </c>
      <c r="C116" s="3328" t="s">
        <v>1445</v>
      </c>
      <c r="D116" s="3341" t="s">
        <v>1446</v>
      </c>
      <c r="E116" s="3342"/>
      <c r="F116" s="3336" t="s">
        <v>1447</v>
      </c>
      <c r="G116" s="3336"/>
      <c r="H116" s="3293" t="s">
        <v>1448</v>
      </c>
      <c r="I116" s="3293"/>
    </row>
    <row r="117" spans="1:27" ht="18.75" customHeight="1">
      <c r="A117" s="3293"/>
      <c r="B117" s="3329"/>
      <c r="C117" s="3329"/>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184.46</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93" t="s">
        <v>1452</v>
      </c>
      <c r="B119" s="3293"/>
      <c r="C119" s="3293"/>
      <c r="D119" s="3333" t="e">
        <f ca="1">NUMBERSTRING(INT(D118*10000),2)&amp;"元整"</f>
        <v>#REF!</v>
      </c>
      <c r="E119" s="3335"/>
      <c r="F119" s="3333" t="e">
        <f ca="1">NUMBERSTRING(INT(F118*10000),2)&amp;"元整"</f>
        <v>#REF!</v>
      </c>
      <c r="G119" s="3335"/>
      <c r="H119" s="3333" t="e">
        <f ca="1">NUMBERSTRING(INT(H118*10000),2)&amp;"元整"</f>
        <v>#REF!</v>
      </c>
      <c r="I119" s="3335"/>
    </row>
    <row r="120" spans="1:27" ht="18.75" customHeight="1">
      <c r="A120" s="3357" t="str">
        <f>IF(项目基本情况!B9="房地产市场价值","",MID(E103,3,LEN(E103)-2))</f>
        <v/>
      </c>
      <c r="B120" s="3358"/>
      <c r="C120" s="3359"/>
      <c r="D120" s="3357">
        <f>H103</f>
        <v>0</v>
      </c>
      <c r="E120" s="3358"/>
      <c r="F120" s="3358"/>
      <c r="G120" s="3358"/>
      <c r="H120" s="3358"/>
      <c r="I120" s="3359"/>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33" t="s">
        <v>1452</v>
      </c>
      <c r="B121" s="3334"/>
      <c r="C121" s="3335"/>
      <c r="D121" s="3333" t="str">
        <f>IF(D120=0,"零元整",NUMBERSTRING(INT(D120*10000),2)&amp;"元整")</f>
        <v>零元整</v>
      </c>
      <c r="E121" s="3334"/>
      <c r="F121" s="3334"/>
      <c r="G121" s="3334"/>
      <c r="H121" s="3334"/>
      <c r="I121" s="3335"/>
      <c r="AA121" s="684"/>
    </row>
    <row r="122" spans="1:27" ht="18.75" customHeight="1">
      <c r="A122" s="3324" t="str">
        <f>IF(项目基本情况!B9="房地产市场价值","",MID(E107,3,LEN(E107)-2))</f>
        <v/>
      </c>
      <c r="B122" s="3324"/>
      <c r="C122" s="3324"/>
      <c r="D122" s="3357" t="e">
        <f ca="1">H107</f>
        <v>#REF!</v>
      </c>
      <c r="E122" s="3358"/>
      <c r="F122" s="3358"/>
      <c r="G122" s="3358"/>
      <c r="H122" s="3358"/>
      <c r="I122" s="3359"/>
      <c r="AA122" s="684"/>
    </row>
    <row r="123" spans="1:27" ht="18.75" customHeight="1">
      <c r="A123" s="3293" t="s">
        <v>1452</v>
      </c>
      <c r="B123" s="3293"/>
      <c r="C123" s="3293"/>
      <c r="D123" s="3333" t="e">
        <f ca="1">NUMBERSTRING(INT(D122*10000),2)&amp;"元整"</f>
        <v>#REF!</v>
      </c>
      <c r="E123" s="3334"/>
      <c r="F123" s="3334"/>
      <c r="G123" s="3334"/>
      <c r="H123" s="3334"/>
      <c r="I123" s="3335"/>
      <c r="AA123" s="684"/>
    </row>
    <row r="124" spans="1:27" ht="18.75" customHeight="1">
      <c r="A124" s="3324" t="str">
        <f>IF(项目基本情况!B9="房地产市场价值","",MID(E109,3,LEN(E109)-2))</f>
        <v/>
      </c>
      <c r="B124" s="3324"/>
      <c r="C124" s="3324"/>
      <c r="D124" s="3357" t="str">
        <f>H109</f>
        <v>——</v>
      </c>
      <c r="E124" s="3358"/>
      <c r="F124" s="3358"/>
      <c r="G124" s="3358"/>
      <c r="H124" s="3358"/>
      <c r="I124" s="3359"/>
      <c r="AA124" s="684"/>
    </row>
    <row r="125" spans="1:27" ht="18.75" customHeight="1">
      <c r="A125" s="3293" t="s">
        <v>1452</v>
      </c>
      <c r="B125" s="3293"/>
      <c r="C125" s="3293"/>
      <c r="D125" s="3333" t="e">
        <f>NUMBERSTRING(INT(D124*10000),2)&amp;"元整"</f>
        <v>#VALUE!</v>
      </c>
      <c r="E125" s="3334"/>
      <c r="F125" s="3334"/>
      <c r="G125" s="3334"/>
      <c r="H125" s="3334"/>
      <c r="I125" s="3335"/>
      <c r="AA125" s="684"/>
    </row>
    <row r="126" spans="1:27" ht="18.75" customHeight="1">
      <c r="A126" s="3324" t="str">
        <f>IF(项目基本情况!B9="房地产市场价值","",MID(E111,3,LEN(E111)-2))</f>
        <v/>
      </c>
      <c r="B126" s="3324"/>
      <c r="C126" s="3324"/>
      <c r="D126" s="3357" t="str">
        <f>H111</f>
        <v>——</v>
      </c>
      <c r="E126" s="3358"/>
      <c r="F126" s="3358"/>
      <c r="G126" s="3358"/>
      <c r="H126" s="3358"/>
      <c r="I126" s="3359"/>
      <c r="AA126" s="684"/>
    </row>
    <row r="127" spans="1:27" ht="18.75" customHeight="1">
      <c r="A127" s="3293" t="s">
        <v>1452</v>
      </c>
      <c r="B127" s="3293"/>
      <c r="C127" s="3293"/>
      <c r="D127" s="3333" t="e">
        <f>NUMBERSTRING(INT(D126*10000),2)&amp;"元整"</f>
        <v>#VALUE!</v>
      </c>
      <c r="E127" s="3334"/>
      <c r="F127" s="3334"/>
      <c r="G127" s="3334"/>
      <c r="H127" s="3334"/>
      <c r="I127" s="3335"/>
      <c r="AA127" s="684"/>
    </row>
    <row r="128" spans="1:27" ht="21.75" customHeight="1">
      <c r="A128" s="3340" t="s">
        <v>1453</v>
      </c>
      <c r="B128" s="3340"/>
      <c r="C128" s="3340"/>
      <c r="D128" s="3340"/>
      <c r="E128" s="3340"/>
      <c r="F128" s="3340"/>
      <c r="G128" s="3340"/>
      <c r="H128" s="3340"/>
      <c r="I128" s="334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86</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4662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3</v>
      </c>
      <c r="D9" s="795">
        <f ca="1">IF(B1="",'数据-汇总表'!E5,IF(INDIRECT("'数据-取费表'!c"&amp;$G$1)="住宅",INDIRECT("'数据-取费表'!k"&amp;$G$1),0))</f>
        <v>184.46</v>
      </c>
      <c r="E9" s="217">
        <f>'数据-取费表'!B27</f>
        <v>160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0</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4</v>
      </c>
      <c r="D19" s="204">
        <f ca="1">D9+D10</f>
        <v>184.46</v>
      </c>
      <c r="E19" s="203">
        <f>'数据-取费表'!B31</f>
        <v>200</v>
      </c>
      <c r="F19" s="223"/>
      <c r="G19" s="1714"/>
    </row>
    <row r="20" spans="1:7" s="206" customFormat="1" ht="13.5" customHeight="1">
      <c r="A20" s="247" t="s">
        <v>1493</v>
      </c>
      <c r="B20" s="202" t="s">
        <v>1494</v>
      </c>
      <c r="C20" s="224">
        <f ca="1">ROUND((C5+C19)*F20,0)</f>
        <v>0</v>
      </c>
      <c r="D20" s="224"/>
      <c r="E20" s="224"/>
      <c r="F20" s="225">
        <f>'数据-取费表'!B37</f>
        <v>0.01</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1</v>
      </c>
      <c r="D27" s="227">
        <f ca="1">C29</f>
        <v>2E-3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65</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3</v>
      </c>
      <c r="D36" s="212"/>
      <c r="E36" s="212"/>
      <c r="F36" s="251">
        <f>'数据-取费表'!B34</f>
        <v>0.05</v>
      </c>
      <c r="G36" s="252" t="s">
        <v>1530</v>
      </c>
    </row>
    <row r="37" spans="1:7" s="250" customFormat="1" ht="13.5" customHeight="1">
      <c r="A37" s="734" t="s">
        <v>353</v>
      </c>
      <c r="B37" s="207" t="s">
        <v>1531</v>
      </c>
      <c r="C37" s="241">
        <f ca="1">ROUND(E37*D37*F34/10000,0)</f>
        <v>4</v>
      </c>
      <c r="D37" s="209">
        <f ca="1">D19</f>
        <v>184.46</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73" t="s">
        <v>1544</v>
      </c>
    </row>
    <row r="43" spans="1:7" ht="13.5" customHeight="1">
      <c r="A43" s="734" t="s">
        <v>347</v>
      </c>
      <c r="B43" s="207" t="s">
        <v>1545</v>
      </c>
      <c r="C43" s="230">
        <f ca="1">ROUND(IF('数据-取费表'!B22&lt;=1,C39*F22*'数据-取费表'!B21/2,C39*(POWER((1+F22),'数据-取费表'!B21/2)-1)),0)</f>
        <v>0</v>
      </c>
      <c r="D43" s="230"/>
      <c r="E43" s="230"/>
      <c r="F43" s="231"/>
      <c r="G43" s="3374"/>
    </row>
    <row r="44" spans="1:7" ht="13.5" customHeight="1">
      <c r="A44" s="734" t="s">
        <v>348</v>
      </c>
      <c r="B44" s="207" t="s">
        <v>1546</v>
      </c>
      <c r="C44" s="230">
        <f ca="1">ROUND(IF('数据-取费表'!B22&lt;=1,C40*F22*'数据-取费表'!B21/2,C40*(POWER((1+F22),'数据-取费表'!B21/2)-1)),4)</f>
        <v>2.9999999999999997E-4</v>
      </c>
      <c r="D44" s="230"/>
      <c r="E44" s="230"/>
      <c r="F44" s="231"/>
      <c r="G44" s="3375"/>
    </row>
    <row r="45" spans="1:7" s="206" customFormat="1" ht="13.5" customHeight="1">
      <c r="A45" s="247" t="s">
        <v>1547</v>
      </c>
      <c r="B45" s="236" t="s">
        <v>1513</v>
      </c>
      <c r="C45" s="237">
        <f ca="1">C46</f>
        <v>15</v>
      </c>
      <c r="D45" s="227">
        <f ca="1">C47</f>
        <v>2E-3</v>
      </c>
      <c r="E45" s="228" t="s">
        <v>1539</v>
      </c>
      <c r="F45" s="238">
        <f ca="1">F27</f>
        <v>0.2</v>
      </c>
      <c r="G45" s="239" t="s">
        <v>1548</v>
      </c>
    </row>
    <row r="46" spans="1:7" s="206" customFormat="1" ht="13.5" customHeight="1">
      <c r="A46" s="734" t="s">
        <v>346</v>
      </c>
      <c r="B46" s="240" t="s">
        <v>1549</v>
      </c>
      <c r="C46" s="241">
        <f ca="1">ROUND((C33+C39)*F27,0)</f>
        <v>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101</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81</v>
      </c>
      <c r="D51" s="224"/>
      <c r="E51" s="224"/>
      <c r="F51" s="256"/>
      <c r="G51" s="226" t="s">
        <v>1560</v>
      </c>
    </row>
    <row r="52" spans="1:7" s="200" customFormat="1" ht="16.5" thickBot="1">
      <c r="A52" s="257" t="s">
        <v>1561</v>
      </c>
      <c r="B52" s="258"/>
      <c r="C52" s="259">
        <f ca="1">C31+C51</f>
        <v>86</v>
      </c>
      <c r="D52" s="258"/>
      <c r="E52" s="258"/>
      <c r="F52" s="258"/>
      <c r="G52" s="260"/>
    </row>
    <row r="55" spans="1:7" ht="15">
      <c r="B55" s="262" t="s">
        <v>1562</v>
      </c>
      <c r="C55" s="263"/>
    </row>
    <row r="56" spans="1:7">
      <c r="B56" s="265" t="s">
        <v>802</v>
      </c>
      <c r="C56" s="267">
        <f ca="1">1-C57</f>
        <v>5.8000000000000052E-2</v>
      </c>
    </row>
    <row r="57" spans="1:7">
      <c r="B57" s="265" t="s">
        <v>803</v>
      </c>
      <c r="C57" s="266">
        <f ca="1">ROUND(C51/C52,3)</f>
        <v>0.94199999999999995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91" t="str">
        <f>项目基本情况!B1</f>
        <v>北京市房地产市场价值预评估</v>
      </c>
      <c r="C37" s="3191"/>
      <c r="D37" s="3191"/>
      <c r="E37" s="3191"/>
      <c r="F37" s="3191"/>
      <c r="G37" s="3191"/>
      <c r="H37" s="3191"/>
      <c r="I37" s="319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-4</v>
      </c>
      <c r="C2" s="268" t="s">
        <v>1595</v>
      </c>
      <c r="D2" s="268"/>
      <c r="E2" s="2566"/>
      <c r="F2" s="2566"/>
      <c r="G2" s="2566"/>
      <c r="H2" s="2566"/>
      <c r="I2" s="2566"/>
      <c r="J2" s="2566"/>
      <c r="K2" s="2566"/>
    </row>
    <row r="3" spans="1:33" ht="18" customHeight="1" thickBot="1">
      <c r="A3" s="195" t="s">
        <v>1464</v>
      </c>
      <c r="B3" s="196">
        <f ca="1">ROUND(B2*10000/IF(C1="",'数据-汇总表'!E3,INDIRECT("'数据-取费表'!K"&amp;$K$1)),0)</f>
        <v>-217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0.05</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184.46</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184.46</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3</v>
      </c>
      <c r="D19" s="796">
        <f ca="1">IF(C1="",'数据-汇总表'!E5,IF(INDIRECT("'数据-取费表'!c"&amp;$K$1)="住宅",INDIRECT("'数据-取费表'!k"&amp;$K$1),0))</f>
        <v>184.46</v>
      </c>
      <c r="E19" s="21">
        <f>'数据-取费表'!B27</f>
        <v>160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0</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0.01</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8" t="s">
        <v>694</v>
      </c>
      <c r="C6" s="1011">
        <f ca="1">ROUND(F6*F8*F7*(1-F9)/10000,0)</f>
        <v>0</v>
      </c>
      <c r="D6" s="147" t="s">
        <v>2109</v>
      </c>
      <c r="E6" s="294" t="s">
        <v>696</v>
      </c>
      <c r="F6" s="295">
        <f ca="1">INDIRECT("'数据-取费表'!u"&amp;$G$1)</f>
        <v>0</v>
      </c>
      <c r="G6" s="1292"/>
      <c r="H6" s="1006" t="s">
        <v>398</v>
      </c>
      <c r="I6" s="3378" t="s">
        <v>694</v>
      </c>
      <c r="J6" s="293">
        <f ca="1">ROUND(M6*M8*M7*(1-M9)/10000,0)</f>
        <v>0</v>
      </c>
      <c r="K6" s="147" t="s">
        <v>2108</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0</v>
      </c>
      <c r="G7" s="1292"/>
      <c r="H7" s="296"/>
      <c r="I7" s="3379"/>
      <c r="J7" s="298"/>
      <c r="K7" s="299"/>
      <c r="L7" s="294" t="s">
        <v>697</v>
      </c>
      <c r="M7" s="295">
        <f ca="1">F7</f>
        <v>0</v>
      </c>
    </row>
    <row r="8" spans="1:37" ht="18" customHeight="1">
      <c r="A8" s="296"/>
      <c r="B8" s="3379"/>
      <c r="C8" s="298"/>
      <c r="D8" s="299"/>
      <c r="E8" s="294" t="s">
        <v>698</v>
      </c>
      <c r="F8" s="295">
        <f ca="1">INDIRECT("'数据-取费表'!ai"&amp;$G$1)</f>
        <v>0</v>
      </c>
      <c r="G8" s="1292"/>
      <c r="H8" s="296"/>
      <c r="I8" s="3379"/>
      <c r="J8" s="298"/>
      <c r="K8" s="299"/>
      <c r="L8" s="294" t="s">
        <v>698</v>
      </c>
      <c r="M8" s="295">
        <f ca="1">INDIRECT("'数据-取费表'!ai"&amp;$G$1)</f>
        <v>0</v>
      </c>
    </row>
    <row r="9" spans="1:37" ht="18" customHeight="1">
      <c r="A9" s="296"/>
      <c r="B9" s="3380"/>
      <c r="C9" s="298"/>
      <c r="D9" s="299"/>
      <c r="E9" s="294" t="s">
        <v>699</v>
      </c>
      <c r="F9" s="304">
        <f ca="1">INDIRECT("'数据-取费表'!w"&amp;$G$1)</f>
        <v>0</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0.01</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76" t="s">
        <v>837</v>
      </c>
      <c r="L53" s="3377"/>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7" zoomScale="115" zoomScaleNormal="60" zoomScaleSheetLayoutView="115" workbookViewId="0">
      <selection activeCell="E33" sqref="E33"/>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3402</v>
      </c>
      <c r="E1" s="3123" t="s">
        <v>3444</v>
      </c>
      <c r="F1" s="1735" t="s">
        <v>3440</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1074.7009</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58262</v>
      </c>
      <c r="C3" s="344" t="s">
        <v>1665</v>
      </c>
      <c r="D3" s="343">
        <f>IF(D1="",'数据-汇总表'!E3,SUMIF('数据-汇总表'!$C19:$C33,D1,'数据-汇总表'!$E19:$E33))</f>
        <v>184.46</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22" t="s">
        <v>3574</v>
      </c>
      <c r="D5" s="3418"/>
      <c r="E5" s="3425" t="str">
        <f>C5</f>
        <v>国风上观</v>
      </c>
      <c r="F5" s="3426"/>
      <c r="G5" s="3417" t="str">
        <f>E5</f>
        <v>国风上观</v>
      </c>
      <c r="H5" s="3418"/>
      <c r="I5" s="3417" t="str">
        <f>G5</f>
        <v>国风上观</v>
      </c>
      <c r="J5" s="3418"/>
      <c r="K5" s="1745"/>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1745"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f>成交案例!B2</f>
        <v>45994</v>
      </c>
      <c r="F7" s="357">
        <f>SUMIF(58:58,YEAR(E7)&amp;"-"&amp;MONTH(E7),59:59)</f>
        <v>100</v>
      </c>
      <c r="G7" s="356">
        <f>成交案例!B3</f>
        <v>45972</v>
      </c>
      <c r="H7" s="355">
        <f>SUMIF(58:58,YEAR(G7)&amp;"-"&amp;MONTH(G7),59:59)</f>
        <v>100</v>
      </c>
      <c r="I7" s="356">
        <f>成交案例!B5</f>
        <v>45968</v>
      </c>
      <c r="J7" s="355">
        <f>SUMIF(58:58,YEAR(I7)&amp;"-"&amp;MONTH(I7),59:59)</f>
        <v>100</v>
      </c>
      <c r="K7" s="1746"/>
      <c r="L7" s="2487"/>
      <c r="M7" s="2438"/>
      <c r="N7" s="2438"/>
      <c r="O7" s="2438"/>
      <c r="P7" s="3419" t="s">
        <v>1680</v>
      </c>
      <c r="Q7" s="3421"/>
      <c r="R7" s="664" t="s">
        <v>20</v>
      </c>
      <c r="S7" s="665">
        <f t="shared" ref="S7:S15" si="0">F7</f>
        <v>100</v>
      </c>
      <c r="T7" s="664" t="s">
        <v>20</v>
      </c>
      <c r="U7" s="665">
        <f t="shared" ref="U7:U15" si="1">H7</f>
        <v>100</v>
      </c>
      <c r="V7" s="664" t="s">
        <v>20</v>
      </c>
      <c r="W7" s="665">
        <f t="shared" ref="W7:W15" si="2">J7</f>
        <v>100</v>
      </c>
      <c r="X7" s="666"/>
      <c r="Y7" s="3419" t="s">
        <v>1680</v>
      </c>
      <c r="Z7" s="3420"/>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9" t="s">
        <v>1683</v>
      </c>
      <c r="Q8" s="3420"/>
      <c r="R8" s="664" t="s">
        <v>20</v>
      </c>
      <c r="S8" s="665">
        <f t="shared" si="0"/>
        <v>100</v>
      </c>
      <c r="T8" s="664" t="s">
        <v>20</v>
      </c>
      <c r="U8" s="665">
        <f t="shared" si="1"/>
        <v>100</v>
      </c>
      <c r="V8" s="664" t="s">
        <v>20</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5"/>
      <c r="Q11" s="530" t="str">
        <f t="shared" si="6"/>
        <v>容积率</v>
      </c>
      <c r="R11" s="664" t="s">
        <v>18</v>
      </c>
      <c r="S11" s="665">
        <f t="shared" si="0"/>
        <v>100</v>
      </c>
      <c r="T11" s="664" t="s">
        <v>18</v>
      </c>
      <c r="U11" s="665">
        <f t="shared" si="1"/>
        <v>100</v>
      </c>
      <c r="V11" s="664" t="s">
        <v>18</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5"/>
      <c r="Q12" s="530">
        <f t="shared" si="6"/>
        <v>111</v>
      </c>
      <c r="R12" s="664" t="s">
        <v>18</v>
      </c>
      <c r="S12" s="665">
        <f t="shared" si="0"/>
        <v>100</v>
      </c>
      <c r="T12" s="664" t="s">
        <v>18</v>
      </c>
      <c r="U12" s="665">
        <f t="shared" si="1"/>
        <v>100</v>
      </c>
      <c r="V12" s="664" t="s">
        <v>18</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5"/>
      <c r="Q13" s="530">
        <f t="shared" si="6"/>
        <v>111</v>
      </c>
      <c r="R13" s="664" t="s">
        <v>18</v>
      </c>
      <c r="S13" s="665">
        <f t="shared" si="0"/>
        <v>100</v>
      </c>
      <c r="T13" s="664" t="s">
        <v>18</v>
      </c>
      <c r="U13" s="665">
        <f t="shared" si="1"/>
        <v>100</v>
      </c>
      <c r="V13" s="664" t="s">
        <v>18</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5"/>
      <c r="Q14" s="530">
        <f t="shared" si="6"/>
        <v>111</v>
      </c>
      <c r="R14" s="664" t="s">
        <v>18</v>
      </c>
      <c r="S14" s="665">
        <f t="shared" si="0"/>
        <v>100</v>
      </c>
      <c r="T14" s="664" t="s">
        <v>18</v>
      </c>
      <c r="U14" s="665">
        <f t="shared" si="1"/>
        <v>100</v>
      </c>
      <c r="V14" s="664" t="s">
        <v>18</v>
      </c>
      <c r="W14" s="665">
        <f t="shared" si="2"/>
        <v>100</v>
      </c>
      <c r="X14" s="666"/>
      <c r="Y14" s="328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3" t="s">
        <v>1691</v>
      </c>
      <c r="Q15" s="1263" t="str">
        <f t="shared" si="6"/>
        <v>居住社区成熟度</v>
      </c>
      <c r="R15" s="667" t="s">
        <v>18</v>
      </c>
      <c r="S15" s="668">
        <f t="shared" si="0"/>
        <v>100</v>
      </c>
      <c r="T15" s="667" t="s">
        <v>18</v>
      </c>
      <c r="U15" s="668">
        <f t="shared" si="1"/>
        <v>100</v>
      </c>
      <c r="V15" s="667" t="s">
        <v>18</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t="s">
        <v>3454</v>
      </c>
      <c r="D16" s="387"/>
      <c r="E16" s="386" t="s">
        <v>3454</v>
      </c>
      <c r="F16" s="387"/>
      <c r="G16" s="386" t="s">
        <v>3454</v>
      </c>
      <c r="H16" s="389"/>
      <c r="I16" s="386" t="s">
        <v>3454</v>
      </c>
      <c r="J16" s="387"/>
      <c r="K16" s="1753"/>
      <c r="L16" s="2491"/>
      <c r="M16" s="2486"/>
      <c r="N16" s="2486"/>
      <c r="O16" s="2486"/>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4"/>
      <c r="Q17" s="1263" t="str">
        <f>B17</f>
        <v>交通便捷度</v>
      </c>
      <c r="R17" s="667" t="s">
        <v>18</v>
      </c>
      <c r="S17" s="668">
        <f>F17</f>
        <v>100</v>
      </c>
      <c r="T17" s="667" t="s">
        <v>18</v>
      </c>
      <c r="U17" s="668">
        <f>H17</f>
        <v>100</v>
      </c>
      <c r="V17" s="667" t="s">
        <v>18</v>
      </c>
      <c r="W17" s="668">
        <f>J17</f>
        <v>100</v>
      </c>
      <c r="X17" s="1265"/>
      <c r="Y17" s="3387"/>
      <c r="Z17" s="1264" t="str">
        <f>Q17</f>
        <v>交通便捷度</v>
      </c>
      <c r="AA17" s="1264">
        <f t="shared" si="3"/>
        <v>1</v>
      </c>
      <c r="AB17" s="1264">
        <f t="shared" si="4"/>
        <v>1</v>
      </c>
      <c r="AC17" s="1264">
        <f t="shared" si="5"/>
        <v>1</v>
      </c>
    </row>
    <row r="18" spans="1:29" ht="15">
      <c r="A18" s="367"/>
      <c r="B18" s="395"/>
      <c r="C18" s="1755" t="s">
        <v>3454</v>
      </c>
      <c r="D18" s="389"/>
      <c r="E18" s="386" t="s">
        <v>3454</v>
      </c>
      <c r="F18" s="389"/>
      <c r="G18" s="386" t="s">
        <v>3454</v>
      </c>
      <c r="H18" s="387"/>
      <c r="I18" s="386" t="s">
        <v>3454</v>
      </c>
      <c r="J18" s="387"/>
      <c r="K18" s="1753"/>
      <c r="L18" s="2491"/>
      <c r="M18" s="2486"/>
      <c r="N18" s="2486"/>
      <c r="O18" s="2486"/>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4"/>
      <c r="Q19" s="1263" t="str">
        <f>B19</f>
        <v>公共配套设施</v>
      </c>
      <c r="R19" s="667" t="s">
        <v>18</v>
      </c>
      <c r="S19" s="668">
        <f>F19</f>
        <v>100</v>
      </c>
      <c r="T19" s="667" t="s">
        <v>18</v>
      </c>
      <c r="U19" s="668">
        <f>H19</f>
        <v>100</v>
      </c>
      <c r="V19" s="667" t="s">
        <v>18</v>
      </c>
      <c r="W19" s="668">
        <f>J19</f>
        <v>100</v>
      </c>
      <c r="X19" s="1265"/>
      <c r="Y19" s="3387"/>
      <c r="Z19" s="1264" t="str">
        <f>Q19</f>
        <v>公共配套设施</v>
      </c>
      <c r="AA19" s="1264">
        <f t="shared" si="3"/>
        <v>1</v>
      </c>
      <c r="AB19" s="1264">
        <f t="shared" si="4"/>
        <v>1</v>
      </c>
      <c r="AC19" s="1264">
        <f t="shared" si="5"/>
        <v>1</v>
      </c>
    </row>
    <row r="20" spans="1:29" ht="15">
      <c r="A20" s="367"/>
      <c r="B20" s="395"/>
      <c r="C20" s="386" t="s">
        <v>3454</v>
      </c>
      <c r="D20" s="387"/>
      <c r="E20" s="386" t="s">
        <v>3454</v>
      </c>
      <c r="F20" s="387"/>
      <c r="G20" s="386" t="s">
        <v>3454</v>
      </c>
      <c r="H20" s="387"/>
      <c r="I20" s="386" t="s">
        <v>3454</v>
      </c>
      <c r="J20" s="387"/>
      <c r="K20" s="1753"/>
      <c r="L20" s="2491"/>
      <c r="M20" s="2486"/>
      <c r="N20" s="2486"/>
      <c r="O20" s="2486"/>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1755" t="s">
        <v>3456</v>
      </c>
      <c r="F22" s="387"/>
      <c r="G22" s="1755" t="s">
        <v>3456</v>
      </c>
      <c r="H22" s="387"/>
      <c r="I22" s="1755" t="s">
        <v>3456</v>
      </c>
      <c r="J22" s="387"/>
      <c r="K22" s="1759"/>
      <c r="L22" s="2491"/>
      <c r="M22" s="2486"/>
      <c r="N22" s="2486"/>
      <c r="O22" s="2486"/>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4"/>
      <c r="Q23" s="1263" t="str">
        <f>B23</f>
        <v>自然及人文环境</v>
      </c>
      <c r="R23" s="667" t="s">
        <v>18</v>
      </c>
      <c r="S23" s="668">
        <f>F23</f>
        <v>100</v>
      </c>
      <c r="T23" s="667" t="s">
        <v>18</v>
      </c>
      <c r="U23" s="668">
        <f>H23</f>
        <v>100</v>
      </c>
      <c r="V23" s="667" t="s">
        <v>18</v>
      </c>
      <c r="W23" s="668">
        <f>J23</f>
        <v>100</v>
      </c>
      <c r="X23" s="1265"/>
      <c r="Y23" s="3387"/>
      <c r="Z23" s="1264" t="str">
        <f>Q23</f>
        <v>自然及人文环境</v>
      </c>
      <c r="AA23" s="1264">
        <f>D23/F23</f>
        <v>1</v>
      </c>
      <c r="AB23" s="1264">
        <f>D23/H23</f>
        <v>1</v>
      </c>
      <c r="AC23" s="1264">
        <f>D23/J23</f>
        <v>1</v>
      </c>
    </row>
    <row r="24" spans="1:29" ht="15">
      <c r="A24" s="367"/>
      <c r="B24" s="395"/>
      <c r="C24" s="386" t="s">
        <v>3454</v>
      </c>
      <c r="D24" s="387"/>
      <c r="E24" s="386" t="s">
        <v>3454</v>
      </c>
      <c r="F24" s="387"/>
      <c r="G24" s="386" t="s">
        <v>3454</v>
      </c>
      <c r="H24" s="387"/>
      <c r="I24" s="386" t="s">
        <v>3454</v>
      </c>
      <c r="J24" s="387"/>
      <c r="K24" s="1753"/>
      <c r="L24" s="2491"/>
      <c r="M24" s="2486"/>
      <c r="N24" s="2486"/>
      <c r="O24" s="2486"/>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3458</v>
      </c>
      <c r="D26" s="374">
        <v>100</v>
      </c>
      <c r="E26" s="399" t="s">
        <v>3458</v>
      </c>
      <c r="F26" s="374">
        <f>SUMIF(88:88,E26,89:89)-SUMIF(88:88,C26,89:89)+100</f>
        <v>100</v>
      </c>
      <c r="G26" s="1760" t="s">
        <v>3458</v>
      </c>
      <c r="H26" s="374">
        <f>SUMIF(88:88,G26,89:89)-SUMIF(88:88,C26,89:89)+100</f>
        <v>100</v>
      </c>
      <c r="I26" s="399" t="s">
        <v>3458</v>
      </c>
      <c r="J26" s="374">
        <f>SUMIF(88:88,I26,89:89)-SUMIF(88:88,C26,89:89)+100</f>
        <v>100</v>
      </c>
      <c r="K26" s="365">
        <v>0.5</v>
      </c>
      <c r="L26" s="2491"/>
      <c r="M26" s="2486"/>
      <c r="N26" s="2486"/>
      <c r="O26" s="2486"/>
      <c r="P26" s="3394"/>
      <c r="Q26" s="1263" t="str">
        <f t="shared" si="11"/>
        <v>朝向</v>
      </c>
      <c r="R26" s="667" t="s">
        <v>18</v>
      </c>
      <c r="S26" s="668">
        <f t="shared" si="12"/>
        <v>100</v>
      </c>
      <c r="T26" s="667" t="s">
        <v>18</v>
      </c>
      <c r="U26" s="668">
        <f t="shared" si="13"/>
        <v>100</v>
      </c>
      <c r="V26" s="667" t="s">
        <v>18</v>
      </c>
      <c r="W26" s="668">
        <f t="shared" si="14"/>
        <v>100</v>
      </c>
      <c r="X26" s="1265"/>
      <c r="Y26" s="3387"/>
      <c r="Z26" s="1264" t="str">
        <f>Q26</f>
        <v>朝向</v>
      </c>
      <c r="AA26" s="1264">
        <f t="shared" si="15"/>
        <v>1</v>
      </c>
      <c r="AB26" s="1264">
        <f t="shared" si="16"/>
        <v>1</v>
      </c>
      <c r="AC26" s="1264">
        <f t="shared" si="17"/>
        <v>1</v>
      </c>
    </row>
    <row r="27" spans="1:29" s="102" customFormat="1" ht="15">
      <c r="A27" s="370"/>
      <c r="B27" s="3170" t="s">
        <v>3455</v>
      </c>
      <c r="C27" s="3186" t="s">
        <v>3575</v>
      </c>
      <c r="D27" s="401">
        <v>100</v>
      </c>
      <c r="E27" s="3188" t="s">
        <v>3575</v>
      </c>
      <c r="F27" s="401">
        <f>SUMIF(90:90,E27,91:91)-SUMIF(90:90,C27,91:91)+100</f>
        <v>100</v>
      </c>
      <c r="G27" s="3187" t="s">
        <v>3577</v>
      </c>
      <c r="H27" s="401">
        <f>SUMIF(90:90,G27,91:91)-SUMIF(90:90,C27,91:91)+100</f>
        <v>98</v>
      </c>
      <c r="I27" s="3187" t="s">
        <v>3576</v>
      </c>
      <c r="J27" s="401">
        <f>SUMIF(90:90,I27,91:91)-SUMIF(90:90,C27,91:91)+100</f>
        <v>96</v>
      </c>
      <c r="K27" s="1748"/>
      <c r="L27" s="2487"/>
      <c r="M27" s="2438"/>
      <c r="N27" s="2438"/>
      <c r="O27" s="2438"/>
      <c r="P27" s="3394"/>
      <c r="Q27" s="530" t="str">
        <f t="shared" si="11"/>
        <v>楼层</v>
      </c>
      <c r="R27" s="664" t="s">
        <v>18</v>
      </c>
      <c r="S27" s="665">
        <f t="shared" si="12"/>
        <v>100</v>
      </c>
      <c r="T27" s="664" t="s">
        <v>18</v>
      </c>
      <c r="U27" s="665">
        <f t="shared" si="13"/>
        <v>98</v>
      </c>
      <c r="V27" s="664" t="s">
        <v>18</v>
      </c>
      <c r="W27" s="665">
        <f t="shared" si="14"/>
        <v>96</v>
      </c>
      <c r="X27" s="666"/>
      <c r="Y27" s="3387"/>
      <c r="Z27" s="50" t="str">
        <f>Q27</f>
        <v>楼层</v>
      </c>
      <c r="AA27" s="1264">
        <f t="shared" si="15"/>
        <v>1</v>
      </c>
      <c r="AB27" s="1264">
        <f t="shared" si="16"/>
        <v>1.0204081632653061</v>
      </c>
      <c r="AC27" s="1264">
        <f t="shared" si="17"/>
        <v>1.0416666666666667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4"/>
      <c r="Q28" s="1263">
        <f t="shared" si="11"/>
        <v>111</v>
      </c>
      <c r="R28" s="667" t="s">
        <v>18</v>
      </c>
      <c r="S28" s="668">
        <f t="shared" si="12"/>
        <v>100</v>
      </c>
      <c r="T28" s="667" t="s">
        <v>18</v>
      </c>
      <c r="U28" s="668">
        <f t="shared" si="13"/>
        <v>100</v>
      </c>
      <c r="V28" s="667" t="s">
        <v>18</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4"/>
      <c r="Q29" s="1263">
        <f t="shared" si="11"/>
        <v>111</v>
      </c>
      <c r="R29" s="667" t="s">
        <v>18</v>
      </c>
      <c r="S29" s="668">
        <f t="shared" si="12"/>
        <v>100</v>
      </c>
      <c r="T29" s="667" t="s">
        <v>18</v>
      </c>
      <c r="U29" s="668">
        <f t="shared" si="13"/>
        <v>100</v>
      </c>
      <c r="V29" s="667" t="s">
        <v>18</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4"/>
      <c r="Q30" s="1263">
        <f t="shared" si="11"/>
        <v>111</v>
      </c>
      <c r="R30" s="667" t="s">
        <v>18</v>
      </c>
      <c r="S30" s="668">
        <f t="shared" si="12"/>
        <v>100</v>
      </c>
      <c r="T30" s="667" t="s">
        <v>18</v>
      </c>
      <c r="U30" s="668">
        <f t="shared" si="13"/>
        <v>100</v>
      </c>
      <c r="V30" s="667" t="s">
        <v>18</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4"/>
      <c r="Q31" s="1263">
        <f t="shared" si="11"/>
        <v>111</v>
      </c>
      <c r="R31" s="667" t="s">
        <v>18</v>
      </c>
      <c r="S31" s="668">
        <f t="shared" si="12"/>
        <v>100</v>
      </c>
      <c r="T31" s="667" t="s">
        <v>18</v>
      </c>
      <c r="U31" s="668">
        <f t="shared" si="13"/>
        <v>100</v>
      </c>
      <c r="V31" s="667" t="s">
        <v>18</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t="s">
        <v>3435</v>
      </c>
      <c r="D32" s="405">
        <v>100</v>
      </c>
      <c r="E32" s="1764" t="s">
        <v>3435</v>
      </c>
      <c r="F32" s="400">
        <f>SUMIF(100:100,E32,101:101)-SUMIF(100:100,C32,101:101)+100</f>
        <v>100</v>
      </c>
      <c r="G32" s="1764" t="s">
        <v>3435</v>
      </c>
      <c r="H32" s="405">
        <f>SUMIF(100:100,G32,101:101)-SUMIF(100:100,C32,101:101)+100</f>
        <v>100</v>
      </c>
      <c r="I32" s="1764" t="s">
        <v>3435</v>
      </c>
      <c r="J32" s="374">
        <f>SUMIF(100:100,I32,101:101)-SUMIF(100:100,C32,101:101)+100</f>
        <v>100</v>
      </c>
      <c r="K32" s="365"/>
      <c r="L32" s="2491"/>
      <c r="M32" s="2486"/>
      <c r="N32" s="2486"/>
      <c r="O32" s="2486"/>
      <c r="P32" s="3388" t="s">
        <v>1696</v>
      </c>
      <c r="Q32" s="1263" t="str">
        <f t="shared" si="11"/>
        <v>建筑类型</v>
      </c>
      <c r="R32" s="667" t="s">
        <v>18</v>
      </c>
      <c r="S32" s="668">
        <f t="shared" si="12"/>
        <v>100</v>
      </c>
      <c r="T32" s="667" t="s">
        <v>18</v>
      </c>
      <c r="U32" s="668">
        <f t="shared" si="13"/>
        <v>100</v>
      </c>
      <c r="V32" s="667" t="s">
        <v>18</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184.46</v>
      </c>
      <c r="D33" s="119">
        <v>100</v>
      </c>
      <c r="E33" s="369">
        <f>成交案例!D7</f>
        <v>176</v>
      </c>
      <c r="F33" s="364">
        <f>LOOKUP(E33,103:103,104:104)-LOOKUP(C33,103:103,104:104)+100</f>
        <v>100</v>
      </c>
      <c r="G33" s="368">
        <v>175</v>
      </c>
      <c r="H33" s="119">
        <f>LOOKUP(G33,103:103,104:104)-LOOKUP(C33,103:103,104:104)+100</f>
        <v>100</v>
      </c>
      <c r="I33" s="369">
        <v>196</v>
      </c>
      <c r="J33" s="119">
        <f>LOOKUP(I33,103:103,104:104)-LOOKUP(C33,103:103,104:104)+100</f>
        <v>100</v>
      </c>
      <c r="K33" s="1748"/>
      <c r="L33" s="2490"/>
      <c r="M33" s="2492"/>
      <c r="N33" s="2492"/>
      <c r="O33" s="2492"/>
      <c r="P33" s="3389"/>
      <c r="Q33" s="531" t="str">
        <f t="shared" si="11"/>
        <v>项目建筑规模</v>
      </c>
      <c r="R33" s="669" t="s">
        <v>18</v>
      </c>
      <c r="S33" s="670">
        <f t="shared" si="12"/>
        <v>100</v>
      </c>
      <c r="T33" s="669" t="s">
        <v>18</v>
      </c>
      <c r="U33" s="670">
        <f t="shared" si="13"/>
        <v>100</v>
      </c>
      <c r="V33" s="669" t="s">
        <v>18</v>
      </c>
      <c r="W33" s="670">
        <f t="shared" si="14"/>
        <v>100</v>
      </c>
      <c r="X33" s="671"/>
      <c r="Y33" s="3391"/>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c r="L34" s="2491"/>
      <c r="M34" s="2486"/>
      <c r="N34" s="2486"/>
      <c r="O34" s="2486"/>
      <c r="P34" s="3389"/>
      <c r="Q34" s="1263" t="str">
        <f t="shared" si="11"/>
        <v>建筑结构</v>
      </c>
      <c r="R34" s="667" t="s">
        <v>18</v>
      </c>
      <c r="S34" s="668">
        <f t="shared" si="12"/>
        <v>100</v>
      </c>
      <c r="T34" s="667" t="s">
        <v>18</v>
      </c>
      <c r="U34" s="668">
        <f t="shared" si="13"/>
        <v>100</v>
      </c>
      <c r="V34" s="667" t="s">
        <v>18</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89"/>
      <c r="Q35" s="1263" t="str">
        <f t="shared" si="11"/>
        <v>建筑品质</v>
      </c>
      <c r="R35" s="667" t="s">
        <v>18</v>
      </c>
      <c r="S35" s="668">
        <f t="shared" si="12"/>
        <v>100</v>
      </c>
      <c r="T35" s="667" t="s">
        <v>18</v>
      </c>
      <c r="U35" s="668">
        <f t="shared" si="13"/>
        <v>100</v>
      </c>
      <c r="V35" s="667" t="s">
        <v>18</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t="s">
        <v>3418</v>
      </c>
      <c r="D36" s="374">
        <v>100</v>
      </c>
      <c r="E36" s="1760" t="s">
        <v>3418</v>
      </c>
      <c r="F36" s="400">
        <f>SUMIF(109:109,E36,110:110)-SUMIF(109:109,C36,110:110)+100</f>
        <v>100</v>
      </c>
      <c r="G36" s="1760" t="s">
        <v>3418</v>
      </c>
      <c r="H36" s="374">
        <f>SUMIF(109:109,G36,110:110)-SUMIF(109:109,C36,110:110)+100</f>
        <v>100</v>
      </c>
      <c r="I36" s="1760" t="s">
        <v>3418</v>
      </c>
      <c r="J36" s="374">
        <f>SUMIF(109:109,I36,110:110)-SUMIF(109:109,C36,110:110)+100</f>
        <v>100</v>
      </c>
      <c r="K36" s="365"/>
      <c r="L36" s="2491"/>
      <c r="M36" s="2486"/>
      <c r="N36" s="2486"/>
      <c r="O36" s="2486"/>
      <c r="P36" s="3389"/>
      <c r="Q36" s="1263" t="str">
        <f t="shared" si="11"/>
        <v>公共部分装修</v>
      </c>
      <c r="R36" s="667" t="s">
        <v>18</v>
      </c>
      <c r="S36" s="668">
        <f t="shared" si="12"/>
        <v>100</v>
      </c>
      <c r="T36" s="667" t="s">
        <v>18</v>
      </c>
      <c r="U36" s="668">
        <f t="shared" si="13"/>
        <v>100</v>
      </c>
      <c r="V36" s="667" t="s">
        <v>18</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89"/>
      <c r="Q37" s="530" t="str">
        <f t="shared" si="11"/>
        <v>成新度</v>
      </c>
      <c r="R37" s="664" t="s">
        <v>18</v>
      </c>
      <c r="S37" s="665">
        <f t="shared" si="12"/>
        <v>100</v>
      </c>
      <c r="T37" s="664" t="s">
        <v>18</v>
      </c>
      <c r="U37" s="665">
        <f t="shared" si="13"/>
        <v>100</v>
      </c>
      <c r="V37" s="664" t="s">
        <v>18</v>
      </c>
      <c r="W37" s="665">
        <f t="shared" si="14"/>
        <v>100</v>
      </c>
      <c r="X37" s="666"/>
      <c r="Y37" s="339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9" t="s">
        <v>1696</v>
      </c>
      <c r="Q38" s="1263" t="str">
        <f t="shared" si="11"/>
        <v>物业管理</v>
      </c>
      <c r="R38" s="667" t="s">
        <v>18</v>
      </c>
      <c r="S38" s="668">
        <f t="shared" si="12"/>
        <v>100</v>
      </c>
      <c r="T38" s="667" t="s">
        <v>18</v>
      </c>
      <c r="U38" s="668">
        <f t="shared" si="13"/>
        <v>100</v>
      </c>
      <c r="V38" s="667" t="s">
        <v>18</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9"/>
      <c r="Q39" s="1263" t="str">
        <f t="shared" si="11"/>
        <v>市政基础设施</v>
      </c>
      <c r="R39" s="667" t="s">
        <v>18</v>
      </c>
      <c r="S39" s="668">
        <f t="shared" si="12"/>
        <v>100</v>
      </c>
      <c r="T39" s="667" t="s">
        <v>18</v>
      </c>
      <c r="U39" s="668">
        <f t="shared" si="13"/>
        <v>100</v>
      </c>
      <c r="V39" s="667" t="s">
        <v>18</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9"/>
      <c r="Q40" s="1263" t="str">
        <f t="shared" si="11"/>
        <v>房型</v>
      </c>
      <c r="R40" s="667" t="s">
        <v>18</v>
      </c>
      <c r="S40" s="668">
        <f t="shared" si="12"/>
        <v>100</v>
      </c>
      <c r="T40" s="667" t="s">
        <v>18</v>
      </c>
      <c r="U40" s="668">
        <f t="shared" si="13"/>
        <v>100</v>
      </c>
      <c r="V40" s="667" t="s">
        <v>18</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9"/>
      <c r="Q41" s="531" t="str">
        <f t="shared" si="11"/>
        <v>单套/主力户型建筑面积</v>
      </c>
      <c r="R41" s="669" t="s">
        <v>18</v>
      </c>
      <c r="S41" s="670">
        <f t="shared" si="12"/>
        <v>100</v>
      </c>
      <c r="T41" s="669" t="s">
        <v>18</v>
      </c>
      <c r="U41" s="670">
        <f t="shared" si="13"/>
        <v>100</v>
      </c>
      <c r="V41" s="669" t="s">
        <v>18</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t="s">
        <v>3578</v>
      </c>
      <c r="D42" s="374">
        <v>100</v>
      </c>
      <c r="E42" s="1760" t="s">
        <v>3578</v>
      </c>
      <c r="F42" s="400">
        <f>SUMIF(122:122,E42,123:123)-SUMIF(122:122,C42,123:123)+100</f>
        <v>100</v>
      </c>
      <c r="G42" s="1760" t="s">
        <v>3578</v>
      </c>
      <c r="H42" s="374">
        <f>SUMIF(122:122,G42,123:123)-SUMIF(122:122,C42,123:123)+100</f>
        <v>100</v>
      </c>
      <c r="I42" s="1760" t="s">
        <v>3578</v>
      </c>
      <c r="J42" s="374">
        <f>SUMIF(122:122,I42,123:123)-SUMIF(122:122,C42,123:123)+100</f>
        <v>100</v>
      </c>
      <c r="K42" s="365">
        <v>2</v>
      </c>
      <c r="L42" s="2491"/>
      <c r="M42" s="2486"/>
      <c r="N42" s="2486"/>
      <c r="O42" s="2486"/>
      <c r="P42" s="3389"/>
      <c r="Q42" s="1263" t="str">
        <f t="shared" si="11"/>
        <v>内部装修</v>
      </c>
      <c r="R42" s="667" t="s">
        <v>18</v>
      </c>
      <c r="S42" s="668">
        <f t="shared" si="12"/>
        <v>100</v>
      </c>
      <c r="T42" s="667" t="s">
        <v>18</v>
      </c>
      <c r="U42" s="668">
        <f t="shared" si="13"/>
        <v>100</v>
      </c>
      <c r="V42" s="667" t="s">
        <v>18</v>
      </c>
      <c r="W42" s="668">
        <f t="shared" si="14"/>
        <v>100</v>
      </c>
      <c r="X42" s="1265"/>
      <c r="Y42" s="3391"/>
      <c r="Z42" s="1264" t="str">
        <f t="shared" si="18"/>
        <v>内部装修</v>
      </c>
      <c r="AA42" s="1264">
        <f t="shared" si="15"/>
        <v>1</v>
      </c>
      <c r="AB42" s="1264">
        <f t="shared" si="16"/>
        <v>1</v>
      </c>
      <c r="AC42" s="1264">
        <f t="shared" si="17"/>
        <v>1</v>
      </c>
    </row>
    <row r="43" spans="1:29" ht="15">
      <c r="A43" s="409"/>
      <c r="B43" s="364" t="s">
        <v>1707</v>
      </c>
      <c r="C43" s="1760" t="s">
        <v>3454</v>
      </c>
      <c r="D43" s="374">
        <v>100</v>
      </c>
      <c r="E43" s="1760" t="s">
        <v>3454</v>
      </c>
      <c r="F43" s="400">
        <f>SUMIF(124:124,E43,125:125)-SUMIF(124:124,C43,125:125)+100</f>
        <v>100</v>
      </c>
      <c r="G43" s="1760" t="s">
        <v>3454</v>
      </c>
      <c r="H43" s="374">
        <f>SUMIF(124:124,G43,125:125)-SUMIF(124:124,C43,125:125)+100</f>
        <v>100</v>
      </c>
      <c r="I43" s="1760" t="s">
        <v>3454</v>
      </c>
      <c r="J43" s="374">
        <f>SUMIF(124:124,I43,125:125)-SUMIF(124:124,C43,125:125)+100</f>
        <v>100</v>
      </c>
      <c r="K43" s="365">
        <v>2</v>
      </c>
      <c r="L43" s="2491"/>
      <c r="M43" s="2486">
        <f>C48*K42/100</f>
        <v>1165.24</v>
      </c>
      <c r="N43" s="2486"/>
      <c r="O43" s="2486"/>
      <c r="P43" s="3389"/>
      <c r="Q43" s="1263" t="str">
        <f t="shared" si="11"/>
        <v>内部装修维护情况</v>
      </c>
      <c r="R43" s="667" t="s">
        <v>18</v>
      </c>
      <c r="S43" s="668">
        <f t="shared" si="12"/>
        <v>100</v>
      </c>
      <c r="T43" s="667" t="s">
        <v>18</v>
      </c>
      <c r="U43" s="668">
        <f t="shared" si="13"/>
        <v>100</v>
      </c>
      <c r="V43" s="667" t="s">
        <v>18</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389"/>
      <c r="Q44" s="530">
        <f t="shared" si="11"/>
        <v>111</v>
      </c>
      <c r="R44" s="664" t="s">
        <v>18</v>
      </c>
      <c r="S44" s="665">
        <f t="shared" si="12"/>
        <v>100</v>
      </c>
      <c r="T44" s="664" t="s">
        <v>18</v>
      </c>
      <c r="U44" s="665">
        <f t="shared" si="13"/>
        <v>100</v>
      </c>
      <c r="V44" s="664" t="s">
        <v>18</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9"/>
      <c r="Q45" s="1263">
        <f t="shared" si="11"/>
        <v>111</v>
      </c>
      <c r="R45" s="667" t="s">
        <v>18</v>
      </c>
      <c r="S45" s="668">
        <f t="shared" si="12"/>
        <v>100</v>
      </c>
      <c r="T45" s="667" t="s">
        <v>18</v>
      </c>
      <c r="U45" s="668">
        <f t="shared" si="13"/>
        <v>100</v>
      </c>
      <c r="V45" s="667" t="s">
        <v>18</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0"/>
      <c r="Q46" s="1263">
        <f t="shared" si="11"/>
        <v>111</v>
      </c>
      <c r="R46" s="667" t="s">
        <v>17</v>
      </c>
      <c r="S46" s="668">
        <f t="shared" si="12"/>
        <v>100</v>
      </c>
      <c r="T46" s="667" t="s">
        <v>17</v>
      </c>
      <c r="U46" s="668">
        <f t="shared" si="13"/>
        <v>100</v>
      </c>
      <c r="V46" s="667" t="s">
        <v>17</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16</v>
      </c>
      <c r="D47" s="418"/>
      <c r="E47" s="419">
        <f>成交案例!J7</f>
        <v>57493</v>
      </c>
      <c r="F47" s="420"/>
      <c r="G47" s="421">
        <f>成交案例!J3</f>
        <v>55143</v>
      </c>
      <c r="H47" s="422"/>
      <c r="I47" s="419">
        <f>成交案例!J5</f>
        <v>58584</v>
      </c>
      <c r="J47" s="422"/>
      <c r="K47" s="1765"/>
      <c r="L47" s="2493"/>
      <c r="M47" s="2486"/>
      <c r="N47" s="2486"/>
      <c r="O47" s="2486"/>
      <c r="P47" s="3384" t="str">
        <f>A47</f>
        <v>成交单价（元/平方米）</v>
      </c>
      <c r="Q47" s="3384"/>
      <c r="R47" s="3385">
        <f>E47</f>
        <v>57493</v>
      </c>
      <c r="S47" s="3385"/>
      <c r="T47" s="3385">
        <f>G47</f>
        <v>55143</v>
      </c>
      <c r="U47" s="3385"/>
      <c r="V47" s="3385">
        <f>I47</f>
        <v>58584</v>
      </c>
      <c r="W47" s="3385"/>
      <c r="X47" s="385"/>
      <c r="Y47" s="673"/>
      <c r="Z47" s="385"/>
      <c r="AA47" s="385"/>
      <c r="AB47" s="385"/>
      <c r="AC47" s="385"/>
    </row>
    <row r="48" spans="1:29" ht="15.75" thickBot="1">
      <c r="A48" s="423" t="s">
        <v>1709</v>
      </c>
      <c r="B48" s="424"/>
      <c r="C48" s="1082">
        <f>R49</f>
        <v>58262</v>
      </c>
      <c r="D48" s="2139" t="s">
        <v>2138</v>
      </c>
      <c r="E48" s="1083">
        <f>R48</f>
        <v>57493</v>
      </c>
      <c r="F48" s="2140"/>
      <c r="G48" s="1082">
        <f>T48</f>
        <v>56268</v>
      </c>
      <c r="H48" s="2140"/>
      <c r="I48" s="1083">
        <f>V48</f>
        <v>61025</v>
      </c>
      <c r="J48" s="2140"/>
      <c r="K48" s="2141">
        <f>F48+H48+J48</f>
        <v>0</v>
      </c>
      <c r="L48" s="2493"/>
      <c r="M48" s="2486"/>
      <c r="N48" s="2486"/>
      <c r="O48" s="2486"/>
      <c r="P48" s="3384" t="str">
        <f>A48</f>
        <v>比较价值（元/平方米）</v>
      </c>
      <c r="Q48" s="3384"/>
      <c r="R48" s="3385">
        <f>IF(F1="售价",ROUND(PRODUCT(R47,AA7:AA46),0),ROUND(PRODUCT(R47,AA7:AA46),1))</f>
        <v>57493</v>
      </c>
      <c r="S48" s="3385"/>
      <c r="T48" s="3385">
        <f>IF(F1="售价",ROUND(PRODUCT(T47,AB7:AB46),0),ROUND(PRODUCT(T47,AB7:AB46),1))</f>
        <v>56268</v>
      </c>
      <c r="U48" s="3385"/>
      <c r="V48" s="3385">
        <f>IF(F1="售价",ROUND(PRODUCT(V47,AC7:AC46),0),ROUND(PRODUCT(V47,AC7:AC46),1))</f>
        <v>61025</v>
      </c>
      <c r="W48" s="3385"/>
      <c r="X48" s="385"/>
      <c r="Y48" s="385"/>
      <c r="Z48" s="385"/>
      <c r="AA48" s="385"/>
      <c r="AB48" s="385"/>
      <c r="AC48" s="385"/>
    </row>
    <row r="49" spans="1:29" ht="15.75" thickBot="1">
      <c r="A49" s="427" t="s">
        <v>1710</v>
      </c>
      <c r="B49" s="428"/>
      <c r="C49" s="1084">
        <f>R49</f>
        <v>58262</v>
      </c>
      <c r="D49" s="351"/>
      <c r="E49" s="351"/>
      <c r="F49" s="351"/>
      <c r="G49" s="351"/>
      <c r="H49" s="351"/>
      <c r="I49" s="351"/>
      <c r="J49" s="351"/>
      <c r="K49" s="1766"/>
      <c r="L49" s="2493"/>
      <c r="M49" s="2486"/>
      <c r="N49" s="2486"/>
      <c r="O49" s="2486"/>
      <c r="P49" s="3381" t="str">
        <f>A49</f>
        <v>估价对象XX用房的比较价值（楼面单价，元/平方米）</v>
      </c>
      <c r="Q49" s="3382"/>
      <c r="R49" s="3383">
        <f>IF(F1="售价",ROUND(IF(D48="简单平均",AVERAGE(R48:V48),R48*F48+T48*H48+V48*J48),0),ROUND(IF(D48="简单平均",AVERAGE(R48:V48),R48*F48+T48*H48+V48*J48),1))</f>
        <v>58262</v>
      </c>
      <c r="S49" s="3383"/>
      <c r="T49" s="3383"/>
      <c r="U49" s="3383"/>
      <c r="V49" s="3383"/>
      <c r="W49" s="33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0</v>
      </c>
      <c r="F52" s="435" t="str">
        <f>IF(OR(E52&gt;=0.3,E52&lt;=-0.3),"超过30%","")</f>
        <v/>
      </c>
      <c r="G52" s="434">
        <f>IF(G47&lt;G48,G48/G47-1,G47/G48-1)</f>
        <v>2.0401501550514123E-2</v>
      </c>
      <c r="H52" s="435" t="str">
        <f>IF(OR(G52&gt;=0.3,G52&lt;=-0.3),"超过30%","")</f>
        <v/>
      </c>
      <c r="I52" s="434">
        <f>IF(I47&lt;I48,I48/I47-1,I47/I48-1)</f>
        <v>4.1666666666666741E-2</v>
      </c>
      <c r="J52" s="435" t="str">
        <f>IF(OR(I52&gt;=0.3,I52&lt;=-0.3),"超过30%","")</f>
        <v/>
      </c>
      <c r="K52" s="2498"/>
      <c r="L52" s="2494"/>
      <c r="M52" s="2486"/>
      <c r="N52" s="2486"/>
      <c r="O52" s="2486"/>
    </row>
    <row r="53" spans="1:29" ht="13.5" customHeight="1">
      <c r="A53" s="2486"/>
      <c r="B53" s="2486"/>
      <c r="C53" s="432" t="s">
        <v>1712</v>
      </c>
      <c r="D53" s="436"/>
      <c r="E53" s="434">
        <f>IF(E48&lt;G48,G48/E48-1,E48/G48-1)</f>
        <v>2.177081111821999E-2</v>
      </c>
      <c r="F53" s="435" t="str">
        <f>IF(OR(E53&gt;=0.2,E53&lt;=-0.2),"超过20%","")</f>
        <v/>
      </c>
      <c r="G53" s="434">
        <f>IF(G48&lt;I48,I48/G48-1,G48/I48-1)</f>
        <v>8.4541835501528384E-2</v>
      </c>
      <c r="H53" s="435" t="str">
        <f>IF(OR(G53&gt;=0.2,G53&lt;=-0.2),"超过20%","")</f>
        <v/>
      </c>
      <c r="I53" s="434">
        <f>IF(I48&lt;E48,E48/I48-1,I48/E48-1)</f>
        <v>6.1433565825404823E-2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4.2616469905518484E-2</v>
      </c>
      <c r="F54" s="435" t="str">
        <f>IF(OR(E54&gt;=0.3,E54&lt;=-0.3),"超过30%","")</f>
        <v/>
      </c>
      <c r="G54" s="434">
        <f>IF(G47&lt;I47,I47/G47-1,G47/I47-1)</f>
        <v>6.2401392742505779E-2</v>
      </c>
      <c r="H54" s="435" t="str">
        <f>IF(OR(G54&gt;=0.3,G54&lt;=-0.3),"超过30%","")</f>
        <v/>
      </c>
      <c r="I54" s="434">
        <f>IF(I47&lt;E47,E47/I47-1,I47/E47-1)</f>
        <v>1.8976223192388675E-2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9" t="s">
        <v>3459</v>
      </c>
      <c r="D88" s="3169" t="s">
        <v>3441</v>
      </c>
      <c r="E88" s="3169" t="s">
        <v>3442</v>
      </c>
      <c r="F88" s="3169"/>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69" t="s">
        <v>3590</v>
      </c>
      <c r="D90" s="3169" t="s">
        <v>3592</v>
      </c>
      <c r="E90" s="3169" t="s">
        <v>3591</v>
      </c>
      <c r="F90" s="3171"/>
      <c r="G90" s="3171"/>
      <c r="H90" s="486"/>
      <c r="I90" s="486"/>
      <c r="J90" s="486"/>
      <c r="K90" s="486"/>
      <c r="L90" s="487"/>
      <c r="M90" s="488"/>
      <c r="N90" s="881"/>
      <c r="O90" s="881"/>
      <c r="P90" s="1774"/>
      <c r="Q90" s="490"/>
    </row>
    <row r="91" spans="1:17" s="408" customFormat="1" ht="15.75" thickBot="1">
      <c r="A91" s="484"/>
      <c r="B91" s="474"/>
      <c r="C91" s="491">
        <v>100</v>
      </c>
      <c r="D91" s="491">
        <f>C91-2</f>
        <v>98</v>
      </c>
      <c r="E91" s="491">
        <f>D91-2</f>
        <v>96</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8" t="s">
        <v>3436</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98</v>
      </c>
      <c r="E104" s="467"/>
      <c r="F104" s="467"/>
      <c r="G104" s="467"/>
      <c r="H104" s="467"/>
      <c r="I104" s="467"/>
      <c r="J104" s="467"/>
      <c r="K104" s="467"/>
      <c r="L104" s="467"/>
      <c r="M104" s="467"/>
      <c r="N104" s="880"/>
      <c r="O104" s="880"/>
      <c r="P104" s="1774"/>
      <c r="Q104" s="490"/>
    </row>
    <row r="105" spans="1:17" ht="15" thickTop="1">
      <c r="A105" s="409"/>
      <c r="B105" s="469" t="s">
        <v>1738</v>
      </c>
      <c r="C105" s="3169" t="s">
        <v>3437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69" t="s">
        <v>3438</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9" t="s">
        <v>3439</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9" t="s">
        <v>3447</v>
      </c>
      <c r="D122" s="3169" t="s">
        <v>3438</v>
      </c>
      <c r="E122" s="3169" t="s">
        <v>3460</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98</v>
      </c>
      <c r="E125" s="475">
        <f>D125-$K43</f>
        <v>96</v>
      </c>
      <c r="F125" s="475">
        <f>E125-$K43</f>
        <v>94</v>
      </c>
      <c r="G125" s="475">
        <f>F125-$K43</f>
        <v>92</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40" priority="14"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F7:F46 H7:H46 J7:J46">
    <cfRule type="cellIs" dxfId="137" priority="1" operator="notEqual">
      <formula>100</formula>
    </cfRule>
  </conditionalFormatting>
  <conditionalFormatting sqref="F48">
    <cfRule type="expression" dxfId="136" priority="4">
      <formula>$D$48="简单平均"</formula>
    </cfRule>
  </conditionalFormatting>
  <conditionalFormatting sqref="F52:F54 H52:H54 J52:J54">
    <cfRule type="containsText" dxfId="135" priority="15" stopIfTrue="1" operator="containsText" text="超过">
      <formula>NOT(ISERROR(SEARCH("超过",F52)))</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G54">
    <cfRule type="expression" dxfId="132" priority="12" stopIfTrue="1">
      <formula>$H$54="超过30%"</formula>
    </cfRule>
  </conditionalFormatting>
  <conditionalFormatting sqref="H48">
    <cfRule type="expression" dxfId="131" priority="3">
      <formula>$D$48="简单平均"</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J48">
    <cfRule type="expression" dxfId="12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6" zoomScale="115" zoomScaleNormal="70" zoomScaleSheetLayoutView="115" workbookViewId="0">
      <selection activeCell="F40" sqref="F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3402</v>
      </c>
      <c r="D1" s="1271" t="s">
        <v>43</v>
      </c>
      <c r="E1" s="1272" t="s">
        <v>678</v>
      </c>
      <c r="F1" s="999">
        <f ca="1">J53</f>
        <v>53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528.42679999999996</v>
      </c>
      <c r="C2" s="1289" t="s">
        <v>879</v>
      </c>
      <c r="D2" s="1375">
        <f ca="1">C40+J29+L46</f>
        <v>5284268</v>
      </c>
      <c r="E2" s="1295" t="s">
        <v>880</v>
      </c>
      <c r="F2" s="1296"/>
      <c r="G2" s="2477"/>
      <c r="H2" s="2467"/>
      <c r="I2" s="2467"/>
      <c r="J2" s="2467"/>
      <c r="K2" s="2468"/>
      <c r="L2" s="2467"/>
      <c r="M2" s="2467"/>
    </row>
    <row r="3" spans="1:37" ht="18" customHeight="1" thickBot="1">
      <c r="A3" s="1297" t="s">
        <v>881</v>
      </c>
      <c r="B3" s="1298">
        <f ca="1">IF(ISERROR(D2/F43),0,ROUND(D2/F43,0))</f>
        <v>28647</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172649</v>
      </c>
      <c r="D5" s="1273" t="s">
        <v>889</v>
      </c>
      <c r="E5" s="1008"/>
      <c r="F5" s="1009"/>
      <c r="G5" s="1292"/>
      <c r="H5" s="291">
        <v>1</v>
      </c>
      <c r="I5" s="292" t="s">
        <v>888</v>
      </c>
      <c r="J5" s="1007">
        <f ca="1">J6+J10+J12</f>
        <v>0</v>
      </c>
      <c r="K5" s="1273" t="s">
        <v>889</v>
      </c>
      <c r="L5" s="1008"/>
      <c r="M5" s="1009"/>
    </row>
    <row r="6" spans="1:37" ht="18" customHeight="1">
      <c r="A6" s="1006" t="s">
        <v>398</v>
      </c>
      <c r="B6" s="3378" t="s">
        <v>694</v>
      </c>
      <c r="C6" s="1011">
        <f ca="1">ROUND(F6*F8*F7*(1-F9),0)</f>
        <v>172433</v>
      </c>
      <c r="D6" s="147" t="s">
        <v>2106</v>
      </c>
      <c r="E6" s="294" t="s">
        <v>696</v>
      </c>
      <c r="F6" s="295">
        <f ca="1">INDIRECT("'数据-取费表'!u"&amp;$G$1)</f>
        <v>82</v>
      </c>
      <c r="G6" s="1292"/>
      <c r="H6" s="1006" t="s">
        <v>398</v>
      </c>
      <c r="I6" s="3378" t="s">
        <v>694</v>
      </c>
      <c r="J6" s="293">
        <f ca="1">ROUND(M6*M8*M7*(1-M9),0)</f>
        <v>0</v>
      </c>
      <c r="K6" s="1284" t="s">
        <v>2107</v>
      </c>
      <c r="L6" s="294" t="s">
        <v>696</v>
      </c>
      <c r="M6" s="295">
        <f ca="1">INDIRECT("'数据-取费表'!z"&amp;$G$1)</f>
        <v>0</v>
      </c>
    </row>
    <row r="7" spans="1:37" ht="18" customHeight="1">
      <c r="A7" s="1010"/>
      <c r="B7" s="3379"/>
      <c r="C7" s="1012"/>
      <c r="D7" s="299"/>
      <c r="E7" s="1013" t="s">
        <v>697</v>
      </c>
      <c r="F7" s="295">
        <f ca="1">IF(INDIRECT("'数据-取费表'!ah"&amp;$G$1)="",INDIRECT("'数据-取费表'!k"&amp;$G$1),INDIRECT("'数据-取费表'!ah"&amp;$G$1))</f>
        <v>184.46</v>
      </c>
      <c r="G7" s="1292"/>
      <c r="H7" s="296"/>
      <c r="I7" s="3379"/>
      <c r="J7" s="298"/>
      <c r="K7" s="299"/>
      <c r="L7" s="294" t="s">
        <v>697</v>
      </c>
      <c r="M7" s="295">
        <f ca="1">F7</f>
        <v>184.46</v>
      </c>
    </row>
    <row r="8" spans="1:37" ht="18" customHeight="1">
      <c r="A8" s="296"/>
      <c r="B8" s="3379"/>
      <c r="C8" s="298"/>
      <c r="D8" s="299"/>
      <c r="E8" s="294" t="s">
        <v>698</v>
      </c>
      <c r="F8" s="295">
        <f ca="1">INDIRECT("'数据-取费表'!ai"&amp;$G$1)</f>
        <v>12</v>
      </c>
      <c r="G8" s="1292"/>
      <c r="H8" s="296"/>
      <c r="I8" s="3379"/>
      <c r="J8" s="298"/>
      <c r="K8" s="299"/>
      <c r="L8" s="294" t="s">
        <v>698</v>
      </c>
      <c r="M8" s="295">
        <f ca="1">INDIRECT("'数据-取费表'!ai"&amp;$G$1)</f>
        <v>12</v>
      </c>
    </row>
    <row r="9" spans="1:37" ht="18" customHeight="1">
      <c r="A9" s="296"/>
      <c r="B9" s="3380"/>
      <c r="C9" s="298"/>
      <c r="D9" s="299"/>
      <c r="E9" s="294" t="s">
        <v>699</v>
      </c>
      <c r="F9" s="304">
        <f ca="1">INDIRECT("'数据-取费表'!w"&amp;$G$1)</f>
        <v>0.05</v>
      </c>
      <c r="G9" s="1292"/>
      <c r="H9" s="296"/>
      <c r="I9" s="3380"/>
      <c r="J9" s="298"/>
      <c r="K9" s="299"/>
      <c r="L9" s="305" t="s">
        <v>699</v>
      </c>
      <c r="M9" s="306">
        <f ca="1">INDIRECT("'数据-取费表'!ab"&amp;$G$1)</f>
        <v>0</v>
      </c>
    </row>
    <row r="10" spans="1:37" ht="18" customHeight="1">
      <c r="A10" s="1006" t="s">
        <v>402</v>
      </c>
      <c r="B10" s="1274" t="s">
        <v>700</v>
      </c>
      <c r="C10" s="308">
        <f ca="1">ROUND(IF(F10="押一",C6/12*F11,IF(F10="押二",C6/12*2*F11,IF(F10="押三",C6/12*3*F11,C11*F11))),0)</f>
        <v>216</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809174</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645610</v>
      </c>
      <c r="D14" s="1257" t="s">
        <v>708</v>
      </c>
      <c r="E14" s="1255"/>
      <c r="F14" s="311"/>
      <c r="G14" s="1292"/>
      <c r="H14" s="928" t="s">
        <v>398</v>
      </c>
      <c r="I14" s="294" t="s">
        <v>709</v>
      </c>
      <c r="J14" s="21">
        <f ca="1">C29</f>
        <v>1011468</v>
      </c>
      <c r="K14" s="12"/>
      <c r="L14" s="759"/>
      <c r="M14" s="760"/>
    </row>
    <row r="15" spans="1:37" s="1304" customFormat="1" ht="18" customHeight="1" thickBot="1">
      <c r="A15" s="928" t="s">
        <v>399</v>
      </c>
      <c r="B15" s="294" t="s">
        <v>710</v>
      </c>
      <c r="C15" s="21">
        <f ca="1">ROUND(C14*F15,0)</f>
        <v>32281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32281</v>
      </c>
      <c r="D16" s="294" t="s">
        <v>711</v>
      </c>
      <c r="E16" s="294" t="s">
        <v>712</v>
      </c>
      <c r="F16" s="314">
        <f ca="1">IF(INDIRECT("'数据-取费表'!c"&amp;$G$1)="住宅",'数据-取费表'!B34,0)</f>
        <v>0.05</v>
      </c>
      <c r="G16" s="1292"/>
      <c r="H16" s="1016" t="s">
        <v>393</v>
      </c>
      <c r="I16" s="1017" t="s">
        <v>714</v>
      </c>
      <c r="J16" s="302">
        <f ca="1">ROUND(J17+J22+J23+J24,0)</f>
        <v>2023</v>
      </c>
      <c r="K16" s="1024" t="s">
        <v>715</v>
      </c>
      <c r="L16" s="1025"/>
      <c r="M16" s="1009"/>
    </row>
    <row r="17" spans="1:37" s="1304" customFormat="1" ht="18" customHeight="1">
      <c r="A17" s="928" t="s">
        <v>681</v>
      </c>
      <c r="B17" s="294" t="s">
        <v>716</v>
      </c>
      <c r="C17" s="21">
        <f ca="1">ROUND(F17*(F43+INDIRECT("'数据-取费表'!S"&amp;$G$1)),0)</f>
        <v>36892</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12912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759976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7600</v>
      </c>
      <c r="D20" s="315" t="s">
        <v>729</v>
      </c>
      <c r="E20" s="294" t="s">
        <v>712</v>
      </c>
      <c r="F20" s="314">
        <f>'数据-取费表'!B37</f>
        <v>0.01</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2023</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24025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-2023</v>
      </c>
      <c r="K25" s="1032" t="s">
        <v>753</v>
      </c>
      <c r="L25" s="1033"/>
      <c r="M25" s="1034"/>
    </row>
    <row r="26" spans="1:37" ht="18" customHeight="1">
      <c r="A26" s="928" t="s">
        <v>397</v>
      </c>
      <c r="B26" s="294" t="s">
        <v>754</v>
      </c>
      <c r="C26" s="21">
        <f ca="1">ROUND((C19+C20)*F26,0)</f>
        <v>153515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3.5000000000000003E-2</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1011468</v>
      </c>
      <c r="D29" s="1029"/>
      <c r="E29" s="1027"/>
      <c r="F29" s="1030"/>
      <c r="G29" s="1303"/>
      <c r="H29" s="325" t="s">
        <v>396</v>
      </c>
      <c r="I29" s="326" t="s">
        <v>768</v>
      </c>
      <c r="J29" s="327">
        <f ca="1">ROUND(J26/(1+F40)^F41,0)</f>
        <v>0</v>
      </c>
      <c r="K29" s="328" t="s">
        <v>769</v>
      </c>
      <c r="L29" s="329"/>
      <c r="M29" s="330">
        <f ca="1">INDIRECT("'数据-取费表'!k"&amp;$G$1)</f>
        <v>184.46</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8664</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4106</v>
      </c>
      <c r="D31" s="1257" t="s">
        <v>720</v>
      </c>
      <c r="E31" s="1256" t="s">
        <v>770</v>
      </c>
      <c r="F31" s="2137">
        <f ca="1">IF(项目基本情况!B11="企业","——",IF(M47="住宅",IF(F6*F7*F8/12/(1+'数据-取费表'!F30)&gt;100000,4%,2.5%),IF(F6*F7*F8/12/(1+'数据-取费表'!F30)&gt;100000,12%,7%)))</f>
        <v>2.5000000000000001E-2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2023</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809</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1726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163985</v>
      </c>
      <c r="D39" s="1032" t="s">
        <v>773</v>
      </c>
      <c r="E39" s="1033"/>
      <c r="F39" s="1034"/>
      <c r="G39" s="1292"/>
      <c r="H39" s="2472"/>
      <c r="I39" s="1305"/>
      <c r="J39" s="1306"/>
      <c r="K39" s="2470"/>
      <c r="L39" s="2472"/>
      <c r="M39" s="2472"/>
    </row>
    <row r="40" spans="1:18" ht="18" customHeight="1">
      <c r="A40" s="291" t="s">
        <v>395</v>
      </c>
      <c r="B40" s="292" t="s">
        <v>774</v>
      </c>
      <c r="C40" s="293">
        <f ca="1">ROUND(C39*(1-((1+F42)/(1+F40))^F41)/(F40-F42),0)</f>
        <v>5284268</v>
      </c>
      <c r="D40" s="316" t="s">
        <v>758</v>
      </c>
      <c r="E40" s="294" t="s">
        <v>759</v>
      </c>
      <c r="F40" s="304">
        <f ca="1">INDIRECT("'数据-取费表'!I"&amp;$G$1)</f>
        <v>3.5000000000000003E-2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53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28647</v>
      </c>
      <c r="D43" s="328" t="s">
        <v>777</v>
      </c>
      <c r="E43" s="329" t="s">
        <v>778</v>
      </c>
      <c r="F43" s="330">
        <f ca="1">INDIRECT("'数据-取费表'!k"&amp;$G$1)</f>
        <v>184.46</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-535.2115</v>
      </c>
      <c r="D45" s="3129" t="s">
        <v>3351</v>
      </c>
      <c r="E45" s="1307"/>
      <c r="F45" s="1307"/>
      <c r="O45" s="1310" t="s">
        <v>808</v>
      </c>
      <c r="P45" s="1366"/>
      <c r="Q45" s="1366"/>
      <c r="R45" s="1366"/>
    </row>
    <row r="46" spans="1:18" s="1292" customFormat="1" ht="13.5" thickBot="1">
      <c r="A46" s="1311" t="s">
        <v>809</v>
      </c>
      <c r="C46" s="1312">
        <f ca="1">ROUND(C45,0)</f>
        <v>-535</v>
      </c>
      <c r="D46" s="1313" t="str">
        <f>C2</f>
        <v>万元</v>
      </c>
      <c r="I46" s="1314" t="s">
        <v>810</v>
      </c>
      <c r="J46" s="1315"/>
      <c r="K46" s="1316"/>
      <c r="L46" s="1317">
        <f>IF(M47="住宅",0,IF(L48&gt;J51,L60,J60))</f>
        <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70</v>
      </c>
      <c r="M47" s="1288" t="str">
        <f>IF(ISNUMBER(FIND("住宅",C1)),"住宅","非住宅")</f>
        <v>住宅</v>
      </c>
      <c r="O47" s="1325" t="s">
        <v>403</v>
      </c>
      <c r="P47" s="1326" t="s">
        <v>817</v>
      </c>
      <c r="Q47" s="1327">
        <f ca="1">C40+J29</f>
        <v>5284268</v>
      </c>
      <c r="R47" s="1327" t="s">
        <v>818</v>
      </c>
    </row>
    <row r="48" spans="1:18" s="1292" customFormat="1" ht="28.5" thickBot="1">
      <c r="A48" s="1047" t="s">
        <v>438</v>
      </c>
      <c r="B48" s="292" t="s">
        <v>692</v>
      </c>
      <c r="C48" s="1268">
        <f ca="1">C49+C53+C55</f>
        <v>0</v>
      </c>
      <c r="D48" s="1049"/>
      <c r="E48" s="1050"/>
      <c r="F48" s="908"/>
      <c r="G48" s="681"/>
      <c r="H48" s="682"/>
      <c r="I48" s="1328" t="s">
        <v>819</v>
      </c>
      <c r="J48" s="1329" t="s">
        <v>3433</v>
      </c>
      <c r="K48" s="1330" t="s">
        <v>820</v>
      </c>
      <c r="L48" s="1331">
        <f ca="1">INDIRECT("'数据-取费表'!f"&amp;$G$1)</f>
        <v>53</v>
      </c>
      <c r="O48" s="1325" t="s">
        <v>404</v>
      </c>
      <c r="P48" s="1326" t="s">
        <v>821</v>
      </c>
      <c r="Q48" s="1327" t="str">
        <f ca="1">J60</f>
        <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1011468</v>
      </c>
      <c r="R49" s="1327" t="s">
        <v>818</v>
      </c>
    </row>
    <row r="50" spans="1:18" s="1292" customFormat="1" ht="13.5" thickBot="1">
      <c r="A50" s="922"/>
      <c r="B50" s="925"/>
      <c r="C50" s="926"/>
      <c r="D50" s="899"/>
      <c r="E50" s="993" t="s">
        <v>697</v>
      </c>
      <c r="F50" s="994">
        <f ca="1">F7</f>
        <v>184.46</v>
      </c>
      <c r="H50" s="682"/>
      <c r="I50" s="1328" t="s">
        <v>826</v>
      </c>
      <c r="J50" s="1335">
        <f>SUMPRODUCT((I63:I65=J47)*(J62:L62=J48)*(J63:L65))</f>
        <v>60</v>
      </c>
      <c r="K50" s="1330" t="s">
        <v>827</v>
      </c>
      <c r="L50" s="1333"/>
      <c r="M50" s="1336"/>
      <c r="O50" s="1334" t="s">
        <v>406</v>
      </c>
      <c r="P50" s="1326" t="s">
        <v>828</v>
      </c>
      <c r="Q50" s="1337" t="e">
        <f ca="1">J58</f>
        <v>#VALUE!</v>
      </c>
      <c r="R50" s="1327"/>
    </row>
    <row r="51" spans="1:18" s="1292" customFormat="1" ht="13.5" thickBot="1">
      <c r="A51" s="923"/>
      <c r="B51" s="925"/>
      <c r="C51" s="926"/>
      <c r="D51" s="899"/>
      <c r="E51" s="927" t="s">
        <v>698</v>
      </c>
      <c r="F51" s="295">
        <f ca="1">F8</f>
        <v>12</v>
      </c>
      <c r="I51" s="1338" t="s">
        <v>829</v>
      </c>
      <c r="J51" s="1331">
        <f>IF(J49="",J50,J49+J50-YEAR('数据-取费表'!B2))</f>
        <v>45</v>
      </c>
      <c r="K51" s="1339" t="s">
        <v>830</v>
      </c>
      <c r="L51" s="1340">
        <f ca="1">ROUND(-PV(INDIRECT("'数据-取费表'!h"&amp;$G$1),J51,(C39-C13*C76),0),0)</f>
        <v>2288809</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53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53</v>
      </c>
      <c r="K53" s="3376" t="s">
        <v>837</v>
      </c>
      <c r="L53" s="3377"/>
      <c r="O53" s="1325" t="s">
        <v>409</v>
      </c>
      <c r="P53" s="1326" t="s">
        <v>838</v>
      </c>
      <c r="Q53" s="1327">
        <f ca="1">Q47+Q48</f>
        <v>5284268</v>
      </c>
      <c r="R53" s="1327" t="s">
        <v>410</v>
      </c>
    </row>
    <row r="54" spans="1:18" s="1292" customFormat="1" ht="13.5" thickBot="1">
      <c r="A54" s="921"/>
      <c r="B54" s="1377" t="s">
        <v>891</v>
      </c>
      <c r="C54" s="905"/>
      <c r="D54" s="150"/>
      <c r="E54" s="1282"/>
      <c r="F54" s="1345"/>
      <c r="I54" s="134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#VALUE!</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809174</v>
      </c>
      <c r="D56" s="1352"/>
      <c r="E56" s="1353"/>
      <c r="F56" s="1345"/>
      <c r="I56" s="1354" t="s">
        <v>842</v>
      </c>
      <c r="J56" s="1355" t="s">
        <v>3434</v>
      </c>
      <c r="K56" s="1328" t="s">
        <v>843</v>
      </c>
      <c r="L56" s="1331">
        <f ca="1">IF(L48&lt;J51,"——",L48-J51)</f>
        <v>8</v>
      </c>
      <c r="O56" s="1325" t="s">
        <v>403</v>
      </c>
      <c r="P56" s="1326" t="s">
        <v>817</v>
      </c>
      <c r="Q56" s="1327">
        <f ca="1">C40+J29</f>
        <v>5284268</v>
      </c>
      <c r="R56" s="1327" t="s">
        <v>818</v>
      </c>
    </row>
    <row r="57" spans="1:18" s="1292" customFormat="1" ht="24.75" thickBot="1">
      <c r="A57" s="1356"/>
      <c r="B57" s="896" t="s">
        <v>767</v>
      </c>
      <c r="C57" s="230">
        <f ca="1">C29</f>
        <v>1011468</v>
      </c>
      <c r="D57" s="1357"/>
      <c r="E57" s="1358"/>
      <c r="F57" s="1359"/>
      <c r="I57" s="1360" t="s">
        <v>844</v>
      </c>
      <c r="J57" s="1361" t="str">
        <f ca="1">IF(OR(M47="住宅",J51&lt;L48,J56="是"),"——",J51-L48)</f>
        <v>——</v>
      </c>
      <c r="K57" s="1328" t="s">
        <v>892</v>
      </c>
      <c r="L57" s="1331">
        <f ca="1">IF(L48&lt;J51,"——",IF(L55="比较法",L49,IF(L55="基准地价",L50,L51)))</f>
        <v>2288809</v>
      </c>
      <c r="O57" s="1325" t="s">
        <v>404</v>
      </c>
      <c r="P57" s="1326" t="s">
        <v>893</v>
      </c>
      <c r="Q57" s="1327">
        <f ca="1">L60</f>
        <v>0</v>
      </c>
      <c r="R57" s="1327" t="s">
        <v>894</v>
      </c>
    </row>
    <row r="58" spans="1:18" s="1292" customFormat="1" ht="24.75" thickBot="1">
      <c r="A58" s="307" t="s">
        <v>393</v>
      </c>
      <c r="B58" s="904" t="s">
        <v>714</v>
      </c>
      <c r="C58" s="308">
        <f ca="1">ROUND(C59+C64+C65+C66,0)</f>
        <v>2832</v>
      </c>
      <c r="D58" s="906" t="s">
        <v>715</v>
      </c>
      <c r="E58" s="907"/>
      <c r="F58" s="908"/>
      <c r="I58" s="1360" t="s">
        <v>848</v>
      </c>
      <c r="J58" s="1362" t="e">
        <f ca="1">IF(J55&lt;0.4,0.4,J55)</f>
        <v>#VALUE!</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str">
        <f ca="1">IF(OR(M47="住宅",J51&lt;L48,J56="是"),"——",ROUND(C29*J58,0))</f>
        <v>——</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t="str">
        <f ca="1">IF(OR(M47="住宅",J51&lt;L48,J56="是"),"0",ROUND(J59/(1+J52)^J53,0))</f>
        <v>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5284268</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2023</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809</v>
      </c>
      <c r="D65" s="910" t="s">
        <v>743</v>
      </c>
      <c r="E65" s="896" t="s">
        <v>744</v>
      </c>
      <c r="F65" s="321">
        <f t="shared" ca="1" si="0"/>
        <v>1E-3</v>
      </c>
      <c r="I65" s="1367" t="s">
        <v>867</v>
      </c>
      <c r="J65" s="610">
        <v>40</v>
      </c>
      <c r="K65" s="610">
        <v>30</v>
      </c>
      <c r="L65" s="610">
        <v>50</v>
      </c>
      <c r="M65" s="1369">
        <v>0.02</v>
      </c>
      <c r="O65" s="1325" t="s">
        <v>403</v>
      </c>
      <c r="P65" s="1326" t="s">
        <v>868</v>
      </c>
      <c r="Q65" s="1327">
        <f ca="1">C40+J29</f>
        <v>5284268</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-2832</v>
      </c>
      <c r="D67" s="909" t="s">
        <v>753</v>
      </c>
      <c r="E67" s="914"/>
      <c r="F67" s="915"/>
      <c r="O67" s="1334" t="s">
        <v>405</v>
      </c>
      <c r="P67" s="1326" t="s">
        <v>850</v>
      </c>
      <c r="Q67" s="1370">
        <f ca="1">L51</f>
        <v>2288809</v>
      </c>
      <c r="R67" s="1327" t="s">
        <v>870</v>
      </c>
    </row>
    <row r="68" spans="1:18" s="1292" customFormat="1" ht="16.5" thickBot="1">
      <c r="A68" s="893" t="s">
        <v>395</v>
      </c>
      <c r="B68" s="894" t="s">
        <v>774</v>
      </c>
      <c r="C68" s="293">
        <f ca="1">ROUND(C67*(1-((1+F70)/(1+F68))^F69)/(F68-F70),0)</f>
        <v>-67847</v>
      </c>
      <c r="D68" s="911" t="s">
        <v>758</v>
      </c>
      <c r="E68" s="896" t="s">
        <v>759</v>
      </c>
      <c r="F68" s="304">
        <f ca="1">F40</f>
        <v>3.5000000000000003E-2</v>
      </c>
      <c r="O68" s="1334" t="s">
        <v>406</v>
      </c>
      <c r="P68" s="1371" t="s">
        <v>871</v>
      </c>
      <c r="Q68" s="1327">
        <f ca="1">ROUND(Q69-Q70*Q71,0)</f>
        <v>119480</v>
      </c>
      <c r="R68" s="1327" t="s">
        <v>414</v>
      </c>
    </row>
    <row r="69" spans="1:18" s="1292" customFormat="1" ht="13.5" thickBot="1">
      <c r="A69" s="897"/>
      <c r="B69" s="898"/>
      <c r="C69" s="298"/>
      <c r="D69" s="916" t="s">
        <v>762</v>
      </c>
      <c r="E69" s="896" t="s">
        <v>763</v>
      </c>
      <c r="F69" s="324">
        <f ca="1">F41</f>
        <v>53</v>
      </c>
      <c r="O69" s="1334" t="s">
        <v>411</v>
      </c>
      <c r="P69" s="1371" t="s">
        <v>872</v>
      </c>
      <c r="Q69" s="1327">
        <f ca="1">C39</f>
        <v>163985</v>
      </c>
      <c r="R69" s="1327" t="s">
        <v>818</v>
      </c>
    </row>
    <row r="70" spans="1:18" s="1292" customFormat="1" ht="13.5" thickBot="1">
      <c r="A70" s="900"/>
      <c r="B70" s="901"/>
      <c r="C70" s="302"/>
      <c r="D70" s="912"/>
      <c r="E70" s="896" t="s">
        <v>766</v>
      </c>
      <c r="F70" s="991"/>
      <c r="O70" s="1334" t="s">
        <v>412</v>
      </c>
      <c r="P70" s="1371" t="s">
        <v>873</v>
      </c>
      <c r="Q70" s="1327">
        <f ca="1">C13</f>
        <v>809174</v>
      </c>
      <c r="R70" s="1327" t="s">
        <v>818</v>
      </c>
    </row>
    <row r="71" spans="1:18" s="1292" customFormat="1" ht="13.5" thickBot="1">
      <c r="A71" s="917" t="s">
        <v>396</v>
      </c>
      <c r="B71" s="918" t="s">
        <v>776</v>
      </c>
      <c r="C71" s="327">
        <f ca="1">ROUND(C68/F71,0)</f>
        <v>-368</v>
      </c>
      <c r="D71" s="919" t="s">
        <v>777</v>
      </c>
      <c r="E71" s="920" t="s">
        <v>778</v>
      </c>
      <c r="F71" s="330">
        <f ca="1">F43</f>
        <v>184.46</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44505</v>
      </c>
      <c r="D75" s="1292"/>
      <c r="E75" s="1292"/>
      <c r="F75" s="1292"/>
      <c r="K75" s="1309"/>
      <c r="L75" s="1292"/>
      <c r="O75" s="1325" t="s">
        <v>409</v>
      </c>
      <c r="P75" s="1326" t="s">
        <v>838</v>
      </c>
      <c r="Q75" s="1327">
        <f ca="1">Q65+Q66</f>
        <v>5284268</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0.72899999999999998</v>
      </c>
    </row>
    <row r="80" spans="1:18">
      <c r="B80" s="331" t="s">
        <v>800</v>
      </c>
      <c r="C80" s="266">
        <f ca="1">ROUND(C75/C39,3)</f>
        <v>0.27100000000000002</v>
      </c>
    </row>
    <row r="81" spans="2:3">
      <c r="B81" s="262" t="s">
        <v>801</v>
      </c>
      <c r="C81" s="230"/>
    </row>
    <row r="82" spans="2:3">
      <c r="B82" s="265" t="s">
        <v>802</v>
      </c>
      <c r="C82" s="267">
        <f ca="1">1-C83</f>
        <v>0.84699999999999998</v>
      </c>
    </row>
    <row r="83" spans="2:3">
      <c r="B83" s="265" t="s">
        <v>803</v>
      </c>
      <c r="C83" s="266">
        <f ca="1">ROUND(C13/C40,3)</f>
        <v>0.153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33" t="s">
        <v>2317</v>
      </c>
      <c r="K2" s="3434"/>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35" t="s">
        <v>2327</v>
      </c>
      <c r="K3" s="3436"/>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35" t="s">
        <v>2329</v>
      </c>
      <c r="K4" s="3436"/>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41" t="s">
        <v>2333</v>
      </c>
      <c r="B6" s="3442"/>
      <c r="C6" s="3443"/>
      <c r="D6" s="2620"/>
      <c r="E6" s="2621"/>
      <c r="F6" s="2622"/>
      <c r="G6" s="2623"/>
      <c r="H6" s="2598"/>
      <c r="I6" s="2599"/>
      <c r="J6" s="3427">
        <v>1</v>
      </c>
      <c r="K6" s="3428"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7"/>
      <c r="K7" s="3429"/>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44" t="s">
        <v>2347</v>
      </c>
      <c r="C8" s="3445"/>
      <c r="D8" s="2639" t="s">
        <v>2348</v>
      </c>
      <c r="E8" s="2640" t="s">
        <v>2349</v>
      </c>
      <c r="F8" s="2641" t="s">
        <v>2350</v>
      </c>
      <c r="G8" s="2642"/>
      <c r="H8" s="2598"/>
      <c r="I8" s="2599"/>
      <c r="J8" s="3427"/>
      <c r="K8" s="3429"/>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44" t="s">
        <v>2353</v>
      </c>
      <c r="C9" s="3445"/>
      <c r="D9" s="2639">
        <f>ROUND(D6*E9,0)</f>
        <v>0</v>
      </c>
      <c r="E9" s="2643"/>
      <c r="F9" s="2644" t="s">
        <v>2354</v>
      </c>
      <c r="G9" s="2623"/>
      <c r="H9" s="2598"/>
      <c r="I9" s="2599"/>
      <c r="J9" s="3427"/>
      <c r="K9" s="3429"/>
      <c r="L9" s="2633" t="s">
        <v>2355</v>
      </c>
      <c r="M9" s="2634"/>
      <c r="N9" s="2610"/>
      <c r="O9" s="2635"/>
      <c r="P9" s="2635"/>
      <c r="Q9" s="2636">
        <v>365</v>
      </c>
      <c r="R9" s="2637">
        <f t="shared" si="0"/>
        <v>0</v>
      </c>
      <c r="S9" s="2591"/>
      <c r="T9" s="2591"/>
      <c r="U9" s="2591"/>
      <c r="V9" s="2599"/>
    </row>
    <row r="10" spans="1:22" s="2603" customFormat="1" ht="13.15" customHeight="1">
      <c r="A10" s="2638">
        <v>2</v>
      </c>
      <c r="B10" s="3444" t="s">
        <v>2356</v>
      </c>
      <c r="C10" s="3445"/>
      <c r="D10" s="2639">
        <f>ROUND(D6*E10,0)</f>
        <v>0</v>
      </c>
      <c r="E10" s="2643"/>
      <c r="F10" s="2644" t="s">
        <v>2357</v>
      </c>
      <c r="G10" s="2623"/>
      <c r="H10" s="2598"/>
      <c r="I10" s="2599"/>
      <c r="J10" s="3427"/>
      <c r="K10" s="3429"/>
      <c r="L10" s="2633" t="s">
        <v>2358</v>
      </c>
      <c r="M10" s="2634"/>
      <c r="N10" s="2610"/>
      <c r="O10" s="2635"/>
      <c r="P10" s="2635"/>
      <c r="Q10" s="2636">
        <v>365</v>
      </c>
      <c r="R10" s="2637">
        <f t="shared" si="0"/>
        <v>0</v>
      </c>
      <c r="S10" s="2591"/>
      <c r="T10" s="2591"/>
      <c r="U10" s="2591"/>
      <c r="V10" s="2599"/>
    </row>
    <row r="11" spans="1:22" s="2603" customFormat="1" ht="13.15" customHeight="1">
      <c r="A11" s="2638">
        <v>3</v>
      </c>
      <c r="B11" s="3444" t="s">
        <v>2359</v>
      </c>
      <c r="C11" s="3445"/>
      <c r="D11" s="2639">
        <f>D12+D14+D15+D16</f>
        <v>0</v>
      </c>
      <c r="E11" s="2645" t="e">
        <f>D11/D6</f>
        <v>#DIV/0!</v>
      </c>
      <c r="F11" s="2641"/>
      <c r="G11" s="2642"/>
      <c r="H11" s="2598"/>
      <c r="I11" s="2599"/>
      <c r="J11" s="3427"/>
      <c r="K11" s="3429"/>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7" t="s">
        <v>2362</v>
      </c>
      <c r="C12" s="3438"/>
      <c r="D12" s="2647">
        <f>ROUND(D13*1.2%*(1-30%),0)</f>
        <v>0</v>
      </c>
      <c r="E12" s="2648">
        <v>1.2E-2</v>
      </c>
      <c r="F12" s="2641" t="s">
        <v>2363</v>
      </c>
      <c r="G12" s="2642"/>
      <c r="H12" s="2598"/>
      <c r="I12" s="2599"/>
      <c r="J12" s="3427"/>
      <c r="K12" s="3429"/>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7"/>
      <c r="K13" s="3429"/>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7" t="s">
        <v>2368</v>
      </c>
      <c r="C14" s="3438"/>
      <c r="D14" s="2647">
        <f>ROUND(E14*B5/10000,0)</f>
        <v>0</v>
      </c>
      <c r="E14" s="2636"/>
      <c r="F14" s="2641" t="s">
        <v>2369</v>
      </c>
      <c r="G14" s="2642"/>
      <c r="H14" s="2598"/>
      <c r="I14" s="2599"/>
      <c r="J14" s="3427"/>
      <c r="K14" s="3430"/>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7" t="s">
        <v>2372</v>
      </c>
      <c r="C15" s="3438"/>
      <c r="D15" s="2647">
        <f>ROUND(D6*E15,0)</f>
        <v>0</v>
      </c>
      <c r="E15" s="2648">
        <v>5.5E-2</v>
      </c>
      <c r="F15" s="2641" t="s">
        <v>2373</v>
      </c>
      <c r="G15" s="2623"/>
      <c r="H15" s="2598"/>
      <c r="I15" s="2599"/>
      <c r="J15" s="3427">
        <v>2</v>
      </c>
      <c r="K15" s="3428"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7" t="s">
        <v>2381</v>
      </c>
      <c r="C16" s="3438"/>
      <c r="D16" s="2658">
        <f>D6*E16</f>
        <v>0</v>
      </c>
      <c r="E16" s="2659"/>
      <c r="F16" s="2644" t="s">
        <v>2382</v>
      </c>
      <c r="G16" s="2623"/>
      <c r="H16" s="2598"/>
      <c r="I16" s="2599"/>
      <c r="J16" s="3427"/>
      <c r="K16" s="3429"/>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9" t="s">
        <v>2384</v>
      </c>
      <c r="C17" s="3440"/>
      <c r="D17" s="2661">
        <f>ROUND(D6*E17,0)</f>
        <v>0</v>
      </c>
      <c r="E17" s="2662"/>
      <c r="F17" s="2663" t="s">
        <v>2385</v>
      </c>
      <c r="G17" s="2623"/>
      <c r="H17" s="2598"/>
      <c r="I17" s="2599"/>
      <c r="J17" s="3427"/>
      <c r="K17" s="3429"/>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7"/>
      <c r="K18" s="3429"/>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7"/>
      <c r="K19" s="3430"/>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7">
        <v>3</v>
      </c>
      <c r="K20" s="3428"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7"/>
      <c r="K21" s="3429"/>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7"/>
      <c r="K22" s="3429"/>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7"/>
      <c r="K23" s="3429"/>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7"/>
      <c r="K24" s="3430"/>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1">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2"/>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33" t="s">
        <v>2317</v>
      </c>
      <c r="K32" s="3434"/>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35" t="s">
        <v>2327</v>
      </c>
      <c r="K33" s="3436"/>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35" t="s">
        <v>2329</v>
      </c>
      <c r="K34" s="3436"/>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7">
        <v>1</v>
      </c>
      <c r="K36" s="3428"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7"/>
      <c r="K37" s="3429"/>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7"/>
      <c r="K38" s="3429"/>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7"/>
      <c r="K39" s="3429"/>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7"/>
      <c r="K40" s="3430"/>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1">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2"/>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528.42679999999996</v>
      </c>
      <c r="C2" s="1729" t="s">
        <v>1651</v>
      </c>
      <c r="D2" s="1730" t="s">
        <v>1652</v>
      </c>
      <c r="E2" s="2391">
        <f>SUM(E6:E13)</f>
        <v>184.46</v>
      </c>
      <c r="F2" s="2478"/>
      <c r="G2" s="459"/>
      <c r="H2" s="459"/>
      <c r="I2" s="459"/>
      <c r="J2" s="459"/>
      <c r="K2" s="459"/>
      <c r="L2" s="459"/>
      <c r="M2" s="459"/>
      <c r="N2" s="459"/>
      <c r="O2" s="459"/>
      <c r="P2" s="459"/>
      <c r="Q2" s="459"/>
      <c r="R2" s="459"/>
      <c r="S2" s="459"/>
    </row>
    <row r="3" spans="1:22" ht="15.75">
      <c r="A3" s="1728" t="s">
        <v>686</v>
      </c>
      <c r="B3" s="2385">
        <f ca="1">ROUND(B2*10000/E2,0)</f>
        <v>28647</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446" t="s">
        <v>1654</v>
      </c>
      <c r="C5" s="3447"/>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528.42679999999996</v>
      </c>
      <c r="C6" s="1729" t="s">
        <v>1651</v>
      </c>
      <c r="D6" s="2478"/>
      <c r="E6" s="2390">
        <f>IF(OR(A6=0,F6="否"),0,'数据-取费表'!K6+'数据-取费表'!S6)</f>
        <v>184.46</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184.46</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85"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85"/>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85"/>
      <c r="AC6" s="3398"/>
    </row>
    <row r="7" spans="1:29" s="102" customFormat="1" ht="15.75" thickBot="1">
      <c r="A7" s="352" t="s">
        <v>1679</v>
      </c>
      <c r="B7" s="353"/>
      <c r="C7" s="354">
        <f>'数据-取费表'!B2</f>
        <v>46014</v>
      </c>
      <c r="D7" s="355">
        <v>100</v>
      </c>
      <c r="E7" s="356"/>
      <c r="F7" s="357">
        <f>SUMIF(58:58,YEAR(E7)&amp;"-"&amp;MONTH(E7),59:59)</f>
        <v>0</v>
      </c>
      <c r="G7" s="356"/>
      <c r="H7" s="355">
        <f>SUMIF(58:58,YEAR(G7)&amp;"-"&amp;MONTH(G7),59:59)</f>
        <v>0</v>
      </c>
      <c r="I7" s="356"/>
      <c r="J7" s="355">
        <f>SUMIF(58:58,YEAR(I7)&amp;"-"&amp;MONTH(I7),59:59)</f>
        <v>0</v>
      </c>
      <c r="K7" s="38"/>
      <c r="L7" s="2487"/>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95"/>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93" t="s">
        <v>1691</v>
      </c>
      <c r="Q15" s="1263" t="str">
        <f t="shared" si="6"/>
        <v>商业繁华度</v>
      </c>
      <c r="R15" s="667" t="s">
        <v>14</v>
      </c>
      <c r="S15" s="668">
        <f t="shared" si="0"/>
        <v>100</v>
      </c>
      <c r="T15" s="667" t="s">
        <v>14</v>
      </c>
      <c r="U15" s="668">
        <f t="shared" si="1"/>
        <v>100</v>
      </c>
      <c r="V15" s="667" t="s">
        <v>14</v>
      </c>
      <c r="W15" s="668">
        <f t="shared" si="2"/>
        <v>100</v>
      </c>
      <c r="X15" s="1265"/>
      <c r="Y15" s="3386"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94"/>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94"/>
      <c r="Q18" s="1263"/>
      <c r="R18" s="667"/>
      <c r="S18" s="668"/>
      <c r="T18" s="667"/>
      <c r="U18" s="668"/>
      <c r="V18" s="667"/>
      <c r="W18" s="668"/>
      <c r="X18" s="1265"/>
      <c r="Y18" s="3387"/>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94"/>
      <c r="Q20" s="1263"/>
      <c r="R20" s="667"/>
      <c r="S20" s="668"/>
      <c r="T20" s="667"/>
      <c r="U20" s="668"/>
      <c r="V20" s="667"/>
      <c r="W20" s="668"/>
      <c r="X20" s="1265"/>
      <c r="Y20" s="3387"/>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94"/>
      <c r="Q22" s="1263"/>
      <c r="R22" s="667"/>
      <c r="S22" s="668"/>
      <c r="T22" s="667"/>
      <c r="U22" s="668"/>
      <c r="V22" s="667"/>
      <c r="W22" s="668"/>
      <c r="X22" s="1265"/>
      <c r="Y22" s="3387"/>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94"/>
      <c r="Q24" s="1263"/>
      <c r="R24" s="667"/>
      <c r="S24" s="668"/>
      <c r="T24" s="667"/>
      <c r="U24" s="668"/>
      <c r="V24" s="667"/>
      <c r="W24" s="668"/>
      <c r="X24" s="1265"/>
      <c r="Y24" s="3387"/>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94"/>
      <c r="Q25" s="1263" t="str">
        <f t="shared" ref="Q25:Q46" si="11">B25</f>
        <v>临街状况</v>
      </c>
      <c r="R25" s="667" t="s">
        <v>14</v>
      </c>
      <c r="S25" s="668">
        <f>F25</f>
        <v>100</v>
      </c>
      <c r="T25" s="667" t="s">
        <v>14</v>
      </c>
      <c r="U25" s="668">
        <f>H25</f>
        <v>100</v>
      </c>
      <c r="V25" s="667" t="s">
        <v>14</v>
      </c>
      <c r="W25" s="668">
        <f>J25</f>
        <v>100</v>
      </c>
      <c r="X25" s="1265"/>
      <c r="Y25" s="3387"/>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94"/>
      <c r="Q26" s="1263" t="str">
        <f t="shared" si="11"/>
        <v>平面位置/可视性</v>
      </c>
      <c r="R26" s="667" t="s">
        <v>14</v>
      </c>
      <c r="S26" s="668">
        <f>F26</f>
        <v>100</v>
      </c>
      <c r="T26" s="667" t="s">
        <v>14</v>
      </c>
      <c r="U26" s="668">
        <f>H26</f>
        <v>100</v>
      </c>
      <c r="V26" s="667" t="s">
        <v>14</v>
      </c>
      <c r="W26" s="668">
        <f>J26</f>
        <v>100</v>
      </c>
      <c r="X26" s="1265"/>
      <c r="Y26" s="3387"/>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394"/>
      <c r="Q27" s="530" t="str">
        <f t="shared" si="11"/>
        <v>人流量</v>
      </c>
      <c r="R27" s="664" t="s">
        <v>14</v>
      </c>
      <c r="S27" s="665">
        <f>F27</f>
        <v>100</v>
      </c>
      <c r="T27" s="664" t="s">
        <v>14</v>
      </c>
      <c r="U27" s="665">
        <f>H27</f>
        <v>100</v>
      </c>
      <c r="V27" s="664" t="s">
        <v>14</v>
      </c>
      <c r="W27" s="665">
        <f>J27</f>
        <v>100</v>
      </c>
      <c r="X27" s="666"/>
      <c r="Y27" s="3387"/>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9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7"/>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94"/>
      <c r="Q29" s="1263">
        <f t="shared" si="11"/>
        <v>111</v>
      </c>
      <c r="R29" s="667" t="s">
        <v>14</v>
      </c>
      <c r="S29" s="668">
        <f t="shared" si="12"/>
        <v>100</v>
      </c>
      <c r="T29" s="667" t="s">
        <v>14</v>
      </c>
      <c r="U29" s="668">
        <f t="shared" si="13"/>
        <v>100</v>
      </c>
      <c r="V29" s="667" t="s">
        <v>14</v>
      </c>
      <c r="W29" s="668">
        <f t="shared" si="14"/>
        <v>100</v>
      </c>
      <c r="X29" s="1265"/>
      <c r="Y29" s="3387"/>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88" t="s">
        <v>1696</v>
      </c>
      <c r="Q32" s="1263" t="str">
        <f t="shared" si="11"/>
        <v>商业类型</v>
      </c>
      <c r="R32" s="667" t="s">
        <v>14</v>
      </c>
      <c r="S32" s="668">
        <f t="shared" si="12"/>
        <v>100</v>
      </c>
      <c r="T32" s="667" t="s">
        <v>14</v>
      </c>
      <c r="U32" s="668">
        <f t="shared" si="13"/>
        <v>100</v>
      </c>
      <c r="V32" s="667" t="s">
        <v>14</v>
      </c>
      <c r="W32" s="668">
        <f t="shared" si="14"/>
        <v>100</v>
      </c>
      <c r="X32" s="1265"/>
      <c r="Y32" s="3391"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89"/>
      <c r="Q33" s="531" t="str">
        <f t="shared" si="11"/>
        <v>项目建筑规模</v>
      </c>
      <c r="R33" s="669" t="s">
        <v>14</v>
      </c>
      <c r="S33" s="670" t="e">
        <f t="shared" si="12"/>
        <v>#N/A</v>
      </c>
      <c r="T33" s="669" t="s">
        <v>14</v>
      </c>
      <c r="U33" s="670" t="e">
        <f t="shared" si="13"/>
        <v>#N/A</v>
      </c>
      <c r="V33" s="669" t="s">
        <v>14</v>
      </c>
      <c r="W33" s="670" t="e">
        <f t="shared" si="14"/>
        <v>#N/A</v>
      </c>
      <c r="X33" s="671"/>
      <c r="Y33" s="3391"/>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89"/>
      <c r="Q35" s="1263" t="str">
        <f t="shared" si="11"/>
        <v>公共部分装修</v>
      </c>
      <c r="R35" s="667" t="s">
        <v>14</v>
      </c>
      <c r="S35" s="668">
        <f t="shared" si="12"/>
        <v>100</v>
      </c>
      <c r="T35" s="667" t="s">
        <v>14</v>
      </c>
      <c r="U35" s="668">
        <f t="shared" si="13"/>
        <v>100</v>
      </c>
      <c r="V35" s="667" t="s">
        <v>14</v>
      </c>
      <c r="W35" s="668">
        <f t="shared" si="14"/>
        <v>100</v>
      </c>
      <c r="X35" s="1265"/>
      <c r="Y35" s="3391"/>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89"/>
      <c r="Q36" s="1263" t="str">
        <f t="shared" si="11"/>
        <v>成新度</v>
      </c>
      <c r="R36" s="667" t="s">
        <v>14</v>
      </c>
      <c r="S36" s="668" t="e">
        <f t="shared" si="12"/>
        <v>#N/A</v>
      </c>
      <c r="T36" s="667" t="s">
        <v>14</v>
      </c>
      <c r="U36" s="668" t="e">
        <f t="shared" si="13"/>
        <v>#N/A</v>
      </c>
      <c r="V36" s="667" t="s">
        <v>14</v>
      </c>
      <c r="W36" s="668" t="e">
        <f t="shared" si="14"/>
        <v>#N/A</v>
      </c>
      <c r="X36" s="1265"/>
      <c r="Y36" s="3391"/>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389"/>
      <c r="Q37" s="530" t="str">
        <f t="shared" si="11"/>
        <v>市政基础设施</v>
      </c>
      <c r="R37" s="664" t="s">
        <v>14</v>
      </c>
      <c r="S37" s="665">
        <f t="shared" si="12"/>
        <v>100</v>
      </c>
      <c r="T37" s="664" t="s">
        <v>14</v>
      </c>
      <c r="U37" s="665">
        <f t="shared" si="13"/>
        <v>100</v>
      </c>
      <c r="V37" s="664" t="s">
        <v>14</v>
      </c>
      <c r="W37" s="665">
        <f t="shared" si="14"/>
        <v>100</v>
      </c>
      <c r="X37" s="666"/>
      <c r="Y37" s="3391"/>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89" t="s">
        <v>1696</v>
      </c>
      <c r="Q38" s="1263" t="str">
        <f t="shared" si="11"/>
        <v>业态</v>
      </c>
      <c r="R38" s="667" t="s">
        <v>14</v>
      </c>
      <c r="S38" s="668">
        <f t="shared" si="12"/>
        <v>100</v>
      </c>
      <c r="T38" s="667" t="s">
        <v>14</v>
      </c>
      <c r="U38" s="668">
        <f t="shared" si="13"/>
        <v>100</v>
      </c>
      <c r="V38" s="667" t="s">
        <v>14</v>
      </c>
      <c r="W38" s="668">
        <f t="shared" si="14"/>
        <v>100</v>
      </c>
      <c r="X38" s="1265"/>
      <c r="Y38" s="3391"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89"/>
      <c r="Q39" s="1263" t="str">
        <f t="shared" si="11"/>
        <v>层高</v>
      </c>
      <c r="R39" s="667" t="s">
        <v>14</v>
      </c>
      <c r="S39" s="668">
        <f t="shared" si="12"/>
        <v>100</v>
      </c>
      <c r="T39" s="667" t="s">
        <v>14</v>
      </c>
      <c r="U39" s="668">
        <f t="shared" si="13"/>
        <v>100</v>
      </c>
      <c r="V39" s="667" t="s">
        <v>14</v>
      </c>
      <c r="W39" s="668">
        <f t="shared" si="14"/>
        <v>100</v>
      </c>
      <c r="X39" s="1265"/>
      <c r="Y39" s="3391"/>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89"/>
      <c r="Q40" s="1263" t="str">
        <f t="shared" si="11"/>
        <v>单套建筑面积</v>
      </c>
      <c r="R40" s="667" t="s">
        <v>14</v>
      </c>
      <c r="S40" s="668">
        <f t="shared" si="12"/>
        <v>100</v>
      </c>
      <c r="T40" s="667" t="s">
        <v>14</v>
      </c>
      <c r="U40" s="668">
        <f t="shared" si="13"/>
        <v>100</v>
      </c>
      <c r="V40" s="667" t="s">
        <v>14</v>
      </c>
      <c r="W40" s="668">
        <f t="shared" si="14"/>
        <v>100</v>
      </c>
      <c r="X40" s="1265"/>
      <c r="Y40" s="3391"/>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89"/>
      <c r="Q41" s="531" t="str">
        <f t="shared" si="11"/>
        <v>进深比</v>
      </c>
      <c r="R41" s="669" t="s">
        <v>14</v>
      </c>
      <c r="S41" s="670">
        <f t="shared" si="12"/>
        <v>100</v>
      </c>
      <c r="T41" s="669" t="s">
        <v>14</v>
      </c>
      <c r="U41" s="670">
        <f t="shared" si="13"/>
        <v>100</v>
      </c>
      <c r="V41" s="669" t="s">
        <v>14</v>
      </c>
      <c r="W41" s="670">
        <f t="shared" si="14"/>
        <v>100</v>
      </c>
      <c r="X41" s="671"/>
      <c r="Y41" s="3391"/>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89"/>
      <c r="Q42" s="1263" t="str">
        <f t="shared" si="11"/>
        <v>内部装修</v>
      </c>
      <c r="R42" s="667" t="s">
        <v>14</v>
      </c>
      <c r="S42" s="668">
        <f t="shared" si="12"/>
        <v>100</v>
      </c>
      <c r="T42" s="667" t="s">
        <v>14</v>
      </c>
      <c r="U42" s="668">
        <f t="shared" si="13"/>
        <v>100</v>
      </c>
      <c r="V42" s="667" t="s">
        <v>14</v>
      </c>
      <c r="W42" s="668">
        <f t="shared" si="14"/>
        <v>100</v>
      </c>
      <c r="X42" s="1265"/>
      <c r="Y42" s="3391"/>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389"/>
      <c r="Q44" s="530">
        <f t="shared" si="11"/>
        <v>111</v>
      </c>
      <c r="R44" s="664" t="s">
        <v>14</v>
      </c>
      <c r="S44" s="665">
        <f t="shared" si="12"/>
        <v>100</v>
      </c>
      <c r="T44" s="664" t="s">
        <v>14</v>
      </c>
      <c r="U44" s="665">
        <f t="shared" si="13"/>
        <v>100</v>
      </c>
      <c r="V44" s="664" t="s">
        <v>14</v>
      </c>
      <c r="W44" s="665">
        <f t="shared" si="14"/>
        <v>100</v>
      </c>
      <c r="X44" s="666"/>
      <c r="Y44" s="3391"/>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89"/>
      <c r="Q45" s="1263">
        <f t="shared" si="11"/>
        <v>111</v>
      </c>
      <c r="R45" s="667" t="s">
        <v>14</v>
      </c>
      <c r="S45" s="668">
        <f t="shared" si="12"/>
        <v>100</v>
      </c>
      <c r="T45" s="667" t="s">
        <v>14</v>
      </c>
      <c r="U45" s="668">
        <f t="shared" si="13"/>
        <v>100</v>
      </c>
      <c r="V45" s="667" t="s">
        <v>14</v>
      </c>
      <c r="W45" s="668">
        <f t="shared" si="14"/>
        <v>100</v>
      </c>
      <c r="X45" s="1265"/>
      <c r="Y45" s="3391"/>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384" t="str">
        <f>A47</f>
        <v>成交单价（元/平方米）</v>
      </c>
      <c r="Q47" s="3384"/>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384" t="str">
        <f>A48</f>
        <v>比较价值（元/平方米）</v>
      </c>
      <c r="Q48" s="3384"/>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381" t="str">
        <f>A49</f>
        <v>估价对象XX用房的比较价值（楼面单价，元/平方米）</v>
      </c>
      <c r="Q49" s="3382"/>
      <c r="R49" s="3383" t="e">
        <f>IF(F1="售价",ROUND(IF(D48="简单平均",AVERAGE(R48:V48),R48*F48+T48*H48+V48*J48),0),ROUND(IF(D48="简单平均",AVERAGE(R48:V48),R48*F48+T48*H48+V48*J48),1))</f>
        <v>#DIV/0!</v>
      </c>
      <c r="S49" s="3383"/>
      <c r="T49" s="3383"/>
      <c r="U49" s="3383"/>
      <c r="V49" s="3383"/>
      <c r="W49" s="33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184.46</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54" t="s">
        <v>1775</v>
      </c>
      <c r="Q4" s="3455"/>
      <c r="R4" s="3458" t="s">
        <v>1771</v>
      </c>
      <c r="S4" s="3459"/>
      <c r="T4" s="3458" t="s">
        <v>1772</v>
      </c>
      <c r="U4" s="3459"/>
      <c r="V4" s="3460" t="s">
        <v>1773</v>
      </c>
      <c r="W4" s="3460"/>
      <c r="X4" s="1807"/>
      <c r="Y4" s="3458" t="s">
        <v>1775</v>
      </c>
      <c r="Z4" s="3459"/>
      <c r="AA4" s="3462" t="s">
        <v>1771</v>
      </c>
      <c r="AB4" s="3462" t="s">
        <v>1772</v>
      </c>
      <c r="AC4" s="3451" t="s">
        <v>1773</v>
      </c>
    </row>
    <row r="5" spans="1:29" ht="15">
      <c r="A5" s="348"/>
      <c r="B5" s="349"/>
      <c r="C5" s="3417" t="s">
        <v>1673</v>
      </c>
      <c r="D5" s="3418"/>
      <c r="E5" s="3425" t="s">
        <v>1674</v>
      </c>
      <c r="F5" s="3426"/>
      <c r="G5" s="3417" t="s">
        <v>1675</v>
      </c>
      <c r="H5" s="3418"/>
      <c r="I5" s="3417" t="s">
        <v>1676</v>
      </c>
      <c r="J5" s="3418"/>
      <c r="K5" s="537"/>
      <c r="L5" s="2485"/>
      <c r="M5" s="2486"/>
      <c r="N5" s="2486"/>
      <c r="O5" s="2486"/>
      <c r="P5" s="3456"/>
      <c r="Q5" s="3406"/>
      <c r="R5" s="3411"/>
      <c r="S5" s="3412"/>
      <c r="T5" s="3411"/>
      <c r="U5" s="3412"/>
      <c r="V5" s="3385"/>
      <c r="W5" s="3385"/>
      <c r="X5" s="1265"/>
      <c r="Y5" s="3411"/>
      <c r="Z5" s="3412"/>
      <c r="AA5" s="3397"/>
      <c r="AB5" s="3397"/>
      <c r="AC5" s="3452"/>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57"/>
      <c r="Q6" s="3408"/>
      <c r="R6" s="3411"/>
      <c r="S6" s="3412"/>
      <c r="T6" s="3413"/>
      <c r="U6" s="3414"/>
      <c r="V6" s="3385"/>
      <c r="W6" s="3385"/>
      <c r="X6" s="1265"/>
      <c r="Y6" s="3413"/>
      <c r="Z6" s="3414"/>
      <c r="AA6" s="3398"/>
      <c r="AB6" s="3398"/>
      <c r="AC6" s="3453"/>
    </row>
    <row r="7" spans="1:29" s="102" customFormat="1" ht="15.75" thickBot="1">
      <c r="A7" s="352" t="s">
        <v>1679</v>
      </c>
      <c r="B7" s="353"/>
      <c r="C7" s="354">
        <f>'数据-取费表'!B2</f>
        <v>46014</v>
      </c>
      <c r="D7" s="355">
        <v>100</v>
      </c>
      <c r="E7" s="356"/>
      <c r="F7" s="357">
        <f>SUMIF(59:59,YEAR(E7)&amp;"-"&amp;MONTH(E7),60:60)</f>
        <v>0</v>
      </c>
      <c r="G7" s="356"/>
      <c r="H7" s="355">
        <f>SUMIF(59:59,YEAR(G7)&amp;"-"&amp;MONTH(G7),60:60)</f>
        <v>0</v>
      </c>
      <c r="I7" s="356"/>
      <c r="J7" s="355">
        <f>SUMIF(59:59,YEAR(I7)&amp;"-"&amp;MONTH(I7),60:60)</f>
        <v>0</v>
      </c>
      <c r="K7" s="38"/>
      <c r="L7" s="2487"/>
      <c r="M7" s="2438"/>
      <c r="N7" s="2438"/>
      <c r="O7" s="2438"/>
      <c r="P7" s="3461"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61" t="s">
        <v>1683</v>
      </c>
      <c r="Q8" s="3420"/>
      <c r="R8" s="664" t="s">
        <v>14</v>
      </c>
      <c r="S8" s="665">
        <f t="shared" si="0"/>
        <v>100</v>
      </c>
      <c r="T8" s="664" t="s">
        <v>14</v>
      </c>
      <c r="U8" s="665">
        <f t="shared" si="1"/>
        <v>100</v>
      </c>
      <c r="V8" s="664" t="s">
        <v>14</v>
      </c>
      <c r="W8" s="665">
        <f t="shared" si="2"/>
        <v>100</v>
      </c>
      <c r="X8" s="666"/>
      <c r="Y8" s="3419" t="s">
        <v>1683</v>
      </c>
      <c r="Z8" s="342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393" t="s">
        <v>1691</v>
      </c>
      <c r="Q15" s="1263" t="str">
        <f t="shared" si="6"/>
        <v>办公集聚程度</v>
      </c>
      <c r="R15" s="667" t="s">
        <v>14</v>
      </c>
      <c r="S15" s="668">
        <f t="shared" si="0"/>
        <v>100</v>
      </c>
      <c r="T15" s="667" t="s">
        <v>14</v>
      </c>
      <c r="U15" s="668">
        <f t="shared" si="1"/>
        <v>100</v>
      </c>
      <c r="V15" s="667" t="s">
        <v>14</v>
      </c>
      <c r="W15" s="668">
        <f t="shared" si="2"/>
        <v>100</v>
      </c>
      <c r="X15" s="1265"/>
      <c r="Y15" s="3386"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394"/>
      <c r="Q16" s="1263"/>
      <c r="R16" s="667"/>
      <c r="S16" s="668"/>
      <c r="T16" s="667"/>
      <c r="U16" s="668"/>
      <c r="V16" s="667"/>
      <c r="W16" s="668"/>
      <c r="X16" s="1265"/>
      <c r="Y16" s="3387"/>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394"/>
      <c r="Q18" s="1263"/>
      <c r="R18" s="667"/>
      <c r="S18" s="668"/>
      <c r="T18" s="667"/>
      <c r="U18" s="668"/>
      <c r="V18" s="667"/>
      <c r="W18" s="668"/>
      <c r="X18" s="1265"/>
      <c r="Y18" s="3387"/>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394"/>
      <c r="Q20" s="1263"/>
      <c r="R20" s="667"/>
      <c r="S20" s="668"/>
      <c r="T20" s="667"/>
      <c r="U20" s="668"/>
      <c r="V20" s="667"/>
      <c r="W20" s="668"/>
      <c r="X20" s="1265"/>
      <c r="Y20" s="3387"/>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394"/>
      <c r="Q22" s="1263"/>
      <c r="R22" s="667"/>
      <c r="S22" s="668"/>
      <c r="T22" s="667"/>
      <c r="U22" s="668"/>
      <c r="V22" s="667"/>
      <c r="W22" s="668"/>
      <c r="X22" s="1265"/>
      <c r="Y22" s="3387"/>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394"/>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394"/>
      <c r="Q24" s="1263"/>
      <c r="R24" s="667"/>
      <c r="S24" s="668"/>
      <c r="T24" s="667"/>
      <c r="U24" s="668"/>
      <c r="V24" s="667"/>
      <c r="W24" s="668"/>
      <c r="X24" s="1265"/>
      <c r="Y24" s="3387"/>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94"/>
      <c r="Q25" s="1263" t="str">
        <f>B25</f>
        <v>毗邻道路的类型与等级</v>
      </c>
      <c r="R25" s="667" t="s">
        <v>14</v>
      </c>
      <c r="S25" s="668">
        <f>F25</f>
        <v>100</v>
      </c>
      <c r="T25" s="667" t="s">
        <v>14</v>
      </c>
      <c r="U25" s="668">
        <f>H25</f>
        <v>100</v>
      </c>
      <c r="V25" s="667" t="s">
        <v>14</v>
      </c>
      <c r="W25" s="668">
        <f>J25</f>
        <v>100</v>
      </c>
      <c r="X25" s="1265"/>
      <c r="Y25" s="3387"/>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394"/>
      <c r="Q26" s="1263"/>
      <c r="R26" s="667"/>
      <c r="S26" s="668"/>
      <c r="T26" s="667"/>
      <c r="U26" s="668"/>
      <c r="V26" s="667"/>
      <c r="W26" s="668"/>
      <c r="X26" s="1265"/>
      <c r="Y26" s="3387"/>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94"/>
      <c r="Q27" s="1263" t="str">
        <f t="shared" ref="Q27:Q47" si="11">B27</f>
        <v>楼层</v>
      </c>
      <c r="R27" s="667" t="s">
        <v>14</v>
      </c>
      <c r="S27" s="668">
        <f>F27</f>
        <v>100</v>
      </c>
      <c r="T27" s="667" t="s">
        <v>14</v>
      </c>
      <c r="U27" s="668">
        <f>H27</f>
        <v>100</v>
      </c>
      <c r="V27" s="667" t="s">
        <v>14</v>
      </c>
      <c r="W27" s="668">
        <f>J27</f>
        <v>100</v>
      </c>
      <c r="X27" s="1265"/>
      <c r="Y27" s="3387"/>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394"/>
      <c r="Q28" s="530" t="str">
        <f t="shared" si="11"/>
        <v>朝向</v>
      </c>
      <c r="R28" s="664" t="s">
        <v>14</v>
      </c>
      <c r="S28" s="665">
        <f>F28</f>
        <v>100</v>
      </c>
      <c r="T28" s="664" t="s">
        <v>14</v>
      </c>
      <c r="U28" s="665">
        <f>H28</f>
        <v>100</v>
      </c>
      <c r="V28" s="664" t="s">
        <v>14</v>
      </c>
      <c r="W28" s="665">
        <f>J28</f>
        <v>100</v>
      </c>
      <c r="X28" s="666"/>
      <c r="Y28" s="3387"/>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394"/>
      <c r="Q29" s="1263">
        <f t="shared" si="11"/>
        <v>111</v>
      </c>
      <c r="R29" s="667" t="s">
        <v>14</v>
      </c>
      <c r="S29" s="668">
        <f t="shared" ref="S29:S47" si="12">F29</f>
        <v>100</v>
      </c>
      <c r="T29" s="667" t="s">
        <v>14</v>
      </c>
      <c r="U29" s="668">
        <f t="shared" ref="U29:U47" si="13">H29</f>
        <v>100</v>
      </c>
      <c r="V29" s="667" t="s">
        <v>14</v>
      </c>
      <c r="W29" s="668">
        <f t="shared" ref="W29:W47" si="14">J29</f>
        <v>100</v>
      </c>
      <c r="X29" s="1265"/>
      <c r="Y29" s="3387"/>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87"/>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87"/>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394"/>
      <c r="Q32" s="1263">
        <f t="shared" si="11"/>
        <v>111</v>
      </c>
      <c r="R32" s="667" t="s">
        <v>14</v>
      </c>
      <c r="S32" s="668">
        <f t="shared" si="12"/>
        <v>100</v>
      </c>
      <c r="T32" s="667" t="s">
        <v>14</v>
      </c>
      <c r="U32" s="668">
        <f t="shared" si="13"/>
        <v>100</v>
      </c>
      <c r="V32" s="667" t="s">
        <v>14</v>
      </c>
      <c r="W32" s="668">
        <f t="shared" si="14"/>
        <v>100</v>
      </c>
      <c r="X32" s="1265"/>
      <c r="Y32" s="3387"/>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388" t="s">
        <v>1696</v>
      </c>
      <c r="Q33" s="1263" t="str">
        <f t="shared" si="11"/>
        <v>建筑类型</v>
      </c>
      <c r="R33" s="667" t="s">
        <v>14</v>
      </c>
      <c r="S33" s="668">
        <f t="shared" si="12"/>
        <v>100</v>
      </c>
      <c r="T33" s="667" t="s">
        <v>14</v>
      </c>
      <c r="U33" s="668">
        <f t="shared" si="13"/>
        <v>100</v>
      </c>
      <c r="V33" s="667" t="s">
        <v>14</v>
      </c>
      <c r="W33" s="668">
        <f t="shared" si="14"/>
        <v>100</v>
      </c>
      <c r="X33" s="1265"/>
      <c r="Y33" s="3391"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389"/>
      <c r="Q34" s="531" t="str">
        <f t="shared" si="11"/>
        <v>项目建筑规模</v>
      </c>
      <c r="R34" s="669" t="s">
        <v>14</v>
      </c>
      <c r="S34" s="670" t="e">
        <f t="shared" si="12"/>
        <v>#N/A</v>
      </c>
      <c r="T34" s="669" t="s">
        <v>14</v>
      </c>
      <c r="U34" s="670" t="e">
        <f t="shared" si="13"/>
        <v>#N/A</v>
      </c>
      <c r="V34" s="669" t="s">
        <v>14</v>
      </c>
      <c r="W34" s="670" t="e">
        <f t="shared" si="14"/>
        <v>#N/A</v>
      </c>
      <c r="X34" s="671"/>
      <c r="Y34" s="3391"/>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389"/>
      <c r="Q35" s="1263" t="str">
        <f t="shared" si="11"/>
        <v>建筑结构</v>
      </c>
      <c r="R35" s="667" t="s">
        <v>14</v>
      </c>
      <c r="S35" s="668">
        <f t="shared" si="12"/>
        <v>100</v>
      </c>
      <c r="T35" s="667" t="s">
        <v>14</v>
      </c>
      <c r="U35" s="668">
        <f t="shared" si="13"/>
        <v>100</v>
      </c>
      <c r="V35" s="667" t="s">
        <v>14</v>
      </c>
      <c r="W35" s="668">
        <f t="shared" si="14"/>
        <v>100</v>
      </c>
      <c r="X35" s="1265"/>
      <c r="Y35" s="3391"/>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389"/>
      <c r="Q37" s="1263" t="str">
        <f t="shared" si="11"/>
        <v>成新度</v>
      </c>
      <c r="R37" s="667" t="s">
        <v>14</v>
      </c>
      <c r="S37" s="668" t="e">
        <f t="shared" si="12"/>
        <v>#N/A</v>
      </c>
      <c r="T37" s="667" t="s">
        <v>14</v>
      </c>
      <c r="U37" s="668" t="e">
        <f t="shared" si="13"/>
        <v>#N/A</v>
      </c>
      <c r="V37" s="667" t="s">
        <v>14</v>
      </c>
      <c r="W37" s="668" t="e">
        <f t="shared" si="14"/>
        <v>#N/A</v>
      </c>
      <c r="X37" s="1265"/>
      <c r="Y37" s="3391"/>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389"/>
      <c r="Q38" s="530" t="str">
        <f t="shared" si="11"/>
        <v>写字楼等级</v>
      </c>
      <c r="R38" s="664" t="s">
        <v>14</v>
      </c>
      <c r="S38" s="665">
        <f t="shared" si="12"/>
        <v>100</v>
      </c>
      <c r="T38" s="664" t="s">
        <v>14</v>
      </c>
      <c r="U38" s="665">
        <f t="shared" si="13"/>
        <v>100</v>
      </c>
      <c r="V38" s="664" t="s">
        <v>14</v>
      </c>
      <c r="W38" s="665">
        <f t="shared" si="14"/>
        <v>100</v>
      </c>
      <c r="X38" s="666"/>
      <c r="Y38" s="339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389" t="s">
        <v>1696</v>
      </c>
      <c r="Q39" s="1263" t="str">
        <f t="shared" si="11"/>
        <v>物业管理</v>
      </c>
      <c r="R39" s="667" t="s">
        <v>14</v>
      </c>
      <c r="S39" s="668">
        <f t="shared" si="12"/>
        <v>100</v>
      </c>
      <c r="T39" s="667" t="s">
        <v>14</v>
      </c>
      <c r="U39" s="668">
        <f t="shared" si="13"/>
        <v>100</v>
      </c>
      <c r="V39" s="667" t="s">
        <v>14</v>
      </c>
      <c r="W39" s="668">
        <f t="shared" si="14"/>
        <v>100</v>
      </c>
      <c r="X39" s="1265"/>
      <c r="Y39" s="3391"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389"/>
      <c r="Q40" s="1263" t="str">
        <f t="shared" si="11"/>
        <v>市政基础设施</v>
      </c>
      <c r="R40" s="667" t="s">
        <v>14</v>
      </c>
      <c r="S40" s="668">
        <f t="shared" si="12"/>
        <v>100</v>
      </c>
      <c r="T40" s="667" t="s">
        <v>14</v>
      </c>
      <c r="U40" s="668">
        <f t="shared" si="13"/>
        <v>100</v>
      </c>
      <c r="V40" s="667" t="s">
        <v>14</v>
      </c>
      <c r="W40" s="668">
        <f t="shared" si="14"/>
        <v>100</v>
      </c>
      <c r="X40" s="1265"/>
      <c r="Y40" s="3391"/>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389"/>
      <c r="Q41" s="1263" t="str">
        <f t="shared" si="11"/>
        <v>层高</v>
      </c>
      <c r="R41" s="667" t="s">
        <v>14</v>
      </c>
      <c r="S41" s="668">
        <f t="shared" si="12"/>
        <v>100</v>
      </c>
      <c r="T41" s="667" t="s">
        <v>14</v>
      </c>
      <c r="U41" s="668">
        <f t="shared" si="13"/>
        <v>100</v>
      </c>
      <c r="V41" s="667" t="s">
        <v>14</v>
      </c>
      <c r="W41" s="668">
        <f t="shared" si="14"/>
        <v>100</v>
      </c>
      <c r="X41" s="1265"/>
      <c r="Y41" s="3391"/>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89"/>
      <c r="Q42" s="531" t="str">
        <f t="shared" si="11"/>
        <v>单套建筑面积</v>
      </c>
      <c r="R42" s="669" t="s">
        <v>14</v>
      </c>
      <c r="S42" s="670">
        <f t="shared" si="12"/>
        <v>100</v>
      </c>
      <c r="T42" s="669" t="s">
        <v>14</v>
      </c>
      <c r="U42" s="670">
        <f t="shared" si="13"/>
        <v>100</v>
      </c>
      <c r="V42" s="669" t="s">
        <v>14</v>
      </c>
      <c r="W42" s="670">
        <f t="shared" si="14"/>
        <v>100</v>
      </c>
      <c r="X42" s="671"/>
      <c r="Y42" s="3391"/>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389"/>
      <c r="Q43" s="1263" t="str">
        <f t="shared" si="11"/>
        <v>内部装修</v>
      </c>
      <c r="R43" s="667" t="s">
        <v>14</v>
      </c>
      <c r="S43" s="668">
        <f t="shared" si="12"/>
        <v>100</v>
      </c>
      <c r="T43" s="667" t="s">
        <v>14</v>
      </c>
      <c r="U43" s="668">
        <f t="shared" si="13"/>
        <v>100</v>
      </c>
      <c r="V43" s="667" t="s">
        <v>14</v>
      </c>
      <c r="W43" s="668">
        <f t="shared" si="14"/>
        <v>100</v>
      </c>
      <c r="X43" s="1265"/>
      <c r="Y43" s="3391"/>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389"/>
      <c r="Q44" s="1263" t="str">
        <f t="shared" si="11"/>
        <v>内部装修维护情况</v>
      </c>
      <c r="R44" s="667" t="s">
        <v>14</v>
      </c>
      <c r="S44" s="668">
        <f t="shared" si="12"/>
        <v>100</v>
      </c>
      <c r="T44" s="667" t="s">
        <v>14</v>
      </c>
      <c r="U44" s="668">
        <f t="shared" si="13"/>
        <v>100</v>
      </c>
      <c r="V44" s="667" t="s">
        <v>14</v>
      </c>
      <c r="W44" s="668">
        <f t="shared" si="14"/>
        <v>100</v>
      </c>
      <c r="X44" s="1265"/>
      <c r="Y44" s="3391"/>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389"/>
      <c r="Q45" s="530">
        <f t="shared" si="11"/>
        <v>111</v>
      </c>
      <c r="R45" s="664" t="s">
        <v>14</v>
      </c>
      <c r="S45" s="665">
        <f t="shared" si="12"/>
        <v>100</v>
      </c>
      <c r="T45" s="664" t="s">
        <v>14</v>
      </c>
      <c r="U45" s="665">
        <f t="shared" si="13"/>
        <v>100</v>
      </c>
      <c r="V45" s="664" t="s">
        <v>14</v>
      </c>
      <c r="W45" s="665">
        <f t="shared" si="14"/>
        <v>100</v>
      </c>
      <c r="X45" s="666"/>
      <c r="Y45" s="339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89"/>
      <c r="Q46" s="1263">
        <f t="shared" si="11"/>
        <v>111</v>
      </c>
      <c r="R46" s="667" t="s">
        <v>14</v>
      </c>
      <c r="S46" s="668">
        <f t="shared" si="12"/>
        <v>100</v>
      </c>
      <c r="T46" s="667" t="s">
        <v>14</v>
      </c>
      <c r="U46" s="668">
        <f t="shared" si="13"/>
        <v>100</v>
      </c>
      <c r="V46" s="667" t="s">
        <v>14</v>
      </c>
      <c r="W46" s="668">
        <f t="shared" si="14"/>
        <v>100</v>
      </c>
      <c r="X46" s="1265"/>
      <c r="Y46" s="3391"/>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90"/>
      <c r="Q47" s="1263">
        <f t="shared" si="11"/>
        <v>111</v>
      </c>
      <c r="R47" s="667" t="s">
        <v>14</v>
      </c>
      <c r="S47" s="668">
        <f t="shared" si="12"/>
        <v>100</v>
      </c>
      <c r="T47" s="667" t="s">
        <v>14</v>
      </c>
      <c r="U47" s="668">
        <f t="shared" si="13"/>
        <v>100</v>
      </c>
      <c r="V47" s="667" t="s">
        <v>14</v>
      </c>
      <c r="W47" s="668">
        <f t="shared" si="14"/>
        <v>100</v>
      </c>
      <c r="X47" s="1265"/>
      <c r="Y47" s="3392"/>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395" t="str">
        <f>A48</f>
        <v>成交单价（元/平方米）</v>
      </c>
      <c r="Q48" s="3384"/>
      <c r="R48" s="3385">
        <f>E48</f>
        <v>0</v>
      </c>
      <c r="S48" s="3385"/>
      <c r="T48" s="3385">
        <f>G48</f>
        <v>0</v>
      </c>
      <c r="U48" s="3385"/>
      <c r="V48" s="3385">
        <f>I48</f>
        <v>0</v>
      </c>
      <c r="W48" s="3385"/>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395" t="str">
        <f>A49</f>
        <v>比较价值（元/平方米）</v>
      </c>
      <c r="Q49" s="3384"/>
      <c r="R49" s="3385" t="e">
        <f>IF(F1="售价",ROUND(PRODUCT(R48,AA7:AA47),0),ROUND(PRODUCT(R48,AA7:AA47),1))</f>
        <v>#DIV/0!</v>
      </c>
      <c r="S49" s="3385"/>
      <c r="T49" s="3385" t="e">
        <f>IF(F1="售价",ROUND(PRODUCT(T48,AB7:AB47),0),ROUND(PRODUCT(T48,AB7:AB47),1))</f>
        <v>#DIV/0!</v>
      </c>
      <c r="U49" s="3385"/>
      <c r="V49" s="3385" t="e">
        <f>IF(F1="售价",ROUND(PRODUCT(V48,AC7:AC47),0),ROUND(PRODUCT(V48,AC7:AC47),1))</f>
        <v>#DIV/0!</v>
      </c>
      <c r="W49" s="338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48" t="str">
        <f>A50</f>
        <v>估价对象XX用房的比较价值（楼面单价，元/平方米）</v>
      </c>
      <c r="Q50" s="3449"/>
      <c r="R50" s="3450" t="e">
        <f>IF(F1="售价",ROUND(IF(D49="简单平均",AVERAGE(R49:V49),R49*F49+T49*H49+V49*J49),0),ROUND(IF(D49="简单平均",AVERAGE(R49:V49),R49*F49+T49*H49+V49*J49),1))</f>
        <v>#DIV/0!</v>
      </c>
      <c r="S50" s="3450"/>
      <c r="T50" s="3450"/>
      <c r="U50" s="3450"/>
      <c r="V50" s="3450"/>
      <c r="W50" s="3450"/>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184.46</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860"/>
      <c r="M4" s="861"/>
      <c r="N4" s="861"/>
      <c r="O4" s="861"/>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860"/>
      <c r="M5" s="861"/>
      <c r="N5" s="861"/>
      <c r="O5" s="861"/>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860"/>
      <c r="M6" s="861"/>
      <c r="N6" s="861"/>
      <c r="O6" s="861"/>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SUMIF(52:52,YEAR(E7)&amp;"-"&amp;MONTH(E7),53:53)</f>
        <v>0</v>
      </c>
      <c r="G7" s="356"/>
      <c r="H7" s="355">
        <f>SUMIF(52:52,YEAR(G7)&amp;"-"&amp;MONTH(G7),53:53)</f>
        <v>0</v>
      </c>
      <c r="I7" s="356"/>
      <c r="J7" s="355">
        <f>SUMIF(52:52,YEAR(I7)&amp;"-"&amp;MONTH(I7),53:53)</f>
        <v>0</v>
      </c>
      <c r="K7" s="38"/>
      <c r="L7" s="862"/>
      <c r="M7" s="863"/>
      <c r="N7" s="863"/>
      <c r="O7" s="863"/>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9" t="s">
        <v>1683</v>
      </c>
      <c r="Q8" s="3420"/>
      <c r="R8" s="664" t="s">
        <v>14</v>
      </c>
      <c r="S8" s="665">
        <f t="shared" si="0"/>
        <v>100</v>
      </c>
      <c r="T8" s="664" t="s">
        <v>14</v>
      </c>
      <c r="U8" s="665">
        <f t="shared" si="1"/>
        <v>100</v>
      </c>
      <c r="V8" s="664" t="s">
        <v>14</v>
      </c>
      <c r="W8" s="665">
        <f t="shared" si="2"/>
        <v>100</v>
      </c>
      <c r="X8" s="666"/>
      <c r="Y8" s="3419" t="s">
        <v>1683</v>
      </c>
      <c r="Z8" s="342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7"/>
      <c r="Q16" s="1263"/>
      <c r="R16" s="667"/>
      <c r="S16" s="668"/>
      <c r="T16" s="667"/>
      <c r="U16" s="668"/>
      <c r="V16" s="667"/>
      <c r="W16" s="668"/>
      <c r="X16" s="1265"/>
      <c r="Y16" s="3387"/>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7"/>
      <c r="Q18" s="1263"/>
      <c r="R18" s="667"/>
      <c r="S18" s="668"/>
      <c r="T18" s="667"/>
      <c r="U18" s="668"/>
      <c r="V18" s="667"/>
      <c r="W18" s="668"/>
      <c r="X18" s="1265"/>
      <c r="Y18" s="3387"/>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7"/>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7"/>
      <c r="Q20" s="1263"/>
      <c r="R20" s="667"/>
      <c r="S20" s="668"/>
      <c r="T20" s="667"/>
      <c r="U20" s="668"/>
      <c r="V20" s="667"/>
      <c r="W20" s="668"/>
      <c r="X20" s="1265"/>
      <c r="Y20" s="3387"/>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7"/>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7"/>
      <c r="Q22" s="1263"/>
      <c r="R22" s="667"/>
      <c r="S22" s="668"/>
      <c r="T22" s="667"/>
      <c r="U22" s="668"/>
      <c r="V22" s="667"/>
      <c r="W22" s="668"/>
      <c r="X22" s="1265"/>
      <c r="Y22" s="3387"/>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7"/>
      <c r="Q23" s="1263" t="str">
        <f>B23</f>
        <v>环境质量</v>
      </c>
      <c r="R23" s="667" t="s">
        <v>14</v>
      </c>
      <c r="S23" s="668">
        <f>F23</f>
        <v>100</v>
      </c>
      <c r="T23" s="667" t="s">
        <v>14</v>
      </c>
      <c r="U23" s="668">
        <f>H23</f>
        <v>100</v>
      </c>
      <c r="V23" s="667" t="s">
        <v>14</v>
      </c>
      <c r="W23" s="668">
        <f>J23</f>
        <v>100</v>
      </c>
      <c r="X23" s="1265"/>
      <c r="Y23" s="338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7"/>
      <c r="Q24" s="1263"/>
      <c r="R24" s="667"/>
      <c r="S24" s="668"/>
      <c r="T24" s="667"/>
      <c r="U24" s="668"/>
      <c r="V24" s="667"/>
      <c r="W24" s="668"/>
      <c r="X24" s="1265"/>
      <c r="Y24" s="338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7"/>
      <c r="Q25" s="1263">
        <f>B25</f>
        <v>111</v>
      </c>
      <c r="R25" s="667" t="s">
        <v>14</v>
      </c>
      <c r="S25" s="668">
        <f>F25</f>
        <v>100</v>
      </c>
      <c r="T25" s="667" t="s">
        <v>14</v>
      </c>
      <c r="U25" s="668">
        <f>H25</f>
        <v>100</v>
      </c>
      <c r="V25" s="667" t="s">
        <v>14</v>
      </c>
      <c r="W25" s="668">
        <f>J25</f>
        <v>100</v>
      </c>
      <c r="X25" s="1265"/>
      <c r="Y25" s="338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7"/>
      <c r="Q26" s="1263">
        <f t="shared" ref="Q26:Q40" si="11">B26</f>
        <v>111</v>
      </c>
      <c r="R26" s="667" t="s">
        <v>14</v>
      </c>
      <c r="S26" s="668">
        <f>F26</f>
        <v>100</v>
      </c>
      <c r="T26" s="667" t="s">
        <v>14</v>
      </c>
      <c r="U26" s="668">
        <f>H26</f>
        <v>100</v>
      </c>
      <c r="V26" s="667" t="s">
        <v>14</v>
      </c>
      <c r="W26" s="668">
        <f>J26</f>
        <v>100</v>
      </c>
      <c r="X26" s="1265"/>
      <c r="Y26" s="338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7"/>
      <c r="Q27" s="530">
        <f t="shared" si="11"/>
        <v>111</v>
      </c>
      <c r="R27" s="664" t="s">
        <v>14</v>
      </c>
      <c r="S27" s="665">
        <f>F27</f>
        <v>100</v>
      </c>
      <c r="T27" s="664" t="s">
        <v>14</v>
      </c>
      <c r="U27" s="665">
        <f>H27</f>
        <v>100</v>
      </c>
      <c r="V27" s="664" t="s">
        <v>14</v>
      </c>
      <c r="W27" s="665">
        <f>J27</f>
        <v>100</v>
      </c>
      <c r="X27" s="666"/>
      <c r="Y27" s="338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7"/>
      <c r="Q28" s="1263">
        <f t="shared" si="11"/>
        <v>111</v>
      </c>
      <c r="R28" s="667" t="s">
        <v>14</v>
      </c>
      <c r="S28" s="668">
        <f t="shared" ref="S28:S40" si="12">F28</f>
        <v>100</v>
      </c>
      <c r="T28" s="667" t="s">
        <v>14</v>
      </c>
      <c r="U28" s="668">
        <f t="shared" ref="U28:U40" si="13">H28</f>
        <v>100</v>
      </c>
      <c r="V28" s="667" t="s">
        <v>14</v>
      </c>
      <c r="W28" s="668">
        <f t="shared" ref="W28:W40" si="14">J28</f>
        <v>100</v>
      </c>
      <c r="X28" s="1265"/>
      <c r="Y28" s="338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63" t="s">
        <v>1696</v>
      </c>
      <c r="Q29" s="1263" t="str">
        <f t="shared" si="11"/>
        <v>建筑类型</v>
      </c>
      <c r="R29" s="667" t="s">
        <v>14</v>
      </c>
      <c r="S29" s="668">
        <f t="shared" si="12"/>
        <v>100</v>
      </c>
      <c r="T29" s="667" t="s">
        <v>14</v>
      </c>
      <c r="U29" s="668">
        <f t="shared" si="13"/>
        <v>100</v>
      </c>
      <c r="V29" s="667" t="s">
        <v>14</v>
      </c>
      <c r="W29" s="668">
        <f t="shared" si="14"/>
        <v>100</v>
      </c>
      <c r="X29" s="1265"/>
      <c r="Y29" s="339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1"/>
      <c r="Q30" s="531" t="str">
        <f t="shared" si="11"/>
        <v>项目建筑规模</v>
      </c>
      <c r="R30" s="669" t="s">
        <v>14</v>
      </c>
      <c r="S30" s="670" t="e">
        <f t="shared" si="12"/>
        <v>#N/A</v>
      </c>
      <c r="T30" s="669" t="s">
        <v>14</v>
      </c>
      <c r="U30" s="670" t="e">
        <f t="shared" si="13"/>
        <v>#N/A</v>
      </c>
      <c r="V30" s="669" t="s">
        <v>14</v>
      </c>
      <c r="W30" s="670" t="e">
        <f t="shared" si="14"/>
        <v>#N/A</v>
      </c>
      <c r="X30" s="671"/>
      <c r="Y30" s="339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1"/>
      <c r="Q31" s="1263" t="str">
        <f t="shared" si="11"/>
        <v>建筑结构</v>
      </c>
      <c r="R31" s="667" t="s">
        <v>14</v>
      </c>
      <c r="S31" s="668">
        <f t="shared" si="12"/>
        <v>100</v>
      </c>
      <c r="T31" s="667" t="s">
        <v>14</v>
      </c>
      <c r="U31" s="668">
        <f t="shared" si="13"/>
        <v>100</v>
      </c>
      <c r="V31" s="667" t="s">
        <v>14</v>
      </c>
      <c r="W31" s="668">
        <f t="shared" si="14"/>
        <v>100</v>
      </c>
      <c r="X31" s="1265"/>
      <c r="Y31" s="339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1"/>
      <c r="Q32" s="1263" t="str">
        <f t="shared" si="11"/>
        <v>公共部分装修</v>
      </c>
      <c r="R32" s="667" t="s">
        <v>14</v>
      </c>
      <c r="S32" s="668">
        <f t="shared" si="12"/>
        <v>100</v>
      </c>
      <c r="T32" s="667" t="s">
        <v>14</v>
      </c>
      <c r="U32" s="668">
        <f t="shared" si="13"/>
        <v>100</v>
      </c>
      <c r="V32" s="667" t="s">
        <v>14</v>
      </c>
      <c r="W32" s="668">
        <f t="shared" si="14"/>
        <v>100</v>
      </c>
      <c r="X32" s="1265"/>
      <c r="Y32" s="339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1"/>
      <c r="Q33" s="1263" t="str">
        <f t="shared" si="11"/>
        <v>成新度</v>
      </c>
      <c r="R33" s="667" t="s">
        <v>14</v>
      </c>
      <c r="S33" s="668" t="e">
        <f t="shared" si="12"/>
        <v>#N/A</v>
      </c>
      <c r="T33" s="667" t="s">
        <v>14</v>
      </c>
      <c r="U33" s="668" t="e">
        <f t="shared" si="13"/>
        <v>#N/A</v>
      </c>
      <c r="V33" s="667" t="s">
        <v>14</v>
      </c>
      <c r="W33" s="668" t="e">
        <f t="shared" si="14"/>
        <v>#N/A</v>
      </c>
      <c r="X33" s="1265"/>
      <c r="Y33" s="339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1"/>
      <c r="Q34" s="530" t="str">
        <f t="shared" si="11"/>
        <v>物业管理</v>
      </c>
      <c r="R34" s="664" t="s">
        <v>14</v>
      </c>
      <c r="S34" s="665">
        <f t="shared" si="12"/>
        <v>100</v>
      </c>
      <c r="T34" s="664" t="s">
        <v>14</v>
      </c>
      <c r="U34" s="665">
        <f t="shared" si="13"/>
        <v>100</v>
      </c>
      <c r="V34" s="664" t="s">
        <v>14</v>
      </c>
      <c r="W34" s="665">
        <f t="shared" si="14"/>
        <v>100</v>
      </c>
      <c r="X34" s="666"/>
      <c r="Y34" s="339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1" t="s">
        <v>1696</v>
      </c>
      <c r="Q35" s="1263" t="str">
        <f t="shared" si="11"/>
        <v>市政基础设施</v>
      </c>
      <c r="R35" s="667" t="s">
        <v>14</v>
      </c>
      <c r="S35" s="668">
        <f t="shared" si="12"/>
        <v>100</v>
      </c>
      <c r="T35" s="667" t="s">
        <v>14</v>
      </c>
      <c r="U35" s="668">
        <f t="shared" si="13"/>
        <v>100</v>
      </c>
      <c r="V35" s="667" t="s">
        <v>14</v>
      </c>
      <c r="W35" s="668">
        <f t="shared" si="14"/>
        <v>100</v>
      </c>
      <c r="X35" s="1265"/>
      <c r="Y35" s="339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1"/>
      <c r="Q36" s="1263" t="str">
        <f t="shared" si="11"/>
        <v>内部装修</v>
      </c>
      <c r="R36" s="667" t="s">
        <v>14</v>
      </c>
      <c r="S36" s="668">
        <f t="shared" si="12"/>
        <v>100</v>
      </c>
      <c r="T36" s="667" t="s">
        <v>14</v>
      </c>
      <c r="U36" s="668">
        <f t="shared" si="13"/>
        <v>100</v>
      </c>
      <c r="V36" s="667" t="s">
        <v>14</v>
      </c>
      <c r="W36" s="668">
        <f t="shared" si="14"/>
        <v>100</v>
      </c>
      <c r="X36" s="1265"/>
      <c r="Y36" s="339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1"/>
      <c r="Q37" s="1263" t="str">
        <f t="shared" si="11"/>
        <v>内部装修状况</v>
      </c>
      <c r="R37" s="667" t="s">
        <v>14</v>
      </c>
      <c r="S37" s="668">
        <f t="shared" si="12"/>
        <v>100</v>
      </c>
      <c r="T37" s="667" t="s">
        <v>14</v>
      </c>
      <c r="U37" s="668">
        <f t="shared" si="13"/>
        <v>100</v>
      </c>
      <c r="V37" s="667" t="s">
        <v>14</v>
      </c>
      <c r="W37" s="668">
        <f t="shared" si="14"/>
        <v>100</v>
      </c>
      <c r="X37" s="1265"/>
      <c r="Y37" s="339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1"/>
      <c r="Q38" s="531">
        <f t="shared" si="11"/>
        <v>111</v>
      </c>
      <c r="R38" s="669" t="s">
        <v>14</v>
      </c>
      <c r="S38" s="670">
        <f t="shared" si="12"/>
        <v>100</v>
      </c>
      <c r="T38" s="669" t="s">
        <v>14</v>
      </c>
      <c r="U38" s="670">
        <f t="shared" si="13"/>
        <v>100</v>
      </c>
      <c r="V38" s="669" t="s">
        <v>14</v>
      </c>
      <c r="W38" s="670">
        <f t="shared" si="14"/>
        <v>100</v>
      </c>
      <c r="X38" s="671"/>
      <c r="Y38" s="339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1"/>
      <c r="Q39" s="1263">
        <f t="shared" si="11"/>
        <v>111</v>
      </c>
      <c r="R39" s="667" t="s">
        <v>14</v>
      </c>
      <c r="S39" s="668">
        <f t="shared" si="12"/>
        <v>100</v>
      </c>
      <c r="T39" s="667" t="s">
        <v>14</v>
      </c>
      <c r="U39" s="668">
        <f t="shared" si="13"/>
        <v>100</v>
      </c>
      <c r="V39" s="667" t="s">
        <v>14</v>
      </c>
      <c r="W39" s="668">
        <f t="shared" si="14"/>
        <v>100</v>
      </c>
      <c r="X39" s="1265"/>
      <c r="Y39" s="339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2"/>
      <c r="Q40" s="1263">
        <f t="shared" si="11"/>
        <v>111</v>
      </c>
      <c r="R40" s="667" t="s">
        <v>14</v>
      </c>
      <c r="S40" s="668">
        <f t="shared" si="12"/>
        <v>100</v>
      </c>
      <c r="T40" s="667" t="s">
        <v>14</v>
      </c>
      <c r="U40" s="668">
        <f t="shared" si="13"/>
        <v>100</v>
      </c>
      <c r="V40" s="667" t="s">
        <v>14</v>
      </c>
      <c r="W40" s="668">
        <f t="shared" si="14"/>
        <v>100</v>
      </c>
      <c r="X40" s="1265"/>
      <c r="Y40" s="339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384" t="str">
        <f>A42</f>
        <v>比较价值（元/平方米）</v>
      </c>
      <c r="Q42" s="3384"/>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1" t="str">
        <f>A43</f>
        <v>估价对象XX用房的比较价值（楼面单价，元/平方米）</v>
      </c>
      <c r="Q43" s="3382"/>
      <c r="R43" s="3383" t="e">
        <f>IF(F1="售价",ROUND(IF(D42="简单平均",AVERAGE(R42:V42),R42*F42+T42*H42+V42*J42),0),ROUND(IF(D42="简单平均",AVERAGE(R42:V42),R42*F42+T42*H42+V42*J42),1))</f>
        <v>#DIV/0!</v>
      </c>
      <c r="S43" s="3383"/>
      <c r="T43" s="3383"/>
      <c r="U43" s="3383"/>
      <c r="V43" s="3383"/>
      <c r="W43" s="338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SUMIF(48:48,YEAR(E7)&amp;"-"&amp;MONTH(E7),49:49)</f>
        <v>0</v>
      </c>
      <c r="G7" s="356"/>
      <c r="H7" s="355">
        <f>SUMIF(48:48,YEAR(G7)&amp;"-"&amp;MONTH(G7),49:49)</f>
        <v>0</v>
      </c>
      <c r="I7" s="356"/>
      <c r="J7" s="355">
        <f>SUMIF(48:48,YEAR(I7)&amp;"-"&amp;MONTH(I7),49:49)</f>
        <v>0</v>
      </c>
      <c r="K7" s="38"/>
      <c r="L7" s="2487"/>
      <c r="M7" s="2438"/>
      <c r="N7" s="2438"/>
      <c r="O7" s="2438"/>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384" t="s">
        <v>1686</v>
      </c>
      <c r="Q9" s="530" t="str">
        <f t="shared" ref="Q9:Q14" si="6">B9</f>
        <v>用途</v>
      </c>
      <c r="R9" s="664" t="s">
        <v>14</v>
      </c>
      <c r="S9" s="665">
        <f t="shared" si="0"/>
        <v>100</v>
      </c>
      <c r="T9" s="664" t="s">
        <v>14</v>
      </c>
      <c r="U9" s="665">
        <f t="shared" si="1"/>
        <v>100</v>
      </c>
      <c r="V9" s="664" t="s">
        <v>14</v>
      </c>
      <c r="W9" s="665">
        <f t="shared" si="2"/>
        <v>100</v>
      </c>
      <c r="X9" s="666"/>
      <c r="Y9" s="328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84"/>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84"/>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87"/>
      <c r="Q15" s="1263"/>
      <c r="R15" s="667"/>
      <c r="S15" s="668"/>
      <c r="T15" s="667"/>
      <c r="U15" s="668"/>
      <c r="V15" s="667"/>
      <c r="W15" s="668"/>
      <c r="X15" s="1265"/>
      <c r="Y15" s="3387"/>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87"/>
      <c r="Q17" s="1263"/>
      <c r="R17" s="667"/>
      <c r="S17" s="668"/>
      <c r="T17" s="667"/>
      <c r="U17" s="668"/>
      <c r="V17" s="667"/>
      <c r="W17" s="668"/>
      <c r="X17" s="1265"/>
      <c r="Y17" s="3387"/>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87"/>
      <c r="Q19" s="1263"/>
      <c r="R19" s="667"/>
      <c r="S19" s="668"/>
      <c r="T19" s="667"/>
      <c r="U19" s="668"/>
      <c r="V19" s="667"/>
      <c r="W19" s="668"/>
      <c r="X19" s="1265"/>
      <c r="Y19" s="3387"/>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87"/>
      <c r="Q21" s="1263"/>
      <c r="R21" s="667"/>
      <c r="S21" s="668"/>
      <c r="T21" s="667"/>
      <c r="U21" s="668"/>
      <c r="V21" s="667"/>
      <c r="W21" s="668"/>
      <c r="X21" s="1265"/>
      <c r="Y21" s="338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87"/>
      <c r="Q24" s="1263">
        <f t="shared" ref="Q24:Q36"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63"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91"/>
      <c r="Q27" s="531" t="str">
        <f t="shared" si="11"/>
        <v>项目停车位配比</v>
      </c>
      <c r="R27" s="669" t="s">
        <v>14</v>
      </c>
      <c r="S27" s="670">
        <f t="shared" si="12"/>
        <v>100</v>
      </c>
      <c r="T27" s="669" t="s">
        <v>14</v>
      </c>
      <c r="U27" s="670">
        <f t="shared" si="13"/>
        <v>100</v>
      </c>
      <c r="V27" s="669" t="s">
        <v>14</v>
      </c>
      <c r="W27" s="670">
        <f t="shared" si="14"/>
        <v>100</v>
      </c>
      <c r="X27" s="671"/>
      <c r="Y27" s="339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91"/>
      <c r="Q28" s="1263" t="str">
        <f t="shared" si="11"/>
        <v>公共部分装修</v>
      </c>
      <c r="R28" s="667" t="s">
        <v>14</v>
      </c>
      <c r="S28" s="668">
        <f t="shared" si="12"/>
        <v>100</v>
      </c>
      <c r="T28" s="667" t="s">
        <v>14</v>
      </c>
      <c r="U28" s="668">
        <f t="shared" si="13"/>
        <v>100</v>
      </c>
      <c r="V28" s="667" t="s">
        <v>14</v>
      </c>
      <c r="W28" s="668">
        <f t="shared" si="14"/>
        <v>100</v>
      </c>
      <c r="X28" s="1265"/>
      <c r="Y28" s="339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91"/>
      <c r="Q29" s="1263" t="str">
        <f t="shared" si="11"/>
        <v>成新率</v>
      </c>
      <c r="R29" s="667" t="s">
        <v>14</v>
      </c>
      <c r="S29" s="668" t="e">
        <f t="shared" si="12"/>
        <v>#N/A</v>
      </c>
      <c r="T29" s="667" t="s">
        <v>14</v>
      </c>
      <c r="U29" s="668" t="e">
        <f t="shared" si="13"/>
        <v>#N/A</v>
      </c>
      <c r="V29" s="667" t="s">
        <v>14</v>
      </c>
      <c r="W29" s="668" t="e">
        <f t="shared" si="14"/>
        <v>#N/A</v>
      </c>
      <c r="X29" s="1265"/>
      <c r="Y29" s="339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91"/>
      <c r="Q30" s="1263" t="str">
        <f t="shared" si="11"/>
        <v>物业等级</v>
      </c>
      <c r="R30" s="667" t="s">
        <v>14</v>
      </c>
      <c r="S30" s="668">
        <f t="shared" si="12"/>
        <v>100</v>
      </c>
      <c r="T30" s="667" t="s">
        <v>14</v>
      </c>
      <c r="U30" s="668">
        <f t="shared" si="13"/>
        <v>100</v>
      </c>
      <c r="V30" s="667" t="s">
        <v>14</v>
      </c>
      <c r="W30" s="668">
        <f t="shared" si="14"/>
        <v>100</v>
      </c>
      <c r="X30" s="1265"/>
      <c r="Y30" s="339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391"/>
      <c r="Q31" s="530" t="str">
        <f t="shared" si="11"/>
        <v>停车位面积</v>
      </c>
      <c r="R31" s="664" t="s">
        <v>14</v>
      </c>
      <c r="S31" s="665" t="e">
        <f t="shared" si="12"/>
        <v>#N/A</v>
      </c>
      <c r="T31" s="664" t="s">
        <v>14</v>
      </c>
      <c r="U31" s="665" t="e">
        <f t="shared" si="13"/>
        <v>#N/A</v>
      </c>
      <c r="V31" s="664" t="s">
        <v>14</v>
      </c>
      <c r="W31" s="665" t="e">
        <f t="shared" si="14"/>
        <v>#N/A</v>
      </c>
      <c r="X31" s="666"/>
      <c r="Y31" s="339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91" t="s">
        <v>1696</v>
      </c>
      <c r="Q32" s="1263" t="str">
        <f t="shared" si="11"/>
        <v>车位类型</v>
      </c>
      <c r="R32" s="667" t="s">
        <v>14</v>
      </c>
      <c r="S32" s="668">
        <f t="shared" si="12"/>
        <v>100</v>
      </c>
      <c r="T32" s="667" t="s">
        <v>14</v>
      </c>
      <c r="U32" s="668">
        <f t="shared" si="13"/>
        <v>100</v>
      </c>
      <c r="V32" s="667" t="s">
        <v>14</v>
      </c>
      <c r="W32" s="668">
        <f t="shared" si="14"/>
        <v>100</v>
      </c>
      <c r="X32" s="1265"/>
      <c r="Y32" s="339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91"/>
      <c r="Q33" s="1263" t="str">
        <f t="shared" si="11"/>
        <v>是否直接入户</v>
      </c>
      <c r="R33" s="667" t="s">
        <v>14</v>
      </c>
      <c r="S33" s="668">
        <f t="shared" si="12"/>
        <v>100</v>
      </c>
      <c r="T33" s="667" t="s">
        <v>14</v>
      </c>
      <c r="U33" s="668">
        <f t="shared" si="13"/>
        <v>100</v>
      </c>
      <c r="V33" s="667" t="s">
        <v>14</v>
      </c>
      <c r="W33" s="668">
        <f t="shared" si="14"/>
        <v>100</v>
      </c>
      <c r="X33" s="1265"/>
      <c r="Y33" s="339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91"/>
      <c r="Q35" s="531">
        <f t="shared" si="11"/>
        <v>111</v>
      </c>
      <c r="R35" s="669" t="s">
        <v>14</v>
      </c>
      <c r="S35" s="670">
        <f t="shared" si="12"/>
        <v>100</v>
      </c>
      <c r="T35" s="669" t="s">
        <v>14</v>
      </c>
      <c r="U35" s="670">
        <f t="shared" si="13"/>
        <v>100</v>
      </c>
      <c r="V35" s="669" t="s">
        <v>14</v>
      </c>
      <c r="W35" s="670">
        <f t="shared" si="14"/>
        <v>100</v>
      </c>
      <c r="X35" s="671"/>
      <c r="Y35" s="339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91"/>
      <c r="Q36" s="1263">
        <f t="shared" si="11"/>
        <v>111</v>
      </c>
      <c r="R36" s="667" t="s">
        <v>14</v>
      </c>
      <c r="S36" s="668">
        <f t="shared" si="12"/>
        <v>100</v>
      </c>
      <c r="T36" s="667" t="s">
        <v>14</v>
      </c>
      <c r="U36" s="668">
        <f t="shared" si="13"/>
        <v>100</v>
      </c>
      <c r="V36" s="667" t="s">
        <v>14</v>
      </c>
      <c r="W36" s="668">
        <f t="shared" si="14"/>
        <v>100</v>
      </c>
      <c r="X36" s="1265"/>
      <c r="Y36" s="3391"/>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384" t="str">
        <f>A37</f>
        <v>成交单价</v>
      </c>
      <c r="Q37" s="3384"/>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384" t="str">
        <f>A38</f>
        <v>比较价值（元/平方米）</v>
      </c>
      <c r="Q38" s="3384"/>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381" t="str">
        <f>A39</f>
        <v>估价对象XX用房的比较价值（楼面单价，元/平方米）</v>
      </c>
      <c r="Q39" s="3382"/>
      <c r="R39" s="3464" t="e">
        <f>IF(F1="售价",ROUND(IF(D38="简单平均",AVERAGE(R38:W38),R38*F38+T38*H38+V38*J38),0),ROUND(IF(D38="简单平均",AVERAGE(R38:V38),R38*F38+T38*H38+V38*J38),1))</f>
        <v>#DIV/0!</v>
      </c>
      <c r="S39" s="3464"/>
      <c r="T39" s="3464"/>
      <c r="U39" s="3464"/>
      <c r="V39" s="3464"/>
      <c r="W39" s="3464"/>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估价对象为北京市房地产，为所有。根据《国有土地使用证》[]，估价对象（分摊）出让国有建设用地使用权面积为0平方米，建筑面积为184.46平方米。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估价对象为北京市房地产,属开发建设的，该项目尚在开发建设中。根据《国有土地使用证》[]，估价对象（分摊）出让国有建设用地使用权面积为0平方米，规划建筑面积为184.46平方米。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2025年12月23日（评估专业人员实地查勘之日）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23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SUMIF(46:46,YEAR(E7)&amp;"-"&amp;MONTH(E7),47:47)</f>
        <v>0</v>
      </c>
      <c r="G7" s="1820"/>
      <c r="H7" s="355">
        <f>SUMIF(46:46,YEAR(G7)&amp;"-"&amp;MONTH(G7),47:47)</f>
        <v>0</v>
      </c>
      <c r="I7" s="356"/>
      <c r="J7" s="355">
        <f>SUMIF(46:46,YEAR(I7)&amp;"-"&amp;MONTH(I7),47:47)</f>
        <v>0</v>
      </c>
      <c r="K7" s="38"/>
      <c r="L7" s="2487"/>
      <c r="M7" s="2438"/>
      <c r="N7" s="2438"/>
      <c r="O7" s="2438"/>
      <c r="P7" s="3419" t="s">
        <v>1680</v>
      </c>
      <c r="Q7" s="3421"/>
      <c r="R7" s="664" t="s">
        <v>14</v>
      </c>
      <c r="S7" s="665">
        <f t="shared" ref="S7:S14" si="0">F7</f>
        <v>0</v>
      </c>
      <c r="T7" s="664" t="s">
        <v>14</v>
      </c>
      <c r="U7" s="665">
        <f t="shared" ref="U7:U14" si="1">H7</f>
        <v>0</v>
      </c>
      <c r="V7" s="664" t="s">
        <v>14</v>
      </c>
      <c r="W7" s="665">
        <f t="shared" ref="W7:W14" si="2">J7</f>
        <v>0</v>
      </c>
      <c r="X7" s="666"/>
      <c r="Y7" s="3419" t="s">
        <v>1680</v>
      </c>
      <c r="Z7" s="342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384" t="s">
        <v>1686</v>
      </c>
      <c r="Q9" s="530" t="str">
        <f t="shared" ref="Q9:Q14" si="6">B9</f>
        <v>用途</v>
      </c>
      <c r="R9" s="664" t="s">
        <v>14</v>
      </c>
      <c r="S9" s="665">
        <f t="shared" si="0"/>
        <v>100</v>
      </c>
      <c r="T9" s="664" t="s">
        <v>14</v>
      </c>
      <c r="U9" s="665">
        <f t="shared" si="1"/>
        <v>100</v>
      </c>
      <c r="V9" s="664" t="s">
        <v>14</v>
      </c>
      <c r="W9" s="665">
        <f t="shared" si="2"/>
        <v>100</v>
      </c>
      <c r="X9" s="666"/>
      <c r="Y9" s="328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84"/>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84"/>
      <c r="Q11" s="530">
        <f t="shared" si="6"/>
        <v>111</v>
      </c>
      <c r="R11" s="664" t="s">
        <v>14</v>
      </c>
      <c r="S11" s="665">
        <f t="shared" si="0"/>
        <v>100</v>
      </c>
      <c r="T11" s="664" t="s">
        <v>14</v>
      </c>
      <c r="U11" s="665">
        <f t="shared" si="1"/>
        <v>100</v>
      </c>
      <c r="V11" s="664" t="s">
        <v>14</v>
      </c>
      <c r="W11" s="665">
        <f t="shared" si="2"/>
        <v>100</v>
      </c>
      <c r="X11" s="666"/>
      <c r="Y11" s="328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86" t="s">
        <v>1691</v>
      </c>
      <c r="Q14" s="1263" t="str">
        <f t="shared" si="6"/>
        <v>交通便捷度</v>
      </c>
      <c r="R14" s="667" t="s">
        <v>14</v>
      </c>
      <c r="S14" s="668">
        <f t="shared" si="0"/>
        <v>100</v>
      </c>
      <c r="T14" s="667" t="s">
        <v>14</v>
      </c>
      <c r="U14" s="668">
        <f t="shared" si="1"/>
        <v>100</v>
      </c>
      <c r="V14" s="667" t="s">
        <v>14</v>
      </c>
      <c r="W14" s="668">
        <f t="shared" si="2"/>
        <v>100</v>
      </c>
      <c r="X14" s="1265"/>
      <c r="Y14" s="338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87"/>
      <c r="Q15" s="1263"/>
      <c r="R15" s="667"/>
      <c r="S15" s="668"/>
      <c r="T15" s="667"/>
      <c r="U15" s="668"/>
      <c r="V15" s="667"/>
      <c r="W15" s="668"/>
      <c r="X15" s="1265"/>
      <c r="Y15" s="3387"/>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87"/>
      <c r="Q16" s="1263" t="str">
        <f>B16</f>
        <v>公共配套设施</v>
      </c>
      <c r="R16" s="667" t="s">
        <v>14</v>
      </c>
      <c r="S16" s="668">
        <f>F16</f>
        <v>100</v>
      </c>
      <c r="T16" s="667" t="s">
        <v>14</v>
      </c>
      <c r="U16" s="668">
        <f>H16</f>
        <v>100</v>
      </c>
      <c r="V16" s="667" t="s">
        <v>14</v>
      </c>
      <c r="W16" s="668">
        <f>J16</f>
        <v>100</v>
      </c>
      <c r="X16" s="1265"/>
      <c r="Y16" s="338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87"/>
      <c r="Q17" s="1263"/>
      <c r="R17" s="667"/>
      <c r="S17" s="668"/>
      <c r="T17" s="667"/>
      <c r="U17" s="668"/>
      <c r="V17" s="667"/>
      <c r="W17" s="668"/>
      <c r="X17" s="1265"/>
      <c r="Y17" s="3387"/>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87"/>
      <c r="Q18" s="1263" t="str">
        <f>B18</f>
        <v>基础设施水平</v>
      </c>
      <c r="R18" s="667" t="s">
        <v>14</v>
      </c>
      <c r="S18" s="668">
        <f>F18</f>
        <v>100</v>
      </c>
      <c r="T18" s="667" t="s">
        <v>14</v>
      </c>
      <c r="U18" s="668">
        <f>H18</f>
        <v>100</v>
      </c>
      <c r="V18" s="667" t="s">
        <v>14</v>
      </c>
      <c r="W18" s="668">
        <f>J18</f>
        <v>100</v>
      </c>
      <c r="X18" s="1265"/>
      <c r="Y18" s="338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87"/>
      <c r="Q19" s="1263"/>
      <c r="R19" s="667"/>
      <c r="S19" s="668"/>
      <c r="T19" s="667"/>
      <c r="U19" s="668"/>
      <c r="V19" s="667"/>
      <c r="W19" s="668"/>
      <c r="X19" s="1265"/>
      <c r="Y19" s="3387"/>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87"/>
      <c r="Q20" s="1263" t="str">
        <f>B20</f>
        <v>自然及人文环境</v>
      </c>
      <c r="R20" s="667" t="s">
        <v>14</v>
      </c>
      <c r="S20" s="668">
        <f>F20</f>
        <v>100</v>
      </c>
      <c r="T20" s="667" t="s">
        <v>14</v>
      </c>
      <c r="U20" s="668">
        <f>H20</f>
        <v>100</v>
      </c>
      <c r="V20" s="667" t="s">
        <v>14</v>
      </c>
      <c r="W20" s="668">
        <f>J20</f>
        <v>100</v>
      </c>
      <c r="X20" s="1265"/>
      <c r="Y20" s="338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87"/>
      <c r="Q21" s="1263"/>
      <c r="R21" s="667"/>
      <c r="S21" s="668"/>
      <c r="T21" s="667"/>
      <c r="U21" s="668"/>
      <c r="V21" s="667"/>
      <c r="W21" s="668"/>
      <c r="X21" s="1265"/>
      <c r="Y21" s="338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87"/>
      <c r="Q22" s="1263" t="str">
        <f>B22</f>
        <v>楼层</v>
      </c>
      <c r="R22" s="667" t="s">
        <v>14</v>
      </c>
      <c r="S22" s="668">
        <f>F22</f>
        <v>100</v>
      </c>
      <c r="T22" s="667" t="s">
        <v>14</v>
      </c>
      <c r="U22" s="668">
        <f>H22</f>
        <v>100</v>
      </c>
      <c r="V22" s="667" t="s">
        <v>14</v>
      </c>
      <c r="W22" s="668">
        <f>J22</f>
        <v>100</v>
      </c>
      <c r="X22" s="1265"/>
      <c r="Y22" s="338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87"/>
      <c r="Q23" s="1263">
        <f>B23</f>
        <v>111</v>
      </c>
      <c r="R23" s="667" t="s">
        <v>14</v>
      </c>
      <c r="S23" s="668">
        <f>F23</f>
        <v>100</v>
      </c>
      <c r="T23" s="667" t="s">
        <v>14</v>
      </c>
      <c r="U23" s="668">
        <f>H23</f>
        <v>100</v>
      </c>
      <c r="V23" s="667" t="s">
        <v>14</v>
      </c>
      <c r="W23" s="668">
        <f>J23</f>
        <v>100</v>
      </c>
      <c r="X23" s="1265"/>
      <c r="Y23" s="338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87"/>
      <c r="Q24" s="1263">
        <f t="shared" ref="Q24:Q34" si="11">B24</f>
        <v>111</v>
      </c>
      <c r="R24" s="667" t="s">
        <v>14</v>
      </c>
      <c r="S24" s="668">
        <f>F24</f>
        <v>100</v>
      </c>
      <c r="T24" s="667" t="s">
        <v>14</v>
      </c>
      <c r="U24" s="668">
        <f>H24</f>
        <v>100</v>
      </c>
      <c r="V24" s="667" t="s">
        <v>14</v>
      </c>
      <c r="W24" s="668">
        <f>J24</f>
        <v>100</v>
      </c>
      <c r="X24" s="1265"/>
      <c r="Y24" s="3387"/>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387"/>
      <c r="Q25" s="530">
        <f t="shared" si="11"/>
        <v>111</v>
      </c>
      <c r="R25" s="664" t="s">
        <v>14</v>
      </c>
      <c r="S25" s="665">
        <f>F25</f>
        <v>100</v>
      </c>
      <c r="T25" s="664" t="s">
        <v>14</v>
      </c>
      <c r="U25" s="665">
        <f>H25</f>
        <v>100</v>
      </c>
      <c r="V25" s="664" t="s">
        <v>14</v>
      </c>
      <c r="W25" s="665">
        <f>J25</f>
        <v>100</v>
      </c>
      <c r="X25" s="666"/>
      <c r="Y25" s="338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63"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91"/>
      <c r="Q27" s="531" t="str">
        <f t="shared" si="11"/>
        <v>成新率</v>
      </c>
      <c r="R27" s="669" t="s">
        <v>14</v>
      </c>
      <c r="S27" s="670" t="e">
        <f t="shared" si="12"/>
        <v>#N/A</v>
      </c>
      <c r="T27" s="669" t="s">
        <v>14</v>
      </c>
      <c r="U27" s="670" t="e">
        <f t="shared" si="13"/>
        <v>#N/A</v>
      </c>
      <c r="V27" s="669" t="s">
        <v>14</v>
      </c>
      <c r="W27" s="670" t="e">
        <f t="shared" si="14"/>
        <v>#N/A</v>
      </c>
      <c r="X27" s="671"/>
      <c r="Y27" s="339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91"/>
      <c r="Q28" s="1263" t="str">
        <f t="shared" si="11"/>
        <v>物业等级</v>
      </c>
      <c r="R28" s="667" t="s">
        <v>14</v>
      </c>
      <c r="S28" s="668">
        <f t="shared" si="12"/>
        <v>100</v>
      </c>
      <c r="T28" s="667" t="s">
        <v>14</v>
      </c>
      <c r="U28" s="668">
        <f t="shared" si="13"/>
        <v>100</v>
      </c>
      <c r="V28" s="667" t="s">
        <v>14</v>
      </c>
      <c r="W28" s="668">
        <f t="shared" si="14"/>
        <v>100</v>
      </c>
      <c r="X28" s="1265"/>
      <c r="Y28" s="339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91"/>
      <c r="Q29" s="1263" t="str">
        <f t="shared" si="11"/>
        <v>有无电梯</v>
      </c>
      <c r="R29" s="667" t="s">
        <v>14</v>
      </c>
      <c r="S29" s="668">
        <f t="shared" si="12"/>
        <v>100</v>
      </c>
      <c r="T29" s="667" t="s">
        <v>14</v>
      </c>
      <c r="U29" s="668">
        <f t="shared" si="13"/>
        <v>100</v>
      </c>
      <c r="V29" s="667" t="s">
        <v>14</v>
      </c>
      <c r="W29" s="668">
        <f t="shared" si="14"/>
        <v>100</v>
      </c>
      <c r="X29" s="1265"/>
      <c r="Y29" s="339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91"/>
      <c r="Q30" s="1263" t="str">
        <f t="shared" si="11"/>
        <v>建筑面积</v>
      </c>
      <c r="R30" s="667" t="s">
        <v>14</v>
      </c>
      <c r="S30" s="668" t="e">
        <f t="shared" si="12"/>
        <v>#N/A</v>
      </c>
      <c r="T30" s="667" t="s">
        <v>14</v>
      </c>
      <c r="U30" s="668" t="e">
        <f t="shared" si="13"/>
        <v>#N/A</v>
      </c>
      <c r="V30" s="667" t="s">
        <v>14</v>
      </c>
      <c r="W30" s="668" t="e">
        <f t="shared" si="14"/>
        <v>#N/A</v>
      </c>
      <c r="X30" s="1265"/>
      <c r="Y30" s="339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391"/>
      <c r="Q31" s="530" t="str">
        <f t="shared" si="11"/>
        <v>是否封闭</v>
      </c>
      <c r="R31" s="664" t="s">
        <v>14</v>
      </c>
      <c r="S31" s="665">
        <f t="shared" si="12"/>
        <v>100</v>
      </c>
      <c r="T31" s="664" t="s">
        <v>14</v>
      </c>
      <c r="U31" s="665">
        <f t="shared" si="13"/>
        <v>100</v>
      </c>
      <c r="V31" s="664" t="s">
        <v>14</v>
      </c>
      <c r="W31" s="665">
        <f t="shared" si="14"/>
        <v>100</v>
      </c>
      <c r="X31" s="666"/>
      <c r="Y31" s="339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91" t="s">
        <v>1696</v>
      </c>
      <c r="Q32" s="1263">
        <f t="shared" si="11"/>
        <v>111</v>
      </c>
      <c r="R32" s="667" t="s">
        <v>14</v>
      </c>
      <c r="S32" s="668">
        <f t="shared" si="12"/>
        <v>100</v>
      </c>
      <c r="T32" s="667" t="s">
        <v>14</v>
      </c>
      <c r="U32" s="668">
        <f t="shared" si="13"/>
        <v>100</v>
      </c>
      <c r="V32" s="667" t="s">
        <v>14</v>
      </c>
      <c r="W32" s="668">
        <f t="shared" si="14"/>
        <v>100</v>
      </c>
      <c r="X32" s="1265"/>
      <c r="Y32" s="339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91"/>
      <c r="Q33" s="1263">
        <f t="shared" si="11"/>
        <v>111</v>
      </c>
      <c r="R33" s="667" t="s">
        <v>14</v>
      </c>
      <c r="S33" s="668">
        <f t="shared" si="12"/>
        <v>100</v>
      </c>
      <c r="T33" s="667" t="s">
        <v>14</v>
      </c>
      <c r="U33" s="668">
        <f t="shared" si="13"/>
        <v>100</v>
      </c>
      <c r="V33" s="667" t="s">
        <v>14</v>
      </c>
      <c r="W33" s="668">
        <f t="shared" si="14"/>
        <v>100</v>
      </c>
      <c r="X33" s="1265"/>
      <c r="Y33" s="3391"/>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391"/>
      <c r="Q34" s="1263">
        <f t="shared" si="11"/>
        <v>111</v>
      </c>
      <c r="R34" s="667" t="s">
        <v>14</v>
      </c>
      <c r="S34" s="668">
        <f t="shared" si="12"/>
        <v>100</v>
      </c>
      <c r="T34" s="667" t="s">
        <v>14</v>
      </c>
      <c r="U34" s="668">
        <f t="shared" si="13"/>
        <v>100</v>
      </c>
      <c r="V34" s="667" t="s">
        <v>14</v>
      </c>
      <c r="W34" s="668">
        <f t="shared" si="14"/>
        <v>100</v>
      </c>
      <c r="X34" s="1265"/>
      <c r="Y34" s="339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384" t="str">
        <f>A35</f>
        <v>成交单价（元/平方米）</v>
      </c>
      <c r="Q35" s="3384"/>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384" t="str">
        <f>A36</f>
        <v>比较价值（元/平方米）</v>
      </c>
      <c r="Q36" s="3384"/>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381" t="str">
        <f>A37</f>
        <v>估价对象XX用房的比较价值（楼面单价，元/平方米）</v>
      </c>
      <c r="Q37" s="3382"/>
      <c r="R37" s="3464" t="e">
        <f>IF(F1="售价",ROUND(IF(D36="简单平均",AVERAGE(R36:W36),R36*F36+T36*H36+V36*J36),0),ROUND(IF(D36="简单平均",AVERAGE(R36:V36),R36*F36+T36*H36+V36*J36),1))</f>
        <v>#DIV/0!</v>
      </c>
      <c r="S37" s="3464"/>
      <c r="T37" s="3464"/>
      <c r="U37" s="3464"/>
      <c r="V37" s="3464"/>
      <c r="W37" s="3464"/>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19" t="s">
        <v>1683</v>
      </c>
      <c r="Q8" s="3420"/>
      <c r="R8" s="664" t="s">
        <v>14</v>
      </c>
      <c r="S8" s="665">
        <f t="shared" si="0"/>
        <v>0</v>
      </c>
      <c r="T8" s="664" t="s">
        <v>14</v>
      </c>
      <c r="U8" s="665">
        <f t="shared" si="1"/>
        <v>0</v>
      </c>
      <c r="V8" s="664" t="s">
        <v>14</v>
      </c>
      <c r="W8" s="665">
        <f t="shared" si="2"/>
        <v>0</v>
      </c>
      <c r="X8" s="666"/>
      <c r="Y8" s="3419" t="s">
        <v>1683</v>
      </c>
      <c r="Z8" s="3420"/>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384"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106</v>
      </c>
      <c r="G10" s="402"/>
      <c r="H10" s="119">
        <f>ROUND(100/'数据-取费表'!G16,0)</f>
        <v>106</v>
      </c>
      <c r="I10" s="402"/>
      <c r="J10" s="119">
        <f>ROUND(100/'数据-取费表'!G16,0)</f>
        <v>106</v>
      </c>
      <c r="K10" s="592"/>
      <c r="L10" s="2488"/>
      <c r="M10" s="2489"/>
      <c r="N10" s="2489"/>
      <c r="O10" s="2540"/>
      <c r="P10" s="3384"/>
      <c r="Q10" s="530" t="str">
        <f t="shared" si="6"/>
        <v>土地使用年限（年）</v>
      </c>
      <c r="R10" s="664" t="s">
        <v>14</v>
      </c>
      <c r="S10" s="665">
        <f t="shared" si="0"/>
        <v>106</v>
      </c>
      <c r="T10" s="664" t="s">
        <v>14</v>
      </c>
      <c r="U10" s="665">
        <f t="shared" si="1"/>
        <v>106</v>
      </c>
      <c r="V10" s="664" t="s">
        <v>14</v>
      </c>
      <c r="W10" s="665">
        <f t="shared" si="2"/>
        <v>106</v>
      </c>
      <c r="X10" s="666"/>
      <c r="Y10" s="328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84"/>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384"/>
      <c r="Q12" s="530" t="str">
        <f t="shared" si="6"/>
        <v>配建</v>
      </c>
      <c r="R12" s="664" t="s">
        <v>14</v>
      </c>
      <c r="S12" s="665">
        <f t="shared" si="0"/>
        <v>100</v>
      </c>
      <c r="T12" s="664" t="s">
        <v>14</v>
      </c>
      <c r="U12" s="665">
        <f t="shared" si="1"/>
        <v>100</v>
      </c>
      <c r="V12" s="664" t="s">
        <v>14</v>
      </c>
      <c r="W12" s="665">
        <f t="shared" si="2"/>
        <v>100</v>
      </c>
      <c r="X12" s="666"/>
      <c r="Y12" s="328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84"/>
      <c r="Q14" s="530">
        <f t="shared" si="6"/>
        <v>111</v>
      </c>
      <c r="R14" s="664" t="s">
        <v>14</v>
      </c>
      <c r="S14" s="665">
        <f t="shared" si="0"/>
        <v>100</v>
      </c>
      <c r="T14" s="664" t="s">
        <v>14</v>
      </c>
      <c r="U14" s="665">
        <f t="shared" si="1"/>
        <v>100</v>
      </c>
      <c r="V14" s="664" t="s">
        <v>14</v>
      </c>
      <c r="W14" s="665">
        <f t="shared" si="2"/>
        <v>100</v>
      </c>
      <c r="X14" s="666"/>
      <c r="Y14" s="328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86"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87"/>
      <c r="Q16" s="1263"/>
      <c r="R16" s="667"/>
      <c r="S16" s="668"/>
      <c r="T16" s="667"/>
      <c r="U16" s="668"/>
      <c r="V16" s="667"/>
      <c r="W16" s="668"/>
      <c r="X16" s="1265"/>
      <c r="Y16" s="3387"/>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87"/>
      <c r="Q17" s="1263" t="str">
        <f>B17</f>
        <v>商业繁华度</v>
      </c>
      <c r="R17" s="667" t="s">
        <v>14</v>
      </c>
      <c r="S17" s="668">
        <f>F17</f>
        <v>100</v>
      </c>
      <c r="T17" s="667" t="s">
        <v>14</v>
      </c>
      <c r="U17" s="668">
        <f>H17</f>
        <v>100</v>
      </c>
      <c r="V17" s="667" t="s">
        <v>14</v>
      </c>
      <c r="W17" s="668">
        <f>J17</f>
        <v>100</v>
      </c>
      <c r="X17" s="1265"/>
      <c r="Y17" s="338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87"/>
      <c r="Q18" s="1263"/>
      <c r="R18" s="667"/>
      <c r="S18" s="668"/>
      <c r="T18" s="667"/>
      <c r="U18" s="668"/>
      <c r="V18" s="667"/>
      <c r="W18" s="668"/>
      <c r="X18" s="1265"/>
      <c r="Y18" s="3387"/>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87"/>
      <c r="Q19" s="1263" t="str">
        <f>B19</f>
        <v>办公集聚程度</v>
      </c>
      <c r="R19" s="667" t="s">
        <v>14</v>
      </c>
      <c r="S19" s="668">
        <f>F19</f>
        <v>100</v>
      </c>
      <c r="T19" s="667" t="s">
        <v>14</v>
      </c>
      <c r="U19" s="668">
        <f>H19</f>
        <v>100</v>
      </c>
      <c r="V19" s="667" t="s">
        <v>14</v>
      </c>
      <c r="W19" s="668">
        <f>J19</f>
        <v>100</v>
      </c>
      <c r="X19" s="1265"/>
      <c r="Y19" s="338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87"/>
      <c r="Q20" s="1263"/>
      <c r="R20" s="667"/>
      <c r="S20" s="668"/>
      <c r="T20" s="667"/>
      <c r="U20" s="668"/>
      <c r="V20" s="667"/>
      <c r="W20" s="668"/>
      <c r="X20" s="1265"/>
      <c r="Y20" s="3387"/>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87"/>
      <c r="Q21" s="1263" t="str">
        <f>B21</f>
        <v>交通便捷度</v>
      </c>
      <c r="R21" s="667" t="s">
        <v>14</v>
      </c>
      <c r="S21" s="668">
        <f>F21</f>
        <v>100</v>
      </c>
      <c r="T21" s="667" t="s">
        <v>14</v>
      </c>
      <c r="U21" s="668">
        <f>H21</f>
        <v>100</v>
      </c>
      <c r="V21" s="667" t="s">
        <v>14</v>
      </c>
      <c r="W21" s="668">
        <f>J21</f>
        <v>100</v>
      </c>
      <c r="X21" s="1265"/>
      <c r="Y21" s="338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87"/>
      <c r="Q22" s="1263"/>
      <c r="R22" s="667"/>
      <c r="S22" s="668"/>
      <c r="T22" s="667"/>
      <c r="U22" s="668"/>
      <c r="V22" s="667"/>
      <c r="W22" s="668"/>
      <c r="X22" s="1265"/>
      <c r="Y22" s="338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87"/>
      <c r="Q23" s="1263" t="str">
        <f t="shared" ref="Q23:Q37" si="8">B23</f>
        <v>区域土地利用方向</v>
      </c>
      <c r="R23" s="667" t="s">
        <v>14</v>
      </c>
      <c r="S23" s="668">
        <f>F23</f>
        <v>100</v>
      </c>
      <c r="T23" s="667" t="s">
        <v>14</v>
      </c>
      <c r="U23" s="668">
        <f>H23</f>
        <v>100</v>
      </c>
      <c r="V23" s="667" t="s">
        <v>14</v>
      </c>
      <c r="W23" s="668">
        <f>J23</f>
        <v>100</v>
      </c>
      <c r="X23" s="1265"/>
      <c r="Y23" s="338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87"/>
      <c r="Q24" s="1263"/>
      <c r="R24" s="667"/>
      <c r="S24" s="668"/>
      <c r="T24" s="667"/>
      <c r="U24" s="668"/>
      <c r="V24" s="667"/>
      <c r="W24" s="668"/>
      <c r="X24" s="1265"/>
      <c r="Y24" s="3387"/>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87"/>
      <c r="Q25" s="1263" t="str">
        <f t="shared" si="8"/>
        <v>自然及人文环境状况</v>
      </c>
      <c r="R25" s="667" t="s">
        <v>14</v>
      </c>
      <c r="S25" s="668">
        <f>F25</f>
        <v>100</v>
      </c>
      <c r="T25" s="667" t="s">
        <v>14</v>
      </c>
      <c r="U25" s="668">
        <f>H25</f>
        <v>100</v>
      </c>
      <c r="V25" s="667" t="s">
        <v>14</v>
      </c>
      <c r="W25" s="668">
        <f>J25</f>
        <v>100</v>
      </c>
      <c r="X25" s="1265"/>
      <c r="Y25" s="338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87"/>
      <c r="Q26" s="1263"/>
      <c r="R26" s="667"/>
      <c r="S26" s="668"/>
      <c r="T26" s="667"/>
      <c r="U26" s="668"/>
      <c r="V26" s="667"/>
      <c r="W26" s="668"/>
      <c r="X26" s="1265"/>
      <c r="Y26" s="3387"/>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387"/>
      <c r="Q27" s="530" t="str">
        <f t="shared" si="8"/>
        <v>公共配套设施</v>
      </c>
      <c r="R27" s="664" t="s">
        <v>14</v>
      </c>
      <c r="S27" s="665">
        <f>F27</f>
        <v>100</v>
      </c>
      <c r="T27" s="664" t="s">
        <v>14</v>
      </c>
      <c r="U27" s="665">
        <f>H27</f>
        <v>100</v>
      </c>
      <c r="V27" s="664" t="s">
        <v>14</v>
      </c>
      <c r="W27" s="665">
        <f>J27</f>
        <v>100</v>
      </c>
      <c r="X27" s="666"/>
      <c r="Y27" s="3387"/>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387"/>
      <c r="Q28" s="530"/>
      <c r="R28" s="664"/>
      <c r="S28" s="665"/>
      <c r="T28" s="664"/>
      <c r="U28" s="665"/>
      <c r="V28" s="664"/>
      <c r="W28" s="665"/>
      <c r="X28" s="666"/>
      <c r="Y28" s="3387"/>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387"/>
      <c r="Q29" s="530" t="str">
        <f t="shared" ref="Q29" si="9">B29</f>
        <v>基础设施水平</v>
      </c>
      <c r="R29" s="664" t="s">
        <v>14</v>
      </c>
      <c r="S29" s="665">
        <f>F29</f>
        <v>100</v>
      </c>
      <c r="T29" s="664" t="s">
        <v>14</v>
      </c>
      <c r="U29" s="665">
        <f>H29</f>
        <v>100</v>
      </c>
      <c r="V29" s="664" t="s">
        <v>14</v>
      </c>
      <c r="W29" s="665">
        <f>J29</f>
        <v>100</v>
      </c>
      <c r="X29" s="666"/>
      <c r="Y29" s="3387"/>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387"/>
      <c r="Q30" s="530"/>
      <c r="R30" s="664"/>
      <c r="S30" s="665"/>
      <c r="T30" s="664"/>
      <c r="U30" s="665"/>
      <c r="V30" s="664"/>
      <c r="W30" s="665"/>
      <c r="X30" s="666"/>
      <c r="Y30" s="338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8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87"/>
      <c r="Q32" s="1263" t="str">
        <f t="shared" si="8"/>
        <v>毗邻道路的类型与等级</v>
      </c>
      <c r="R32" s="667" t="s">
        <v>14</v>
      </c>
      <c r="S32" s="668">
        <f t="shared" si="10"/>
        <v>100</v>
      </c>
      <c r="T32" s="667" t="s">
        <v>14</v>
      </c>
      <c r="U32" s="668">
        <f t="shared" si="11"/>
        <v>100</v>
      </c>
      <c r="V32" s="667" t="s">
        <v>14</v>
      </c>
      <c r="W32" s="668">
        <f t="shared" si="12"/>
        <v>100</v>
      </c>
      <c r="X32" s="1265"/>
      <c r="Y32" s="338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87"/>
      <c r="Q33" s="1263"/>
      <c r="R33" s="667"/>
      <c r="S33" s="668"/>
      <c r="T33" s="667"/>
      <c r="U33" s="668"/>
      <c r="V33" s="667"/>
      <c r="W33" s="668"/>
      <c r="X33" s="1265"/>
      <c r="Y33" s="338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87"/>
      <c r="Q34" s="1263" t="str">
        <f t="shared" si="8"/>
        <v>土地级别</v>
      </c>
      <c r="R34" s="667" t="s">
        <v>14</v>
      </c>
      <c r="S34" s="668">
        <f t="shared" si="10"/>
        <v>100</v>
      </c>
      <c r="T34" s="667" t="s">
        <v>14</v>
      </c>
      <c r="U34" s="668">
        <f t="shared" si="11"/>
        <v>100</v>
      </c>
      <c r="V34" s="667" t="s">
        <v>14</v>
      </c>
      <c r="W34" s="668">
        <f t="shared" si="12"/>
        <v>100</v>
      </c>
      <c r="X34" s="1265"/>
      <c r="Y34" s="338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87"/>
      <c r="Q35" s="1263">
        <f t="shared" si="8"/>
        <v>111</v>
      </c>
      <c r="R35" s="667" t="s">
        <v>14</v>
      </c>
      <c r="S35" s="668">
        <f t="shared" si="10"/>
        <v>100</v>
      </c>
      <c r="T35" s="667" t="s">
        <v>14</v>
      </c>
      <c r="U35" s="668">
        <f t="shared" si="11"/>
        <v>100</v>
      </c>
      <c r="V35" s="667" t="s">
        <v>14</v>
      </c>
      <c r="W35" s="668">
        <f t="shared" si="12"/>
        <v>100</v>
      </c>
      <c r="X35" s="1265"/>
      <c r="Y35" s="338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63" t="s">
        <v>1696</v>
      </c>
      <c r="Q36" s="1263">
        <f t="shared" si="8"/>
        <v>111</v>
      </c>
      <c r="R36" s="667" t="s">
        <v>14</v>
      </c>
      <c r="S36" s="668">
        <f t="shared" si="10"/>
        <v>100</v>
      </c>
      <c r="T36" s="667" t="s">
        <v>14</v>
      </c>
      <c r="U36" s="668">
        <f t="shared" si="11"/>
        <v>100</v>
      </c>
      <c r="V36" s="667" t="s">
        <v>14</v>
      </c>
      <c r="W36" s="668">
        <f t="shared" si="12"/>
        <v>100</v>
      </c>
      <c r="X36" s="1265"/>
      <c r="Y36" s="339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91"/>
      <c r="Q37" s="1263">
        <f t="shared" si="8"/>
        <v>111</v>
      </c>
      <c r="R37" s="669" t="s">
        <v>14</v>
      </c>
      <c r="S37" s="670">
        <f t="shared" si="10"/>
        <v>100</v>
      </c>
      <c r="T37" s="669" t="s">
        <v>14</v>
      </c>
      <c r="U37" s="670">
        <f t="shared" si="11"/>
        <v>100</v>
      </c>
      <c r="V37" s="669" t="s">
        <v>14</v>
      </c>
      <c r="W37" s="670">
        <f t="shared" si="12"/>
        <v>100</v>
      </c>
      <c r="X37" s="671"/>
      <c r="Y37" s="339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91"/>
      <c r="Q38" s="1263" t="str">
        <f>B38</f>
        <v>宗地面积</v>
      </c>
      <c r="R38" s="667" t="s">
        <v>14</v>
      </c>
      <c r="S38" s="668" t="e">
        <f t="shared" si="10"/>
        <v>#N/A</v>
      </c>
      <c r="T38" s="667" t="s">
        <v>14</v>
      </c>
      <c r="U38" s="668" t="e">
        <f t="shared" si="11"/>
        <v>#N/A</v>
      </c>
      <c r="V38" s="667" t="s">
        <v>14</v>
      </c>
      <c r="W38" s="668" t="e">
        <f t="shared" si="12"/>
        <v>#N/A</v>
      </c>
      <c r="X38" s="1265"/>
      <c r="Y38" s="339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91"/>
      <c r="Q39" s="1263" t="str">
        <f t="shared" ref="Q39:Q45" si="14">B39</f>
        <v>宗地形状</v>
      </c>
      <c r="R39" s="667" t="s">
        <v>14</v>
      </c>
      <c r="S39" s="668">
        <f t="shared" si="10"/>
        <v>100</v>
      </c>
      <c r="T39" s="667" t="s">
        <v>14</v>
      </c>
      <c r="U39" s="668">
        <f t="shared" si="11"/>
        <v>100</v>
      </c>
      <c r="V39" s="667" t="s">
        <v>14</v>
      </c>
      <c r="W39" s="668">
        <f t="shared" si="12"/>
        <v>100</v>
      </c>
      <c r="X39" s="1265"/>
      <c r="Y39" s="339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91"/>
      <c r="Q40" s="1263" t="str">
        <f t="shared" si="14"/>
        <v>临街宽度及深度</v>
      </c>
      <c r="R40" s="667" t="s">
        <v>14</v>
      </c>
      <c r="S40" s="668">
        <f t="shared" si="10"/>
        <v>100</v>
      </c>
      <c r="T40" s="667" t="s">
        <v>14</v>
      </c>
      <c r="U40" s="668">
        <f t="shared" si="11"/>
        <v>100</v>
      </c>
      <c r="V40" s="667" t="s">
        <v>14</v>
      </c>
      <c r="W40" s="668">
        <f t="shared" si="12"/>
        <v>100</v>
      </c>
      <c r="X40" s="1265"/>
      <c r="Y40" s="3391"/>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391"/>
      <c r="Q41" s="1263" t="str">
        <f t="shared" si="14"/>
        <v>宗地开发程度</v>
      </c>
      <c r="R41" s="664" t="s">
        <v>14</v>
      </c>
      <c r="S41" s="665">
        <f t="shared" si="10"/>
        <v>100</v>
      </c>
      <c r="T41" s="664" t="s">
        <v>14</v>
      </c>
      <c r="U41" s="665">
        <f t="shared" si="11"/>
        <v>100</v>
      </c>
      <c r="V41" s="664" t="s">
        <v>14</v>
      </c>
      <c r="W41" s="665">
        <f t="shared" si="12"/>
        <v>100</v>
      </c>
      <c r="X41" s="666"/>
      <c r="Y41" s="339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91" t="s">
        <v>1696</v>
      </c>
      <c r="Q42" s="1263" t="str">
        <f t="shared" si="14"/>
        <v>工程地质条件</v>
      </c>
      <c r="R42" s="667" t="s">
        <v>14</v>
      </c>
      <c r="S42" s="668">
        <f t="shared" si="10"/>
        <v>100</v>
      </c>
      <c r="T42" s="667" t="s">
        <v>14</v>
      </c>
      <c r="U42" s="668">
        <f t="shared" si="11"/>
        <v>100</v>
      </c>
      <c r="V42" s="667" t="s">
        <v>14</v>
      </c>
      <c r="W42" s="668">
        <f t="shared" si="12"/>
        <v>100</v>
      </c>
      <c r="X42" s="1265"/>
      <c r="Y42" s="339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91"/>
      <c r="Q43" s="1263">
        <f t="shared" si="14"/>
        <v>111</v>
      </c>
      <c r="R43" s="667" t="s">
        <v>14</v>
      </c>
      <c r="S43" s="668">
        <f t="shared" si="10"/>
        <v>100</v>
      </c>
      <c r="T43" s="667" t="s">
        <v>14</v>
      </c>
      <c r="U43" s="668">
        <f t="shared" si="11"/>
        <v>100</v>
      </c>
      <c r="V43" s="667" t="s">
        <v>14</v>
      </c>
      <c r="W43" s="668">
        <f t="shared" si="12"/>
        <v>100</v>
      </c>
      <c r="X43" s="1265"/>
      <c r="Y43" s="339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91"/>
      <c r="Q44" s="1263">
        <f t="shared" si="14"/>
        <v>111</v>
      </c>
      <c r="R44" s="667" t="s">
        <v>14</v>
      </c>
      <c r="S44" s="668">
        <f t="shared" si="10"/>
        <v>100</v>
      </c>
      <c r="T44" s="667" t="s">
        <v>14</v>
      </c>
      <c r="U44" s="668">
        <f t="shared" si="11"/>
        <v>100</v>
      </c>
      <c r="V44" s="667" t="s">
        <v>14</v>
      </c>
      <c r="W44" s="668">
        <f t="shared" si="12"/>
        <v>100</v>
      </c>
      <c r="X44" s="1265"/>
      <c r="Y44" s="3391"/>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91"/>
      <c r="Q45" s="1263">
        <f t="shared" si="14"/>
        <v>111</v>
      </c>
      <c r="R45" s="669" t="s">
        <v>14</v>
      </c>
      <c r="S45" s="670">
        <f t="shared" si="10"/>
        <v>100</v>
      </c>
      <c r="T45" s="669" t="s">
        <v>14</v>
      </c>
      <c r="U45" s="670">
        <f t="shared" si="11"/>
        <v>100</v>
      </c>
      <c r="V45" s="669" t="s">
        <v>14</v>
      </c>
      <c r="W45" s="670">
        <f t="shared" si="12"/>
        <v>100</v>
      </c>
      <c r="X45" s="671"/>
      <c r="Y45" s="3391"/>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384" t="str">
        <f>A46</f>
        <v>成交单价</v>
      </c>
      <c r="Q46" s="3384"/>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384" t="str">
        <f>A47</f>
        <v>比较价值（元/平方米）</v>
      </c>
      <c r="Q47" s="3384"/>
      <c r="R47" s="3465" t="e">
        <f>ROUND(PRODUCT(R46,AA7:AA45),0)</f>
        <v>#DIV/0!</v>
      </c>
      <c r="S47" s="3465"/>
      <c r="T47" s="3465" t="e">
        <f>ROUND(PRODUCT(T46,AB7:AB45),0)</f>
        <v>#DIV/0!</v>
      </c>
      <c r="U47" s="3465"/>
      <c r="V47" s="3465" t="e">
        <f>ROUND(PRODUCT(V46,AC7:AC45),0)</f>
        <v>#DIV/0!</v>
      </c>
      <c r="W47" s="346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381" t="str">
        <f>A48</f>
        <v>估价对象XX用房的比较价值（楼面单价，元/平方米）</v>
      </c>
      <c r="Q48" s="3382"/>
      <c r="R48" s="3466" t="e">
        <f>ROUND(IF(D47="简单平均",AVERAGE(R47:W47),R47*F47+T47*H47+V47*J47),0)</f>
        <v>#DIV/0!</v>
      </c>
      <c r="S48" s="3466"/>
      <c r="T48" s="3466"/>
      <c r="U48" s="3466"/>
      <c r="V48" s="3466"/>
      <c r="W48" s="346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399" t="s">
        <v>1887</v>
      </c>
      <c r="H55" s="3467"/>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184.46</v>
      </c>
      <c r="F56" s="833" t="e">
        <f t="shared" ref="F56:F64" si="15">ROUND(B56*E56/10000,0)</f>
        <v>#DIV/0!</v>
      </c>
      <c r="G56" s="3395"/>
      <c r="H56" s="338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3" t="s">
        <v>1896</v>
      </c>
      <c r="H60" s="834">
        <f>项目基本情况!C37</f>
        <v>0</v>
      </c>
      <c r="I60" s="838">
        <f>SUMIF(修正!A59:A70,H60,修正!E59:E70)</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SUMIF(修正!A59:A70,H61,修正!F59:F70)</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0.15</v>
      </c>
      <c r="D62" s="891">
        <v>0.25</v>
      </c>
      <c r="E62" s="209">
        <f>'数据-汇总表'!E13</f>
        <v>0</v>
      </c>
      <c r="F62" s="833" t="e">
        <f t="shared" si="15"/>
        <v>#DIV/0!</v>
      </c>
      <c r="G62" s="839" t="s">
        <v>1900</v>
      </c>
      <c r="H62" s="834" t="str">
        <f>IF(G62="商业",项目基本情况!B37,IF(G62="办公",项目基本情况!C37,IF(G62="住宅",项目基本情况!D37,项目基本情况!E37)))</f>
        <v>四级</v>
      </c>
      <c r="I62" s="838">
        <f>SUMIF(修正!A59:A70,H62,修正!G59:G70)</f>
        <v>0.15</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3"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4" t="s">
        <v>1896</v>
      </c>
      <c r="H64" s="844">
        <f>项目基本情况!C37</f>
        <v>0</v>
      </c>
      <c r="I64" s="840">
        <f>SUMIF(修正!A59:A70,H64,修正!G59:G70)</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184.46</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399" t="s">
        <v>1770</v>
      </c>
      <c r="D4" s="3400"/>
      <c r="E4" s="3401" t="s">
        <v>1771</v>
      </c>
      <c r="F4" s="3402"/>
      <c r="G4" s="3399" t="s">
        <v>1772</v>
      </c>
      <c r="H4" s="3400"/>
      <c r="I4" s="3399" t="s">
        <v>1773</v>
      </c>
      <c r="J4" s="3400"/>
      <c r="K4" s="537" t="s">
        <v>1774</v>
      </c>
      <c r="L4" s="2485"/>
      <c r="M4" s="2486"/>
      <c r="N4" s="2486"/>
      <c r="O4" s="2486"/>
      <c r="P4" s="3403" t="s">
        <v>1775</v>
      </c>
      <c r="Q4" s="3404"/>
      <c r="R4" s="3409" t="s">
        <v>1771</v>
      </c>
      <c r="S4" s="3410"/>
      <c r="T4" s="3409" t="s">
        <v>1772</v>
      </c>
      <c r="U4" s="3410"/>
      <c r="V4" s="3385" t="s">
        <v>1773</v>
      </c>
      <c r="W4" s="3385"/>
      <c r="X4" s="1265"/>
      <c r="Y4" s="3409" t="s">
        <v>1775</v>
      </c>
      <c r="Z4" s="3410"/>
      <c r="AA4" s="3396" t="s">
        <v>1771</v>
      </c>
      <c r="AB4" s="3397" t="s">
        <v>1772</v>
      </c>
      <c r="AC4" s="3396" t="s">
        <v>1773</v>
      </c>
    </row>
    <row r="5" spans="1:29" ht="15">
      <c r="A5" s="348"/>
      <c r="B5" s="349"/>
      <c r="C5" s="3417" t="s">
        <v>1673</v>
      </c>
      <c r="D5" s="3418"/>
      <c r="E5" s="3425" t="s">
        <v>1674</v>
      </c>
      <c r="F5" s="3426"/>
      <c r="G5" s="3417" t="s">
        <v>1675</v>
      </c>
      <c r="H5" s="3418"/>
      <c r="I5" s="3417" t="s">
        <v>1676</v>
      </c>
      <c r="J5" s="3418"/>
      <c r="K5" s="537"/>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68" t="s">
        <v>1919</v>
      </c>
      <c r="D6" s="3469"/>
      <c r="E6" s="3470" t="s">
        <v>1919</v>
      </c>
      <c r="F6" s="3471"/>
      <c r="G6" s="3468" t="s">
        <v>1919</v>
      </c>
      <c r="H6" s="3469"/>
      <c r="I6" s="3468" t="s">
        <v>1919</v>
      </c>
      <c r="J6" s="3469"/>
      <c r="K6" s="537"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419" t="s">
        <v>1680</v>
      </c>
      <c r="Q7" s="3421"/>
      <c r="R7" s="664" t="s">
        <v>14</v>
      </c>
      <c r="S7" s="665">
        <f t="shared" ref="S7:S15" si="0">F7</f>
        <v>0</v>
      </c>
      <c r="T7" s="664" t="s">
        <v>14</v>
      </c>
      <c r="U7" s="665">
        <f t="shared" ref="U7:U15" si="1">H7</f>
        <v>0</v>
      </c>
      <c r="V7" s="664" t="s">
        <v>14</v>
      </c>
      <c r="W7" s="665">
        <f t="shared" ref="W7:W15" si="2">J7</f>
        <v>0</v>
      </c>
      <c r="X7" s="666"/>
      <c r="Y7" s="3419" t="s">
        <v>1680</v>
      </c>
      <c r="Z7" s="342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19" t="s">
        <v>1683</v>
      </c>
      <c r="Q8" s="3420"/>
      <c r="R8" s="664" t="s">
        <v>14</v>
      </c>
      <c r="S8" s="665">
        <f t="shared" si="0"/>
        <v>0</v>
      </c>
      <c r="T8" s="664" t="s">
        <v>14</v>
      </c>
      <c r="U8" s="665">
        <f t="shared" si="1"/>
        <v>0</v>
      </c>
      <c r="V8" s="664" t="s">
        <v>14</v>
      </c>
      <c r="W8" s="665">
        <f t="shared" si="2"/>
        <v>0</v>
      </c>
      <c r="X8" s="666"/>
      <c r="Y8" s="3419" t="s">
        <v>1683</v>
      </c>
      <c r="Z8" s="3420"/>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384"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106</v>
      </c>
      <c r="G10" s="371"/>
      <c r="H10" s="119">
        <f>ROUND(100/'数据-取费表'!G16,0)</f>
        <v>106</v>
      </c>
      <c r="I10" s="371"/>
      <c r="J10" s="119">
        <f>ROUND(100/'数据-取费表'!G16,0)</f>
        <v>106</v>
      </c>
      <c r="K10" s="592"/>
      <c r="L10" s="2488"/>
      <c r="M10" s="2489"/>
      <c r="N10" s="2489"/>
      <c r="O10" s="2540"/>
      <c r="P10" s="3384"/>
      <c r="Q10" s="530" t="str">
        <f t="shared" si="6"/>
        <v>土地使用年限（年）</v>
      </c>
      <c r="R10" s="664" t="s">
        <v>14</v>
      </c>
      <c r="S10" s="665">
        <f t="shared" si="0"/>
        <v>106</v>
      </c>
      <c r="T10" s="664" t="s">
        <v>14</v>
      </c>
      <c r="U10" s="665">
        <f t="shared" si="1"/>
        <v>106</v>
      </c>
      <c r="V10" s="664" t="s">
        <v>14</v>
      </c>
      <c r="W10" s="665">
        <f t="shared" si="2"/>
        <v>106</v>
      </c>
      <c r="X10" s="666"/>
      <c r="Y10" s="3280"/>
      <c r="Z10" s="50" t="str">
        <f t="shared" si="7"/>
        <v>土地使用年限（年）</v>
      </c>
      <c r="AA10" s="50">
        <f t="shared" si="3"/>
        <v>0.94339622641509435</v>
      </c>
      <c r="AB10" s="50">
        <f t="shared" si="4"/>
        <v>0.94339622641509435</v>
      </c>
      <c r="AC10" s="50">
        <f t="shared" si="5"/>
        <v>0.94339622641509435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84"/>
      <c r="Q11" s="530" t="str">
        <f t="shared" si="6"/>
        <v>容积率</v>
      </c>
      <c r="R11" s="664" t="s">
        <v>14</v>
      </c>
      <c r="S11" s="665" t="e">
        <f t="shared" si="0"/>
        <v>#N/A</v>
      </c>
      <c r="T11" s="664" t="s">
        <v>14</v>
      </c>
      <c r="U11" s="665" t="e">
        <f t="shared" si="1"/>
        <v>#N/A</v>
      </c>
      <c r="V11" s="664" t="s">
        <v>14</v>
      </c>
      <c r="W11" s="665" t="e">
        <f t="shared" si="2"/>
        <v>#N/A</v>
      </c>
      <c r="X11" s="666"/>
      <c r="Y11" s="328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384"/>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84"/>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84"/>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86" t="s">
        <v>1691</v>
      </c>
      <c r="Q15" s="1263" t="str">
        <f t="shared" si="6"/>
        <v>产业集聚程度</v>
      </c>
      <c r="R15" s="667" t="s">
        <v>14</v>
      </c>
      <c r="S15" s="668">
        <f t="shared" si="0"/>
        <v>100</v>
      </c>
      <c r="T15" s="667" t="s">
        <v>14</v>
      </c>
      <c r="U15" s="668">
        <f t="shared" si="1"/>
        <v>100</v>
      </c>
      <c r="V15" s="667" t="s">
        <v>14</v>
      </c>
      <c r="W15" s="668">
        <f t="shared" si="2"/>
        <v>100</v>
      </c>
      <c r="X15" s="1265"/>
      <c r="Y15" s="338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87"/>
      <c r="Q16" s="1263"/>
      <c r="R16" s="667"/>
      <c r="S16" s="668"/>
      <c r="T16" s="667"/>
      <c r="U16" s="668"/>
      <c r="V16" s="667"/>
      <c r="W16" s="668"/>
      <c r="X16" s="1265"/>
      <c r="Y16" s="3387"/>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87"/>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87"/>
      <c r="Q18" s="1263"/>
      <c r="R18" s="667"/>
      <c r="S18" s="668"/>
      <c r="T18" s="667"/>
      <c r="U18" s="668"/>
      <c r="V18" s="667"/>
      <c r="W18" s="668"/>
      <c r="X18" s="1265"/>
      <c r="Y18" s="338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87"/>
      <c r="Q19" s="1263" t="str">
        <f t="shared" ref="Q19:Q33" si="8">B19</f>
        <v>区域土地利用方向</v>
      </c>
      <c r="R19" s="667" t="s">
        <v>14</v>
      </c>
      <c r="S19" s="668">
        <f>F19</f>
        <v>100</v>
      </c>
      <c r="T19" s="667" t="s">
        <v>14</v>
      </c>
      <c r="U19" s="668">
        <f>H19</f>
        <v>100</v>
      </c>
      <c r="V19" s="667" t="s">
        <v>14</v>
      </c>
      <c r="W19" s="668">
        <f>J19</f>
        <v>100</v>
      </c>
      <c r="X19" s="1265"/>
      <c r="Y19" s="338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87"/>
      <c r="Q20" s="1263"/>
      <c r="R20" s="667"/>
      <c r="S20" s="668"/>
      <c r="T20" s="667"/>
      <c r="U20" s="668"/>
      <c r="V20" s="667"/>
      <c r="W20" s="668"/>
      <c r="X20" s="1265"/>
      <c r="Y20" s="3387"/>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87"/>
      <c r="Q21" s="1263" t="str">
        <f t="shared" si="8"/>
        <v>环境状况</v>
      </c>
      <c r="R21" s="667" t="s">
        <v>14</v>
      </c>
      <c r="S21" s="668">
        <f>F21</f>
        <v>100</v>
      </c>
      <c r="T21" s="667" t="s">
        <v>14</v>
      </c>
      <c r="U21" s="668">
        <f>H21</f>
        <v>100</v>
      </c>
      <c r="V21" s="667" t="s">
        <v>14</v>
      </c>
      <c r="W21" s="668">
        <f>J21</f>
        <v>100</v>
      </c>
      <c r="X21" s="1265"/>
      <c r="Y21" s="338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87"/>
      <c r="Q22" s="1263"/>
      <c r="R22" s="667"/>
      <c r="S22" s="668"/>
      <c r="T22" s="667"/>
      <c r="U22" s="668"/>
      <c r="V22" s="667"/>
      <c r="W22" s="668"/>
      <c r="X22" s="1265"/>
      <c r="Y22" s="3387"/>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387"/>
      <c r="Q23" s="530" t="str">
        <f t="shared" si="8"/>
        <v>公共配套设施</v>
      </c>
      <c r="R23" s="664" t="s">
        <v>14</v>
      </c>
      <c r="S23" s="665">
        <f>F23</f>
        <v>100</v>
      </c>
      <c r="T23" s="664" t="s">
        <v>14</v>
      </c>
      <c r="U23" s="665">
        <f>H23</f>
        <v>100</v>
      </c>
      <c r="V23" s="664" t="s">
        <v>14</v>
      </c>
      <c r="W23" s="665">
        <f>J23</f>
        <v>100</v>
      </c>
      <c r="X23" s="666"/>
      <c r="Y23" s="3387"/>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387"/>
      <c r="Q24" s="530"/>
      <c r="R24" s="664"/>
      <c r="S24" s="665"/>
      <c r="T24" s="664"/>
      <c r="U24" s="665"/>
      <c r="V24" s="664"/>
      <c r="W24" s="665"/>
      <c r="X24" s="666"/>
      <c r="Y24" s="3387"/>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387"/>
      <c r="Q25" s="530" t="str">
        <f t="shared" ref="Q25" si="9">B25</f>
        <v>基础设施水平</v>
      </c>
      <c r="R25" s="664" t="s">
        <v>14</v>
      </c>
      <c r="S25" s="665">
        <f>F25</f>
        <v>100</v>
      </c>
      <c r="T25" s="664" t="s">
        <v>14</v>
      </c>
      <c r="U25" s="665">
        <f>H25</f>
        <v>100</v>
      </c>
      <c r="V25" s="664" t="s">
        <v>14</v>
      </c>
      <c r="W25" s="665">
        <f>J25</f>
        <v>100</v>
      </c>
      <c r="X25" s="666"/>
      <c r="Y25" s="3387"/>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387"/>
      <c r="Q26" s="530"/>
      <c r="R26" s="664"/>
      <c r="S26" s="665"/>
      <c r="T26" s="664"/>
      <c r="U26" s="665"/>
      <c r="V26" s="664"/>
      <c r="W26" s="665"/>
      <c r="X26" s="666"/>
      <c r="Y26" s="338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8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7"/>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87"/>
      <c r="Q28" s="1263" t="str">
        <f t="shared" si="8"/>
        <v>毗邻道路的类型与等级</v>
      </c>
      <c r="R28" s="667" t="s">
        <v>14</v>
      </c>
      <c r="S28" s="668">
        <f t="shared" si="10"/>
        <v>100</v>
      </c>
      <c r="T28" s="667" t="s">
        <v>14</v>
      </c>
      <c r="U28" s="668">
        <f t="shared" si="11"/>
        <v>100</v>
      </c>
      <c r="V28" s="667" t="s">
        <v>14</v>
      </c>
      <c r="W28" s="668">
        <f t="shared" si="12"/>
        <v>100</v>
      </c>
      <c r="X28" s="1265"/>
      <c r="Y28" s="338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87"/>
      <c r="Q29" s="1263"/>
      <c r="R29" s="667"/>
      <c r="S29" s="668"/>
      <c r="T29" s="667"/>
      <c r="U29" s="668"/>
      <c r="V29" s="667"/>
      <c r="W29" s="668"/>
      <c r="X29" s="1265"/>
      <c r="Y29" s="338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87"/>
      <c r="Q30" s="1263" t="str">
        <f t="shared" si="8"/>
        <v>土地级别</v>
      </c>
      <c r="R30" s="667" t="s">
        <v>14</v>
      </c>
      <c r="S30" s="668">
        <f t="shared" si="10"/>
        <v>100</v>
      </c>
      <c r="T30" s="667" t="s">
        <v>14</v>
      </c>
      <c r="U30" s="668">
        <f t="shared" si="11"/>
        <v>100</v>
      </c>
      <c r="V30" s="667" t="s">
        <v>14</v>
      </c>
      <c r="W30" s="668">
        <f t="shared" si="12"/>
        <v>100</v>
      </c>
      <c r="X30" s="1265"/>
      <c r="Y30" s="338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87"/>
      <c r="Q31" s="1263">
        <f t="shared" si="8"/>
        <v>111</v>
      </c>
      <c r="R31" s="667" t="s">
        <v>14</v>
      </c>
      <c r="S31" s="668">
        <f t="shared" si="10"/>
        <v>100</v>
      </c>
      <c r="T31" s="667" t="s">
        <v>14</v>
      </c>
      <c r="U31" s="668">
        <f t="shared" si="11"/>
        <v>100</v>
      </c>
      <c r="V31" s="667" t="s">
        <v>14</v>
      </c>
      <c r="W31" s="668">
        <f t="shared" si="12"/>
        <v>100</v>
      </c>
      <c r="X31" s="1265"/>
      <c r="Y31" s="3387"/>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63" t="s">
        <v>1696</v>
      </c>
      <c r="Q32" s="1263">
        <f t="shared" si="8"/>
        <v>111</v>
      </c>
      <c r="R32" s="667" t="s">
        <v>14</v>
      </c>
      <c r="S32" s="668">
        <f t="shared" si="10"/>
        <v>100</v>
      </c>
      <c r="T32" s="667" t="s">
        <v>14</v>
      </c>
      <c r="U32" s="668">
        <f t="shared" si="11"/>
        <v>100</v>
      </c>
      <c r="V32" s="667" t="s">
        <v>14</v>
      </c>
      <c r="W32" s="668">
        <f t="shared" si="12"/>
        <v>100</v>
      </c>
      <c r="X32" s="1265"/>
      <c r="Y32" s="3391"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91"/>
      <c r="Q33" s="1263">
        <f t="shared" si="8"/>
        <v>111</v>
      </c>
      <c r="R33" s="669" t="s">
        <v>14</v>
      </c>
      <c r="S33" s="670">
        <f t="shared" si="10"/>
        <v>100</v>
      </c>
      <c r="T33" s="669" t="s">
        <v>14</v>
      </c>
      <c r="U33" s="670">
        <f t="shared" si="11"/>
        <v>100</v>
      </c>
      <c r="V33" s="669" t="s">
        <v>14</v>
      </c>
      <c r="W33" s="670">
        <f t="shared" si="12"/>
        <v>100</v>
      </c>
      <c r="X33" s="671"/>
      <c r="Y33" s="339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91"/>
      <c r="Q34" s="1263" t="str">
        <f>B34</f>
        <v>宗地面积</v>
      </c>
      <c r="R34" s="667" t="s">
        <v>14</v>
      </c>
      <c r="S34" s="668" t="e">
        <f t="shared" si="10"/>
        <v>#N/A</v>
      </c>
      <c r="T34" s="667" t="s">
        <v>14</v>
      </c>
      <c r="U34" s="668" t="e">
        <f t="shared" si="11"/>
        <v>#N/A</v>
      </c>
      <c r="V34" s="667" t="s">
        <v>14</v>
      </c>
      <c r="W34" s="668" t="e">
        <f t="shared" si="12"/>
        <v>#N/A</v>
      </c>
      <c r="X34" s="1265"/>
      <c r="Y34" s="339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91"/>
      <c r="Q35" s="1263" t="str">
        <f t="shared" ref="Q35:Q40" si="14">B35</f>
        <v>宗地形状</v>
      </c>
      <c r="R35" s="667" t="s">
        <v>14</v>
      </c>
      <c r="S35" s="668">
        <f t="shared" si="10"/>
        <v>100</v>
      </c>
      <c r="T35" s="667" t="s">
        <v>14</v>
      </c>
      <c r="U35" s="668">
        <f t="shared" si="11"/>
        <v>100</v>
      </c>
      <c r="V35" s="667" t="s">
        <v>14</v>
      </c>
      <c r="W35" s="668">
        <f t="shared" si="12"/>
        <v>100</v>
      </c>
      <c r="X35" s="1265"/>
      <c r="Y35" s="3391"/>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391"/>
      <c r="Q36" s="1263" t="str">
        <f t="shared" si="14"/>
        <v>宗地开发程度</v>
      </c>
      <c r="R36" s="664" t="s">
        <v>14</v>
      </c>
      <c r="S36" s="665">
        <f t="shared" si="10"/>
        <v>100</v>
      </c>
      <c r="T36" s="664" t="s">
        <v>14</v>
      </c>
      <c r="U36" s="665">
        <f t="shared" si="11"/>
        <v>100</v>
      </c>
      <c r="V36" s="664" t="s">
        <v>14</v>
      </c>
      <c r="W36" s="665">
        <f t="shared" si="12"/>
        <v>100</v>
      </c>
      <c r="X36" s="666"/>
      <c r="Y36" s="339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91" t="s">
        <v>1696</v>
      </c>
      <c r="Q37" s="1263" t="str">
        <f t="shared" si="14"/>
        <v>工程地质条件</v>
      </c>
      <c r="R37" s="667" t="s">
        <v>14</v>
      </c>
      <c r="S37" s="668">
        <f t="shared" si="10"/>
        <v>100</v>
      </c>
      <c r="T37" s="667" t="s">
        <v>14</v>
      </c>
      <c r="U37" s="668">
        <f t="shared" si="11"/>
        <v>100</v>
      </c>
      <c r="V37" s="667" t="s">
        <v>14</v>
      </c>
      <c r="W37" s="668">
        <f t="shared" si="12"/>
        <v>100</v>
      </c>
      <c r="X37" s="1265"/>
      <c r="Y37" s="339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91"/>
      <c r="Q38" s="1263">
        <f t="shared" si="14"/>
        <v>111</v>
      </c>
      <c r="R38" s="667" t="s">
        <v>14</v>
      </c>
      <c r="S38" s="668">
        <f t="shared" si="10"/>
        <v>100</v>
      </c>
      <c r="T38" s="667" t="s">
        <v>14</v>
      </c>
      <c r="U38" s="668">
        <f t="shared" si="11"/>
        <v>100</v>
      </c>
      <c r="V38" s="667" t="s">
        <v>14</v>
      </c>
      <c r="W38" s="668">
        <f t="shared" si="12"/>
        <v>100</v>
      </c>
      <c r="X38" s="1265"/>
      <c r="Y38" s="339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91"/>
      <c r="Q39" s="1263">
        <f t="shared" si="14"/>
        <v>111</v>
      </c>
      <c r="R39" s="667" t="s">
        <v>14</v>
      </c>
      <c r="S39" s="668">
        <f t="shared" si="10"/>
        <v>100</v>
      </c>
      <c r="T39" s="667" t="s">
        <v>14</v>
      </c>
      <c r="U39" s="668">
        <f t="shared" si="11"/>
        <v>100</v>
      </c>
      <c r="V39" s="667" t="s">
        <v>14</v>
      </c>
      <c r="W39" s="668">
        <f t="shared" si="12"/>
        <v>100</v>
      </c>
      <c r="X39" s="1265"/>
      <c r="Y39" s="3391"/>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91"/>
      <c r="Q40" s="1263">
        <f t="shared" si="14"/>
        <v>111</v>
      </c>
      <c r="R40" s="669" t="s">
        <v>14</v>
      </c>
      <c r="S40" s="670">
        <f t="shared" si="10"/>
        <v>100</v>
      </c>
      <c r="T40" s="669" t="s">
        <v>14</v>
      </c>
      <c r="U40" s="670">
        <f t="shared" si="11"/>
        <v>100</v>
      </c>
      <c r="V40" s="669" t="s">
        <v>14</v>
      </c>
      <c r="W40" s="670">
        <f t="shared" si="12"/>
        <v>100</v>
      </c>
      <c r="X40" s="671"/>
      <c r="Y40" s="3391"/>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384" t="str">
        <f>A41</f>
        <v>成交单价</v>
      </c>
      <c r="Q41" s="3384"/>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384" t="str">
        <f>A42</f>
        <v>比较价值（元/平方米）</v>
      </c>
      <c r="Q42" s="3384"/>
      <c r="R42" s="3465" t="e">
        <f>ROUND(PRODUCT(R41,AA7:AA40),0)</f>
        <v>#DIV/0!</v>
      </c>
      <c r="S42" s="3465"/>
      <c r="T42" s="3465" t="e">
        <f>ROUND(PRODUCT(T41,AB7:AB40),0)</f>
        <v>#DIV/0!</v>
      </c>
      <c r="U42" s="3465"/>
      <c r="V42" s="3465" t="e">
        <f>ROUND(PRODUCT(V41,AC7:AC40),0)</f>
        <v>#DIV/0!</v>
      </c>
      <c r="W42" s="346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381" t="str">
        <f>A43</f>
        <v>估价对象XX用房的比较价值（楼面单价，元/平方米）</v>
      </c>
      <c r="Q43" s="3382"/>
      <c r="R43" s="3466" t="e">
        <f>ROUND(IF(D42="简单平均",AVERAGE(R42:W42),R42*F42+T42*H42+V42*J42),0)</f>
        <v>#DIV/0!</v>
      </c>
      <c r="S43" s="3466"/>
      <c r="T43" s="3466"/>
      <c r="U43" s="3466"/>
      <c r="V43" s="3466"/>
      <c r="W43" s="346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399" t="s">
        <v>1887</v>
      </c>
      <c r="H50" s="3467"/>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184.46</v>
      </c>
      <c r="F51" s="611" t="e">
        <f t="shared" ref="F51:F60" si="15">ROUND(B51*E51/10000,0)</f>
        <v>#DIV/0!</v>
      </c>
      <c r="G51" s="3395"/>
      <c r="H51" s="338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3" t="s">
        <v>1896</v>
      </c>
      <c r="H56" s="834">
        <f>项目基本情况!C37</f>
        <v>0</v>
      </c>
      <c r="I56" s="727">
        <f>SUMIF(修正!A59:A70,H56,修正!E59:E70)</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SUMIF(修正!A59:A70,H57,修正!F59:F70)</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0.15</v>
      </c>
      <c r="D58" s="891">
        <v>0.25</v>
      </c>
      <c r="E58" s="209">
        <f>'数据-汇总表'!E13</f>
        <v>0</v>
      </c>
      <c r="F58" s="611" t="e">
        <f t="shared" si="15"/>
        <v>#DIV/0!</v>
      </c>
      <c r="G58" s="839" t="s">
        <v>1900</v>
      </c>
      <c r="H58" s="834" t="str">
        <f>IF(G58="商业",项目基本情况!B37,IF(G58="办公",项目基本情况!C37,IF(G58="住宅",项目基本情况!D37,项目基本情况!E37)))</f>
        <v>四级</v>
      </c>
      <c r="I58" s="727">
        <f>SUMIF(修正!A59:A70,H58,修正!G59:G70)</f>
        <v>0.15</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3"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4" t="s">
        <v>1896</v>
      </c>
      <c r="H60" s="844">
        <f>项目基本情况!C37</f>
        <v>0</v>
      </c>
      <c r="I60" s="727">
        <f>SUMIF(修正!A59:A70,H60,修正!G59:G70)</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75" t="s">
        <v>2084</v>
      </c>
      <c r="D1" s="3476"/>
      <c r="E1" s="3476"/>
      <c r="F1" s="3476"/>
      <c r="G1" s="3476"/>
      <c r="H1" s="3476"/>
      <c r="I1" s="3476"/>
      <c r="J1" s="3476"/>
      <c r="K1" s="3476"/>
      <c r="L1" s="3476"/>
      <c r="M1" s="3476"/>
      <c r="N1" s="3476"/>
      <c r="O1" s="3476"/>
      <c r="P1" s="3476"/>
      <c r="Q1" s="3476"/>
      <c r="R1" s="3476"/>
      <c r="S1" s="347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72" t="s">
        <v>27</v>
      </c>
      <c r="D22" s="3473"/>
      <c r="E22" s="3473"/>
      <c r="F22" s="3473"/>
      <c r="G22" s="3473"/>
      <c r="H22" s="3473"/>
      <c r="I22" s="3473"/>
      <c r="J22" s="3473"/>
      <c r="K22" s="3473"/>
      <c r="L22" s="3473"/>
      <c r="M22" s="3473"/>
      <c r="N22" s="3473"/>
      <c r="O22" s="3473"/>
      <c r="P22" s="3473"/>
      <c r="Q22" s="347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A16" zoomScale="115" zoomScaleNormal="60" zoomScaleSheetLayoutView="115" workbookViewId="0">
      <selection activeCell="M45" sqref="M45"/>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3427</v>
      </c>
      <c r="E1" s="3123" t="s">
        <v>3444</v>
      </c>
      <c r="F1" s="1735" t="s">
        <v>3445</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0</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82</v>
      </c>
      <c r="C3" s="344" t="s">
        <v>1665</v>
      </c>
      <c r="D3" s="343">
        <f>IF(D1="",'数据-汇总表'!E3,SUMIF('数据-汇总表'!$C19:$C33,D1,'数据-汇总表'!$E19:$E33))</f>
        <v>0</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399" t="s">
        <v>1667</v>
      </c>
      <c r="D4" s="3400"/>
      <c r="E4" s="3401" t="s">
        <v>1668</v>
      </c>
      <c r="F4" s="3402"/>
      <c r="G4" s="3399" t="s">
        <v>1669</v>
      </c>
      <c r="H4" s="3400"/>
      <c r="I4" s="3399" t="s">
        <v>1670</v>
      </c>
      <c r="J4" s="3400"/>
      <c r="K4" s="1744" t="s">
        <v>1671</v>
      </c>
      <c r="L4" s="2485"/>
      <c r="M4" s="2486"/>
      <c r="N4" s="2486"/>
      <c r="O4" s="2486"/>
      <c r="P4" s="3403" t="s">
        <v>1672</v>
      </c>
      <c r="Q4" s="3404"/>
      <c r="R4" s="3409" t="s">
        <v>1668</v>
      </c>
      <c r="S4" s="3410"/>
      <c r="T4" s="3409" t="s">
        <v>1669</v>
      </c>
      <c r="U4" s="3410"/>
      <c r="V4" s="3385" t="s">
        <v>1670</v>
      </c>
      <c r="W4" s="3385"/>
      <c r="X4" s="1265"/>
      <c r="Y4" s="3409" t="s">
        <v>1672</v>
      </c>
      <c r="Z4" s="3410"/>
      <c r="AA4" s="3396" t="s">
        <v>1668</v>
      </c>
      <c r="AB4" s="3396" t="s">
        <v>1669</v>
      </c>
      <c r="AC4" s="3396" t="s">
        <v>1670</v>
      </c>
    </row>
    <row r="5" spans="1:29" ht="15">
      <c r="A5" s="348"/>
      <c r="B5" s="349"/>
      <c r="C5" s="3422" t="s">
        <v>3574</v>
      </c>
      <c r="D5" s="3418"/>
      <c r="E5" s="3425" t="str">
        <f>C5</f>
        <v>国风上观</v>
      </c>
      <c r="F5" s="3426"/>
      <c r="G5" s="3417" t="str">
        <f>E5</f>
        <v>国风上观</v>
      </c>
      <c r="H5" s="3418"/>
      <c r="I5" s="3417" t="str">
        <f>G5</f>
        <v>国风上观</v>
      </c>
      <c r="J5" s="3418"/>
      <c r="K5" s="1745"/>
      <c r="L5" s="2485"/>
      <c r="M5" s="2486"/>
      <c r="N5" s="2486"/>
      <c r="O5" s="2486"/>
      <c r="P5" s="3405"/>
      <c r="Q5" s="3406"/>
      <c r="R5" s="3411"/>
      <c r="S5" s="3412"/>
      <c r="T5" s="3411"/>
      <c r="U5" s="3412"/>
      <c r="V5" s="3385"/>
      <c r="W5" s="3385"/>
      <c r="X5" s="1265"/>
      <c r="Y5" s="3411"/>
      <c r="Z5" s="3412"/>
      <c r="AA5" s="3397"/>
      <c r="AB5" s="3397"/>
      <c r="AC5" s="3397"/>
    </row>
    <row r="6" spans="1:29" ht="15.75" thickBot="1">
      <c r="A6" s="350"/>
      <c r="B6" s="351"/>
      <c r="C6" s="3415" t="s">
        <v>1677</v>
      </c>
      <c r="D6" s="3416"/>
      <c r="E6" s="3423" t="s">
        <v>1677</v>
      </c>
      <c r="F6" s="3424"/>
      <c r="G6" s="3415" t="s">
        <v>1677</v>
      </c>
      <c r="H6" s="3416"/>
      <c r="I6" s="3415" t="s">
        <v>1677</v>
      </c>
      <c r="J6" s="3416"/>
      <c r="K6" s="1745" t="s">
        <v>1678</v>
      </c>
      <c r="L6" s="2485"/>
      <c r="M6" s="2486"/>
      <c r="N6" s="2486"/>
      <c r="O6" s="2486"/>
      <c r="P6" s="3407"/>
      <c r="Q6" s="3408"/>
      <c r="R6" s="3411"/>
      <c r="S6" s="3412"/>
      <c r="T6" s="3413"/>
      <c r="U6" s="3414"/>
      <c r="V6" s="3385"/>
      <c r="W6" s="3385"/>
      <c r="X6" s="1265"/>
      <c r="Y6" s="3413"/>
      <c r="Z6" s="3414"/>
      <c r="AA6" s="3398"/>
      <c r="AB6" s="3398"/>
      <c r="AC6" s="3398"/>
    </row>
    <row r="7" spans="1:29" s="102" customFormat="1" ht="15.75" thickBot="1">
      <c r="A7" s="352" t="s">
        <v>1679</v>
      </c>
      <c r="B7" s="353"/>
      <c r="C7" s="354">
        <f>'数据-取费表'!B2</f>
        <v>46014</v>
      </c>
      <c r="D7" s="355">
        <v>100</v>
      </c>
      <c r="E7" s="356">
        <f>成交案例!P8</f>
        <v>45991</v>
      </c>
      <c r="F7" s="357">
        <f>SUMIF(58:58,YEAR(E7)&amp;"-"&amp;MONTH(E7),59:59)</f>
        <v>100</v>
      </c>
      <c r="G7" s="356">
        <f>成交案例!P10</f>
        <v>45922</v>
      </c>
      <c r="H7" s="355">
        <f>SUMIF(58:58,YEAR(G7)&amp;"-"&amp;MONTH(G7),59:59)</f>
        <v>102</v>
      </c>
      <c r="I7" s="356">
        <f>成交案例!P12</f>
        <v>45864</v>
      </c>
      <c r="J7" s="355">
        <f>SUMIF(58:58,YEAR(I7)&amp;"-"&amp;MONTH(I7),59:59)</f>
        <v>102</v>
      </c>
      <c r="K7" s="1746"/>
      <c r="L7" s="2487"/>
      <c r="M7" s="2438"/>
      <c r="N7" s="2438"/>
      <c r="O7" s="2438"/>
      <c r="P7" s="3419" t="s">
        <v>1680</v>
      </c>
      <c r="Q7" s="3421"/>
      <c r="R7" s="664" t="s">
        <v>14</v>
      </c>
      <c r="S7" s="665">
        <f t="shared" ref="S7:S15" si="0">F7</f>
        <v>100</v>
      </c>
      <c r="T7" s="664" t="s">
        <v>14</v>
      </c>
      <c r="U7" s="665">
        <f t="shared" ref="U7:U15" si="1">H7</f>
        <v>102</v>
      </c>
      <c r="V7" s="664" t="s">
        <v>14</v>
      </c>
      <c r="W7" s="665">
        <f t="shared" ref="W7:W15" si="2">J7</f>
        <v>102</v>
      </c>
      <c r="X7" s="666"/>
      <c r="Y7" s="3419" t="s">
        <v>1680</v>
      </c>
      <c r="Z7" s="3420"/>
      <c r="AA7" s="50">
        <f>D7/F7</f>
        <v>1</v>
      </c>
      <c r="AB7" s="50">
        <f>D7/H7</f>
        <v>0.98039215686274506</v>
      </c>
      <c r="AC7" s="50">
        <f>D7/J7</f>
        <v>0.98039215686274506</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19" t="s">
        <v>1683</v>
      </c>
      <c r="Q8" s="3420"/>
      <c r="R8" s="664" t="s">
        <v>14</v>
      </c>
      <c r="S8" s="665">
        <f t="shared" si="0"/>
        <v>100</v>
      </c>
      <c r="T8" s="664" t="s">
        <v>14</v>
      </c>
      <c r="U8" s="665">
        <f t="shared" si="1"/>
        <v>100</v>
      </c>
      <c r="V8" s="664" t="s">
        <v>14</v>
      </c>
      <c r="W8" s="665">
        <f t="shared" si="2"/>
        <v>100</v>
      </c>
      <c r="X8" s="666"/>
      <c r="Y8" s="3419" t="s">
        <v>1683</v>
      </c>
      <c r="Z8" s="342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395" t="s">
        <v>1686</v>
      </c>
      <c r="Q9" s="530" t="str">
        <f t="shared" ref="Q9:Q15" si="6">B9</f>
        <v>用途</v>
      </c>
      <c r="R9" s="664" t="s">
        <v>14</v>
      </c>
      <c r="S9" s="665">
        <f t="shared" si="0"/>
        <v>100</v>
      </c>
      <c r="T9" s="664" t="s">
        <v>14</v>
      </c>
      <c r="U9" s="665">
        <f t="shared" si="1"/>
        <v>100</v>
      </c>
      <c r="V9" s="664" t="s">
        <v>14</v>
      </c>
      <c r="W9" s="665">
        <f t="shared" si="2"/>
        <v>100</v>
      </c>
      <c r="X9" s="666"/>
      <c r="Y9" s="328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95"/>
      <c r="Q10" s="530" t="str">
        <f t="shared" si="6"/>
        <v>土地使用年限（年）</v>
      </c>
      <c r="R10" s="664" t="s">
        <v>14</v>
      </c>
      <c r="S10" s="665">
        <f t="shared" si="0"/>
        <v>100</v>
      </c>
      <c r="T10" s="664" t="s">
        <v>14</v>
      </c>
      <c r="U10" s="665">
        <f t="shared" si="1"/>
        <v>100</v>
      </c>
      <c r="V10" s="664" t="s">
        <v>14</v>
      </c>
      <c r="W10" s="665">
        <f t="shared" si="2"/>
        <v>100</v>
      </c>
      <c r="X10" s="666"/>
      <c r="Y10" s="328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395"/>
      <c r="Q11" s="530" t="str">
        <f t="shared" si="6"/>
        <v>容积率</v>
      </c>
      <c r="R11" s="664" t="s">
        <v>14</v>
      </c>
      <c r="S11" s="665">
        <f t="shared" si="0"/>
        <v>100</v>
      </c>
      <c r="T11" s="664" t="s">
        <v>14</v>
      </c>
      <c r="U11" s="665">
        <f t="shared" si="1"/>
        <v>100</v>
      </c>
      <c r="V11" s="664" t="s">
        <v>14</v>
      </c>
      <c r="W11" s="665">
        <f t="shared" si="2"/>
        <v>100</v>
      </c>
      <c r="X11" s="666"/>
      <c r="Y11" s="328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395"/>
      <c r="Q12" s="530">
        <f t="shared" si="6"/>
        <v>111</v>
      </c>
      <c r="R12" s="664" t="s">
        <v>14</v>
      </c>
      <c r="S12" s="665">
        <f t="shared" si="0"/>
        <v>100</v>
      </c>
      <c r="T12" s="664" t="s">
        <v>14</v>
      </c>
      <c r="U12" s="665">
        <f t="shared" si="1"/>
        <v>100</v>
      </c>
      <c r="V12" s="664" t="s">
        <v>14</v>
      </c>
      <c r="W12" s="665">
        <f t="shared" si="2"/>
        <v>100</v>
      </c>
      <c r="X12" s="666"/>
      <c r="Y12" s="328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95"/>
      <c r="Q13" s="530">
        <f t="shared" si="6"/>
        <v>111</v>
      </c>
      <c r="R13" s="664" t="s">
        <v>14</v>
      </c>
      <c r="S13" s="665">
        <f t="shared" si="0"/>
        <v>100</v>
      </c>
      <c r="T13" s="664" t="s">
        <v>14</v>
      </c>
      <c r="U13" s="665">
        <f t="shared" si="1"/>
        <v>100</v>
      </c>
      <c r="V13" s="664" t="s">
        <v>14</v>
      </c>
      <c r="W13" s="665">
        <f t="shared" si="2"/>
        <v>100</v>
      </c>
      <c r="X13" s="666"/>
      <c r="Y13" s="328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95"/>
      <c r="Q14" s="530">
        <f t="shared" si="6"/>
        <v>111</v>
      </c>
      <c r="R14" s="664" t="s">
        <v>14</v>
      </c>
      <c r="S14" s="665">
        <f t="shared" si="0"/>
        <v>100</v>
      </c>
      <c r="T14" s="664" t="s">
        <v>14</v>
      </c>
      <c r="U14" s="665">
        <f t="shared" si="1"/>
        <v>100</v>
      </c>
      <c r="V14" s="664" t="s">
        <v>14</v>
      </c>
      <c r="W14" s="665">
        <f t="shared" si="2"/>
        <v>100</v>
      </c>
      <c r="X14" s="666"/>
      <c r="Y14" s="328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93" t="s">
        <v>1691</v>
      </c>
      <c r="Q15" s="1263" t="str">
        <f t="shared" si="6"/>
        <v>居住社区成熟度</v>
      </c>
      <c r="R15" s="667" t="s">
        <v>14</v>
      </c>
      <c r="S15" s="668">
        <f t="shared" si="0"/>
        <v>100</v>
      </c>
      <c r="T15" s="667" t="s">
        <v>14</v>
      </c>
      <c r="U15" s="668">
        <f t="shared" si="1"/>
        <v>100</v>
      </c>
      <c r="V15" s="667" t="s">
        <v>14</v>
      </c>
      <c r="W15" s="668">
        <f t="shared" si="2"/>
        <v>100</v>
      </c>
      <c r="X15" s="1265"/>
      <c r="Y15" s="3386" t="s">
        <v>1691</v>
      </c>
      <c r="Z15" s="1264" t="str">
        <f t="shared" si="7"/>
        <v>居住社区成熟度</v>
      </c>
      <c r="AA15" s="1264">
        <f t="shared" si="3"/>
        <v>1</v>
      </c>
      <c r="AB15" s="1264">
        <f t="shared" si="4"/>
        <v>1</v>
      </c>
      <c r="AC15" s="1264">
        <f t="shared" si="5"/>
        <v>1</v>
      </c>
    </row>
    <row r="16" spans="1:29" ht="15">
      <c r="A16" s="367"/>
      <c r="B16" s="385"/>
      <c r="C16" s="386" t="s">
        <v>3454</v>
      </c>
      <c r="D16" s="387"/>
      <c r="E16" s="386" t="s">
        <v>3454</v>
      </c>
      <c r="F16" s="387"/>
      <c r="G16" s="386" t="s">
        <v>3454</v>
      </c>
      <c r="H16" s="389"/>
      <c r="I16" s="386" t="s">
        <v>3454</v>
      </c>
      <c r="J16" s="387"/>
      <c r="K16" s="1753"/>
      <c r="L16" s="2491"/>
      <c r="M16" s="2486"/>
      <c r="N16" s="2486"/>
      <c r="O16" s="2486"/>
      <c r="P16" s="3394"/>
      <c r="Q16" s="1263"/>
      <c r="R16" s="667"/>
      <c r="S16" s="668"/>
      <c r="T16" s="667"/>
      <c r="U16" s="668"/>
      <c r="V16" s="667"/>
      <c r="W16" s="668"/>
      <c r="X16" s="1265"/>
      <c r="Y16" s="3387"/>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94"/>
      <c r="Q17" s="1263" t="str">
        <f>B17</f>
        <v>交通便捷度</v>
      </c>
      <c r="R17" s="667" t="s">
        <v>14</v>
      </c>
      <c r="S17" s="668">
        <f>F17</f>
        <v>100</v>
      </c>
      <c r="T17" s="667" t="s">
        <v>14</v>
      </c>
      <c r="U17" s="668">
        <f>H17</f>
        <v>100</v>
      </c>
      <c r="V17" s="667" t="s">
        <v>14</v>
      </c>
      <c r="W17" s="668">
        <f>J17</f>
        <v>100</v>
      </c>
      <c r="X17" s="1265"/>
      <c r="Y17" s="3387"/>
      <c r="Z17" s="1264" t="str">
        <f>Q17</f>
        <v>交通便捷度</v>
      </c>
      <c r="AA17" s="1264">
        <f t="shared" si="3"/>
        <v>1</v>
      </c>
      <c r="AB17" s="1264">
        <f t="shared" si="4"/>
        <v>1</v>
      </c>
      <c r="AC17" s="1264">
        <f t="shared" si="5"/>
        <v>1</v>
      </c>
    </row>
    <row r="18" spans="1:29" ht="15">
      <c r="A18" s="367"/>
      <c r="B18" s="395"/>
      <c r="C18" s="1755" t="s">
        <v>3454</v>
      </c>
      <c r="D18" s="389"/>
      <c r="E18" s="386" t="s">
        <v>3454</v>
      </c>
      <c r="F18" s="389"/>
      <c r="G18" s="386" t="s">
        <v>3454</v>
      </c>
      <c r="H18" s="387"/>
      <c r="I18" s="386" t="s">
        <v>3454</v>
      </c>
      <c r="J18" s="387"/>
      <c r="K18" s="1753"/>
      <c r="L18" s="2491"/>
      <c r="M18" s="2486"/>
      <c r="N18" s="2486"/>
      <c r="O18" s="2486"/>
      <c r="P18" s="3394"/>
      <c r="Q18" s="1263"/>
      <c r="R18" s="667"/>
      <c r="S18" s="668"/>
      <c r="T18" s="667"/>
      <c r="U18" s="668"/>
      <c r="V18" s="667"/>
      <c r="W18" s="668"/>
      <c r="X18" s="1265"/>
      <c r="Y18" s="3387"/>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94"/>
      <c r="Q19" s="1263" t="str">
        <f>B19</f>
        <v>公共配套设施</v>
      </c>
      <c r="R19" s="667" t="s">
        <v>14</v>
      </c>
      <c r="S19" s="668">
        <f>F19</f>
        <v>100</v>
      </c>
      <c r="T19" s="667" t="s">
        <v>14</v>
      </c>
      <c r="U19" s="668">
        <f>H19</f>
        <v>100</v>
      </c>
      <c r="V19" s="667" t="s">
        <v>14</v>
      </c>
      <c r="W19" s="668">
        <f>J19</f>
        <v>100</v>
      </c>
      <c r="X19" s="1265"/>
      <c r="Y19" s="3387"/>
      <c r="Z19" s="1264" t="str">
        <f>Q19</f>
        <v>公共配套设施</v>
      </c>
      <c r="AA19" s="1264">
        <f t="shared" si="3"/>
        <v>1</v>
      </c>
      <c r="AB19" s="1264">
        <f t="shared" si="4"/>
        <v>1</v>
      </c>
      <c r="AC19" s="1264">
        <f t="shared" si="5"/>
        <v>1</v>
      </c>
    </row>
    <row r="20" spans="1:29" ht="15">
      <c r="A20" s="367"/>
      <c r="B20" s="395"/>
      <c r="C20" s="386" t="s">
        <v>3454</v>
      </c>
      <c r="D20" s="387"/>
      <c r="E20" s="386" t="s">
        <v>3454</v>
      </c>
      <c r="F20" s="387"/>
      <c r="G20" s="386" t="s">
        <v>3454</v>
      </c>
      <c r="H20" s="387"/>
      <c r="I20" s="386" t="s">
        <v>3454</v>
      </c>
      <c r="J20" s="387"/>
      <c r="K20" s="1753"/>
      <c r="L20" s="2491"/>
      <c r="M20" s="2486"/>
      <c r="N20" s="2486"/>
      <c r="O20" s="2486"/>
      <c r="P20" s="3394"/>
      <c r="Q20" s="1263"/>
      <c r="R20" s="667"/>
      <c r="S20" s="668"/>
      <c r="T20" s="667"/>
      <c r="U20" s="668"/>
      <c r="V20" s="667"/>
      <c r="W20" s="668"/>
      <c r="X20" s="1265"/>
      <c r="Y20" s="3387"/>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94"/>
      <c r="Q21" s="1263" t="str">
        <f>B21</f>
        <v>基础设施水平</v>
      </c>
      <c r="R21" s="667" t="s">
        <v>14</v>
      </c>
      <c r="S21" s="668">
        <f>F21</f>
        <v>100</v>
      </c>
      <c r="T21" s="667" t="s">
        <v>14</v>
      </c>
      <c r="U21" s="668">
        <f>H21</f>
        <v>100</v>
      </c>
      <c r="V21" s="667" t="s">
        <v>14</v>
      </c>
      <c r="W21" s="668">
        <f>J21</f>
        <v>100</v>
      </c>
      <c r="X21" s="1265"/>
      <c r="Y21" s="3387"/>
      <c r="Z21" s="1264" t="str">
        <f>Q21</f>
        <v>基础设施水平</v>
      </c>
      <c r="AA21" s="1264">
        <f t="shared" ref="AA21" si="8">D21/F21</f>
        <v>1</v>
      </c>
      <c r="AB21" s="1264">
        <f t="shared" ref="AB21" si="9">D21/H21</f>
        <v>1</v>
      </c>
      <c r="AC21" s="1264">
        <f t="shared" ref="AC21" si="10">D21/J21</f>
        <v>1</v>
      </c>
    </row>
    <row r="22" spans="1:29" ht="15">
      <c r="A22" s="367"/>
      <c r="B22" s="586"/>
      <c r="C22" s="1755" t="s">
        <v>3456</v>
      </c>
      <c r="D22" s="387"/>
      <c r="E22" s="1755" t="s">
        <v>3456</v>
      </c>
      <c r="F22" s="387"/>
      <c r="G22" s="1755" t="s">
        <v>3456</v>
      </c>
      <c r="H22" s="387"/>
      <c r="I22" s="1755" t="s">
        <v>3456</v>
      </c>
      <c r="J22" s="387"/>
      <c r="K22" s="1759"/>
      <c r="L22" s="2491"/>
      <c r="M22" s="2486"/>
      <c r="N22" s="2486"/>
      <c r="O22" s="2486"/>
      <c r="P22" s="3394"/>
      <c r="Q22" s="1263"/>
      <c r="R22" s="667"/>
      <c r="S22" s="668"/>
      <c r="T22" s="667"/>
      <c r="U22" s="668"/>
      <c r="V22" s="667"/>
      <c r="W22" s="668"/>
      <c r="X22" s="1265"/>
      <c r="Y22" s="3387"/>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94"/>
      <c r="Q23" s="1263" t="str">
        <f>B23</f>
        <v>自然及人文环境</v>
      </c>
      <c r="R23" s="667" t="s">
        <v>14</v>
      </c>
      <c r="S23" s="668">
        <f>F23</f>
        <v>100</v>
      </c>
      <c r="T23" s="667" t="s">
        <v>14</v>
      </c>
      <c r="U23" s="668">
        <f>H23</f>
        <v>100</v>
      </c>
      <c r="V23" s="667" t="s">
        <v>14</v>
      </c>
      <c r="W23" s="668">
        <f>J23</f>
        <v>100</v>
      </c>
      <c r="X23" s="1265"/>
      <c r="Y23" s="3387"/>
      <c r="Z23" s="1264" t="str">
        <f>Q23</f>
        <v>自然及人文环境</v>
      </c>
      <c r="AA23" s="1264">
        <f>D23/F23</f>
        <v>1</v>
      </c>
      <c r="AB23" s="1264">
        <f>D23/H23</f>
        <v>1</v>
      </c>
      <c r="AC23" s="1264">
        <f>D23/J23</f>
        <v>1</v>
      </c>
    </row>
    <row r="24" spans="1:29" ht="15">
      <c r="A24" s="367"/>
      <c r="B24" s="395"/>
      <c r="C24" s="386" t="s">
        <v>3454</v>
      </c>
      <c r="D24" s="387"/>
      <c r="E24" s="386" t="s">
        <v>3454</v>
      </c>
      <c r="F24" s="387"/>
      <c r="G24" s="386" t="s">
        <v>3454</v>
      </c>
      <c r="H24" s="387"/>
      <c r="I24" s="386" t="s">
        <v>3454</v>
      </c>
      <c r="J24" s="387"/>
      <c r="K24" s="1753"/>
      <c r="L24" s="2491"/>
      <c r="M24" s="2486"/>
      <c r="N24" s="2486"/>
      <c r="O24" s="2486"/>
      <c r="P24" s="3394"/>
      <c r="Q24" s="1263"/>
      <c r="R24" s="667"/>
      <c r="S24" s="668"/>
      <c r="T24" s="667"/>
      <c r="U24" s="668"/>
      <c r="V24" s="667"/>
      <c r="W24" s="668"/>
      <c r="X24" s="1265"/>
      <c r="Y24" s="338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94"/>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387"/>
      <c r="Z25" s="1264" t="str">
        <f>Q25</f>
        <v>楼层-1</v>
      </c>
      <c r="AA25" s="1264">
        <f t="shared" ref="AA25:AA46" si="15">D25/F25</f>
        <v>1</v>
      </c>
      <c r="AB25" s="1264">
        <f t="shared" ref="AB25:AB46" si="16">D25/H25</f>
        <v>1</v>
      </c>
      <c r="AC25" s="1264">
        <f t="shared" ref="AC25:AC46" si="17">D25/J25</f>
        <v>1</v>
      </c>
    </row>
    <row r="26" spans="1:29" ht="15">
      <c r="A26" s="367"/>
      <c r="B26" s="364" t="s">
        <v>1693</v>
      </c>
      <c r="C26" s="399" t="s">
        <v>3458</v>
      </c>
      <c r="D26" s="374">
        <v>100</v>
      </c>
      <c r="E26" s="399" t="s">
        <v>3458</v>
      </c>
      <c r="F26" s="374">
        <f>SUMIF(88:88,E26,89:89)-SUMIF(88:88,C26,89:89)+100</f>
        <v>100</v>
      </c>
      <c r="G26" s="399" t="s">
        <v>3458</v>
      </c>
      <c r="H26" s="374">
        <f>SUMIF(88:88,G26,89:89)-SUMIF(88:88,C26,89:89)+100</f>
        <v>100</v>
      </c>
      <c r="I26" s="399" t="s">
        <v>3458</v>
      </c>
      <c r="J26" s="374">
        <f>SUMIF(88:88,I26,89:89)-SUMIF(88:88,C26,89:89)+100</f>
        <v>100</v>
      </c>
      <c r="K26" s="365">
        <v>1</v>
      </c>
      <c r="L26" s="2491"/>
      <c r="M26" s="2486"/>
      <c r="N26" s="2486"/>
      <c r="O26" s="2486"/>
      <c r="P26" s="3394"/>
      <c r="Q26" s="1263" t="str">
        <f t="shared" si="11"/>
        <v>朝向</v>
      </c>
      <c r="R26" s="667" t="s">
        <v>14</v>
      </c>
      <c r="S26" s="668">
        <f t="shared" si="12"/>
        <v>100</v>
      </c>
      <c r="T26" s="667" t="s">
        <v>14</v>
      </c>
      <c r="U26" s="668">
        <f t="shared" si="13"/>
        <v>100</v>
      </c>
      <c r="V26" s="667" t="s">
        <v>14</v>
      </c>
      <c r="W26" s="668">
        <f t="shared" si="14"/>
        <v>100</v>
      </c>
      <c r="X26" s="1265"/>
      <c r="Y26" s="3387"/>
      <c r="Z26" s="1264" t="str">
        <f>Q26</f>
        <v>朝向</v>
      </c>
      <c r="AA26" s="1264">
        <f t="shared" si="15"/>
        <v>1</v>
      </c>
      <c r="AB26" s="1264">
        <f t="shared" si="16"/>
        <v>1</v>
      </c>
      <c r="AC26" s="1264">
        <f t="shared" si="17"/>
        <v>1</v>
      </c>
    </row>
    <row r="27" spans="1:29" s="102" customFormat="1" ht="15">
      <c r="A27" s="370"/>
      <c r="B27" s="3170" t="s">
        <v>3446</v>
      </c>
      <c r="C27" s="3186" t="s">
        <v>3590</v>
      </c>
      <c r="D27" s="401">
        <v>100</v>
      </c>
      <c r="E27" s="3188" t="s">
        <v>3590</v>
      </c>
      <c r="F27" s="401">
        <f>SUMIF(90:90,E27,91:91)-SUMIF(90:90,C27,91:91)+100</f>
        <v>100</v>
      </c>
      <c r="G27" s="3187" t="s">
        <v>3591</v>
      </c>
      <c r="H27" s="401">
        <f>SUMIF(90:90,G27,91:91)-SUMIF(90:90,C27,91:91)+100</f>
        <v>98</v>
      </c>
      <c r="I27" s="3187" t="s">
        <v>3592</v>
      </c>
      <c r="J27" s="401">
        <f>SUMIF(90:90,I27,91:91)-SUMIF(90:90,C27,91:91)+100</f>
        <v>99</v>
      </c>
      <c r="K27" s="1748"/>
      <c r="L27" s="2487"/>
      <c r="M27" s="2438"/>
      <c r="N27" s="2438"/>
      <c r="O27" s="2438"/>
      <c r="P27" s="3394"/>
      <c r="Q27" s="530" t="str">
        <f t="shared" si="11"/>
        <v>楼层</v>
      </c>
      <c r="R27" s="664" t="s">
        <v>14</v>
      </c>
      <c r="S27" s="665">
        <f t="shared" si="12"/>
        <v>100</v>
      </c>
      <c r="T27" s="664" t="s">
        <v>14</v>
      </c>
      <c r="U27" s="665">
        <f t="shared" si="13"/>
        <v>98</v>
      </c>
      <c r="V27" s="664" t="s">
        <v>14</v>
      </c>
      <c r="W27" s="665">
        <f t="shared" si="14"/>
        <v>99</v>
      </c>
      <c r="X27" s="666"/>
      <c r="Y27" s="3387"/>
      <c r="Z27" s="50" t="str">
        <f>Q27</f>
        <v>楼层</v>
      </c>
      <c r="AA27" s="1264">
        <f t="shared" si="15"/>
        <v>1</v>
      </c>
      <c r="AB27" s="1264">
        <f t="shared" si="16"/>
        <v>1.0204081632653061</v>
      </c>
      <c r="AC27" s="1264">
        <f t="shared" si="17"/>
        <v>1.0101010101010102</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94"/>
      <c r="Q28" s="1263">
        <f t="shared" si="11"/>
        <v>111</v>
      </c>
      <c r="R28" s="667" t="s">
        <v>14</v>
      </c>
      <c r="S28" s="668">
        <f t="shared" si="12"/>
        <v>100</v>
      </c>
      <c r="T28" s="667" t="s">
        <v>14</v>
      </c>
      <c r="U28" s="668">
        <f t="shared" si="13"/>
        <v>100</v>
      </c>
      <c r="V28" s="667" t="s">
        <v>14</v>
      </c>
      <c r="W28" s="668">
        <f t="shared" si="14"/>
        <v>100</v>
      </c>
      <c r="X28" s="1265"/>
      <c r="Y28" s="338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94"/>
      <c r="Q29" s="1263">
        <f t="shared" si="11"/>
        <v>111</v>
      </c>
      <c r="R29" s="667" t="s">
        <v>14</v>
      </c>
      <c r="S29" s="668">
        <f t="shared" si="12"/>
        <v>100</v>
      </c>
      <c r="T29" s="667" t="s">
        <v>14</v>
      </c>
      <c r="U29" s="668">
        <f t="shared" si="13"/>
        <v>100</v>
      </c>
      <c r="V29" s="667" t="s">
        <v>14</v>
      </c>
      <c r="W29" s="668">
        <f t="shared" si="14"/>
        <v>100</v>
      </c>
      <c r="X29" s="1265"/>
      <c r="Y29" s="338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94"/>
      <c r="Q30" s="1263">
        <f t="shared" si="11"/>
        <v>111</v>
      </c>
      <c r="R30" s="667" t="s">
        <v>14</v>
      </c>
      <c r="S30" s="668">
        <f t="shared" si="12"/>
        <v>100</v>
      </c>
      <c r="T30" s="667" t="s">
        <v>14</v>
      </c>
      <c r="U30" s="668">
        <f t="shared" si="13"/>
        <v>100</v>
      </c>
      <c r="V30" s="667" t="s">
        <v>14</v>
      </c>
      <c r="W30" s="668">
        <f t="shared" si="14"/>
        <v>100</v>
      </c>
      <c r="X30" s="1265"/>
      <c r="Y30" s="338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94"/>
      <c r="Q31" s="1263">
        <f t="shared" si="11"/>
        <v>111</v>
      </c>
      <c r="R31" s="667" t="s">
        <v>14</v>
      </c>
      <c r="S31" s="668">
        <f t="shared" si="12"/>
        <v>100</v>
      </c>
      <c r="T31" s="667" t="s">
        <v>14</v>
      </c>
      <c r="U31" s="668">
        <f t="shared" si="13"/>
        <v>100</v>
      </c>
      <c r="V31" s="667" t="s">
        <v>14</v>
      </c>
      <c r="W31" s="668">
        <f t="shared" si="14"/>
        <v>100</v>
      </c>
      <c r="X31" s="1265"/>
      <c r="Y31" s="3387"/>
      <c r="Z31" s="1264">
        <f t="shared" si="18"/>
        <v>111</v>
      </c>
      <c r="AA31" s="1264">
        <f t="shared" si="15"/>
        <v>1</v>
      </c>
      <c r="AB31" s="1264">
        <f t="shared" si="16"/>
        <v>1</v>
      </c>
      <c r="AC31" s="1264">
        <f t="shared" si="17"/>
        <v>1</v>
      </c>
    </row>
    <row r="32" spans="1:29" ht="15">
      <c r="A32" s="379" t="s">
        <v>1694</v>
      </c>
      <c r="B32" s="60" t="s">
        <v>1695</v>
      </c>
      <c r="C32" s="1764" t="s">
        <v>3435</v>
      </c>
      <c r="D32" s="405">
        <v>100</v>
      </c>
      <c r="E32" s="1764" t="s">
        <v>3435</v>
      </c>
      <c r="F32" s="400">
        <f>SUMIF(100:100,E32,101:101)-SUMIF(100:100,C32,101:101)+100</f>
        <v>100</v>
      </c>
      <c r="G32" s="1764" t="s">
        <v>3435</v>
      </c>
      <c r="H32" s="405">
        <f>SUMIF(100:100,G32,101:101)-SUMIF(100:100,C32,101:101)+100</f>
        <v>100</v>
      </c>
      <c r="I32" s="1764" t="s">
        <v>3435</v>
      </c>
      <c r="J32" s="374">
        <f>SUMIF(100:100,I32,101:101)-SUMIF(100:100,C32,101:101)+100</f>
        <v>100</v>
      </c>
      <c r="K32" s="365"/>
      <c r="L32" s="2491"/>
      <c r="M32" s="2486"/>
      <c r="N32" s="2486"/>
      <c r="O32" s="2486"/>
      <c r="P32" s="3388" t="s">
        <v>1696</v>
      </c>
      <c r="Q32" s="1263" t="str">
        <f t="shared" si="11"/>
        <v>建筑类型</v>
      </c>
      <c r="R32" s="667" t="s">
        <v>14</v>
      </c>
      <c r="S32" s="668">
        <f t="shared" si="12"/>
        <v>100</v>
      </c>
      <c r="T32" s="667" t="s">
        <v>14</v>
      </c>
      <c r="U32" s="668">
        <f t="shared" si="13"/>
        <v>100</v>
      </c>
      <c r="V32" s="667" t="s">
        <v>14</v>
      </c>
      <c r="W32" s="668">
        <f t="shared" si="14"/>
        <v>100</v>
      </c>
      <c r="X32" s="1265"/>
      <c r="Y32" s="3391"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184.46</v>
      </c>
      <c r="D33" s="119">
        <v>100</v>
      </c>
      <c r="E33" s="369">
        <f>成交案例!L8</f>
        <v>182.69</v>
      </c>
      <c r="F33" s="364">
        <f>LOOKUP(E33,103:103,104:104)-LOOKUP(C33,103:103,104:104)+100</f>
        <v>100</v>
      </c>
      <c r="G33" s="368">
        <f>成交案例!L10</f>
        <v>196.4</v>
      </c>
      <c r="H33" s="119">
        <f>LOOKUP(G33,103:103,104:104)-LOOKUP(C33,103:103,104:104)+100</f>
        <v>100</v>
      </c>
      <c r="I33" s="369">
        <f>成交案例!L12</f>
        <v>176</v>
      </c>
      <c r="J33" s="119">
        <f>LOOKUP(I33,103:103,104:104)-LOOKUP(C33,103:103,104:104)+100</f>
        <v>100</v>
      </c>
      <c r="K33" s="1748"/>
      <c r="L33" s="2490"/>
      <c r="M33" s="2492"/>
      <c r="N33" s="2492"/>
      <c r="O33" s="2492"/>
      <c r="P33" s="3389"/>
      <c r="Q33" s="531" t="str">
        <f t="shared" si="11"/>
        <v>项目建筑规模</v>
      </c>
      <c r="R33" s="669" t="s">
        <v>14</v>
      </c>
      <c r="S33" s="670">
        <f t="shared" si="12"/>
        <v>100</v>
      </c>
      <c r="T33" s="669" t="s">
        <v>14</v>
      </c>
      <c r="U33" s="670">
        <f t="shared" si="13"/>
        <v>100</v>
      </c>
      <c r="V33" s="669" t="s">
        <v>14</v>
      </c>
      <c r="W33" s="670">
        <f t="shared" si="14"/>
        <v>100</v>
      </c>
      <c r="X33" s="671"/>
      <c r="Y33" s="3391"/>
      <c r="Z33" s="672" t="str">
        <f t="shared" si="18"/>
        <v>项目建筑规模</v>
      </c>
      <c r="AA33" s="1264">
        <f t="shared" si="15"/>
        <v>1</v>
      </c>
      <c r="AB33" s="1264">
        <f t="shared" si="16"/>
        <v>1</v>
      </c>
      <c r="AC33" s="1264">
        <f t="shared" si="17"/>
        <v>1</v>
      </c>
    </row>
    <row r="34" spans="1:29" ht="15">
      <c r="A34" s="409"/>
      <c r="B34" s="364" t="s">
        <v>1698</v>
      </c>
      <c r="C34" s="399" t="s">
        <v>3432</v>
      </c>
      <c r="D34" s="374">
        <v>100</v>
      </c>
      <c r="E34" s="399" t="s">
        <v>3432</v>
      </c>
      <c r="F34" s="400">
        <f>SUMIF(105:105,E34,106:106)-SUMIF(105:105,C34,106:106)+100</f>
        <v>100</v>
      </c>
      <c r="G34" s="399" t="s">
        <v>3432</v>
      </c>
      <c r="H34" s="374">
        <f>SUMIF(105:105,G34,106:106)-SUMIF(105:105,C34,106:106)+100</f>
        <v>100</v>
      </c>
      <c r="I34" s="399" t="s">
        <v>3432</v>
      </c>
      <c r="J34" s="374">
        <f>SUMIF(105:105,I34,106:106)-SUMIF(105:105,C34,106:106)+100</f>
        <v>100</v>
      </c>
      <c r="K34" s="365"/>
      <c r="L34" s="2491"/>
      <c r="M34" s="2486"/>
      <c r="N34" s="2486"/>
      <c r="O34" s="2486"/>
      <c r="P34" s="3389"/>
      <c r="Q34" s="1263" t="str">
        <f t="shared" si="11"/>
        <v>建筑结构</v>
      </c>
      <c r="R34" s="667" t="s">
        <v>14</v>
      </c>
      <c r="S34" s="668">
        <f t="shared" si="12"/>
        <v>100</v>
      </c>
      <c r="T34" s="667" t="s">
        <v>14</v>
      </c>
      <c r="U34" s="668">
        <f t="shared" si="13"/>
        <v>100</v>
      </c>
      <c r="V34" s="667" t="s">
        <v>14</v>
      </c>
      <c r="W34" s="668">
        <f t="shared" si="14"/>
        <v>100</v>
      </c>
      <c r="X34" s="1265"/>
      <c r="Y34" s="3391"/>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389"/>
      <c r="Q35" s="1263" t="str">
        <f t="shared" si="11"/>
        <v>建筑品质</v>
      </c>
      <c r="R35" s="667" t="s">
        <v>14</v>
      </c>
      <c r="S35" s="668">
        <f t="shared" si="12"/>
        <v>100</v>
      </c>
      <c r="T35" s="667" t="s">
        <v>14</v>
      </c>
      <c r="U35" s="668">
        <f t="shared" si="13"/>
        <v>100</v>
      </c>
      <c r="V35" s="667" t="s">
        <v>14</v>
      </c>
      <c r="W35" s="668">
        <f t="shared" si="14"/>
        <v>100</v>
      </c>
      <c r="X35" s="1265"/>
      <c r="Y35" s="3391"/>
      <c r="Z35" s="1264" t="str">
        <f t="shared" si="18"/>
        <v>建筑品质</v>
      </c>
      <c r="AA35" s="1264">
        <f t="shared" si="15"/>
        <v>1</v>
      </c>
      <c r="AB35" s="1264">
        <f t="shared" si="16"/>
        <v>1</v>
      </c>
      <c r="AC35" s="1264">
        <f t="shared" si="17"/>
        <v>1</v>
      </c>
    </row>
    <row r="36" spans="1:29" ht="15">
      <c r="A36" s="409"/>
      <c r="B36" s="364" t="s">
        <v>1700</v>
      </c>
      <c r="C36" s="1760" t="s">
        <v>3418</v>
      </c>
      <c r="D36" s="374">
        <v>100</v>
      </c>
      <c r="E36" s="1760" t="s">
        <v>3418</v>
      </c>
      <c r="F36" s="400">
        <f>SUMIF(109:109,E36,110:110)-SUMIF(109:109,C36,110:110)+100</f>
        <v>100</v>
      </c>
      <c r="G36" s="1760" t="s">
        <v>3418</v>
      </c>
      <c r="H36" s="374">
        <f>SUMIF(109:109,G36,110:110)-SUMIF(109:109,C36,110:110)+100</f>
        <v>100</v>
      </c>
      <c r="I36" s="1760" t="s">
        <v>3418</v>
      </c>
      <c r="J36" s="374">
        <f>SUMIF(109:109,I36,110:110)-SUMIF(109:109,C36,110:110)+100</f>
        <v>100</v>
      </c>
      <c r="K36" s="365"/>
      <c r="L36" s="2491"/>
      <c r="M36" s="2486"/>
      <c r="N36" s="2486"/>
      <c r="O36" s="2486"/>
      <c r="P36" s="3389"/>
      <c r="Q36" s="1263" t="str">
        <f t="shared" si="11"/>
        <v>公共部分装修</v>
      </c>
      <c r="R36" s="667" t="s">
        <v>14</v>
      </c>
      <c r="S36" s="668">
        <f t="shared" si="12"/>
        <v>100</v>
      </c>
      <c r="T36" s="667" t="s">
        <v>14</v>
      </c>
      <c r="U36" s="668">
        <f t="shared" si="13"/>
        <v>100</v>
      </c>
      <c r="V36" s="667" t="s">
        <v>14</v>
      </c>
      <c r="W36" s="668">
        <f t="shared" si="14"/>
        <v>100</v>
      </c>
      <c r="X36" s="1265"/>
      <c r="Y36" s="3391"/>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389"/>
      <c r="Q37" s="530" t="str">
        <f t="shared" si="11"/>
        <v>成新度</v>
      </c>
      <c r="R37" s="664" t="s">
        <v>14</v>
      </c>
      <c r="S37" s="665">
        <f t="shared" si="12"/>
        <v>100</v>
      </c>
      <c r="T37" s="664" t="s">
        <v>14</v>
      </c>
      <c r="U37" s="665">
        <f t="shared" si="13"/>
        <v>100</v>
      </c>
      <c r="V37" s="664" t="s">
        <v>14</v>
      </c>
      <c r="W37" s="665">
        <f t="shared" si="14"/>
        <v>100</v>
      </c>
      <c r="X37" s="666"/>
      <c r="Y37" s="3391"/>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89" t="s">
        <v>1696</v>
      </c>
      <c r="Q38" s="1263" t="str">
        <f t="shared" si="11"/>
        <v>物业管理</v>
      </c>
      <c r="R38" s="667" t="s">
        <v>14</v>
      </c>
      <c r="S38" s="668">
        <f t="shared" si="12"/>
        <v>100</v>
      </c>
      <c r="T38" s="667" t="s">
        <v>14</v>
      </c>
      <c r="U38" s="668">
        <f t="shared" si="13"/>
        <v>100</v>
      </c>
      <c r="V38" s="667" t="s">
        <v>14</v>
      </c>
      <c r="W38" s="668">
        <f t="shared" si="14"/>
        <v>100</v>
      </c>
      <c r="X38" s="1265"/>
      <c r="Y38" s="339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89"/>
      <c r="Q39" s="1263" t="str">
        <f t="shared" si="11"/>
        <v>市政基础设施</v>
      </c>
      <c r="R39" s="667" t="s">
        <v>14</v>
      </c>
      <c r="S39" s="668">
        <f t="shared" si="12"/>
        <v>100</v>
      </c>
      <c r="T39" s="667" t="s">
        <v>14</v>
      </c>
      <c r="U39" s="668">
        <f t="shared" si="13"/>
        <v>100</v>
      </c>
      <c r="V39" s="667" t="s">
        <v>14</v>
      </c>
      <c r="W39" s="668">
        <f t="shared" si="14"/>
        <v>100</v>
      </c>
      <c r="X39" s="1265"/>
      <c r="Y39" s="339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89"/>
      <c r="Q40" s="1263" t="str">
        <f t="shared" si="11"/>
        <v>房型</v>
      </c>
      <c r="R40" s="667" t="s">
        <v>14</v>
      </c>
      <c r="S40" s="668">
        <f t="shared" si="12"/>
        <v>100</v>
      </c>
      <c r="T40" s="667" t="s">
        <v>14</v>
      </c>
      <c r="U40" s="668">
        <f t="shared" si="13"/>
        <v>100</v>
      </c>
      <c r="V40" s="667" t="s">
        <v>14</v>
      </c>
      <c r="W40" s="668">
        <f t="shared" si="14"/>
        <v>100</v>
      </c>
      <c r="X40" s="1265"/>
      <c r="Y40" s="339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89"/>
      <c r="Q41" s="531" t="str">
        <f t="shared" si="11"/>
        <v>单套/主力户型建筑面积</v>
      </c>
      <c r="R41" s="669" t="s">
        <v>14</v>
      </c>
      <c r="S41" s="670">
        <f t="shared" si="12"/>
        <v>100</v>
      </c>
      <c r="T41" s="669" t="s">
        <v>14</v>
      </c>
      <c r="U41" s="670">
        <f t="shared" si="13"/>
        <v>100</v>
      </c>
      <c r="V41" s="669" t="s">
        <v>14</v>
      </c>
      <c r="W41" s="670">
        <f t="shared" si="14"/>
        <v>100</v>
      </c>
      <c r="X41" s="671"/>
      <c r="Y41" s="3391"/>
      <c r="Z41" s="672" t="str">
        <f t="shared" si="18"/>
        <v>单套/主力户型建筑面积</v>
      </c>
      <c r="AA41" s="1264">
        <f t="shared" si="15"/>
        <v>1</v>
      </c>
      <c r="AB41" s="1264">
        <f t="shared" si="16"/>
        <v>1</v>
      </c>
      <c r="AC41" s="1264">
        <f t="shared" si="17"/>
        <v>1</v>
      </c>
    </row>
    <row r="42" spans="1:29" ht="15">
      <c r="A42" s="409"/>
      <c r="B42" s="364" t="s">
        <v>1706</v>
      </c>
      <c r="C42" s="1760" t="s">
        <v>3578</v>
      </c>
      <c r="D42" s="374">
        <v>100</v>
      </c>
      <c r="E42" s="1761" t="s">
        <v>3418</v>
      </c>
      <c r="F42" s="400">
        <f>SUMIF(122:122,E42,123:123)-SUMIF(122:122,C42,123:123)+100</f>
        <v>102</v>
      </c>
      <c r="G42" s="1760" t="s">
        <v>3457</v>
      </c>
      <c r="H42" s="374">
        <f>SUMIF(122:122,G42,123:123)-SUMIF(122:122,C42,123:123)+100</f>
        <v>104</v>
      </c>
      <c r="I42" s="1761" t="s">
        <v>3418</v>
      </c>
      <c r="J42" s="374">
        <f>SUMIF(122:122,I42,123:123)-SUMIF(122:122,C42,123:123)+100</f>
        <v>102</v>
      </c>
      <c r="K42" s="365">
        <v>2</v>
      </c>
      <c r="L42" s="2491"/>
      <c r="M42" s="2486">
        <f>C48*0.01</f>
        <v>0.82000000000000006</v>
      </c>
      <c r="N42" s="2486"/>
      <c r="O42" s="2486"/>
      <c r="P42" s="3389"/>
      <c r="Q42" s="1263" t="str">
        <f t="shared" si="11"/>
        <v>内部装修</v>
      </c>
      <c r="R42" s="667" t="s">
        <v>14</v>
      </c>
      <c r="S42" s="668">
        <f t="shared" si="12"/>
        <v>102</v>
      </c>
      <c r="T42" s="667" t="s">
        <v>14</v>
      </c>
      <c r="U42" s="668">
        <f t="shared" si="13"/>
        <v>104</v>
      </c>
      <c r="V42" s="667" t="s">
        <v>14</v>
      </c>
      <c r="W42" s="668">
        <f t="shared" si="14"/>
        <v>102</v>
      </c>
      <c r="X42" s="1265"/>
      <c r="Y42" s="3391"/>
      <c r="Z42" s="1264" t="str">
        <f t="shared" si="18"/>
        <v>内部装修</v>
      </c>
      <c r="AA42" s="1264">
        <f t="shared" si="15"/>
        <v>0.98039215686274506</v>
      </c>
      <c r="AB42" s="1264">
        <f t="shared" si="16"/>
        <v>0.96153846153846156</v>
      </c>
      <c r="AC42" s="1264">
        <f t="shared" si="17"/>
        <v>0.98039215686274506</v>
      </c>
    </row>
    <row r="43" spans="1:29" ht="15">
      <c r="A43" s="409"/>
      <c r="B43" s="364" t="s">
        <v>1707</v>
      </c>
      <c r="C43" s="1760" t="s">
        <v>3454</v>
      </c>
      <c r="D43" s="374">
        <v>100</v>
      </c>
      <c r="E43" s="1760" t="s">
        <v>3454</v>
      </c>
      <c r="F43" s="400">
        <f>SUMIF(124:124,E43,125:125)-SUMIF(124:124,C43,125:125)+100</f>
        <v>100</v>
      </c>
      <c r="G43" s="1760" t="s">
        <v>3454</v>
      </c>
      <c r="H43" s="374">
        <f>SUMIF(124:124,G43,125:125)-SUMIF(124:124,C43,125:125)+100</f>
        <v>100</v>
      </c>
      <c r="I43" s="1760" t="s">
        <v>3454</v>
      </c>
      <c r="J43" s="374">
        <f>SUMIF(124:124,I43,125:125)-SUMIF(124:124,C43,125:125)+100</f>
        <v>100</v>
      </c>
      <c r="K43" s="365"/>
      <c r="L43" s="2491"/>
      <c r="M43" s="2486">
        <f>C48*K42/100*10*C33</f>
        <v>3025.1439999999998</v>
      </c>
      <c r="N43" s="2486"/>
      <c r="O43" s="2486"/>
      <c r="P43" s="3389"/>
      <c r="Q43" s="1263" t="str">
        <f t="shared" si="11"/>
        <v>内部装修维护情况</v>
      </c>
      <c r="R43" s="667" t="s">
        <v>14</v>
      </c>
      <c r="S43" s="668">
        <f t="shared" si="12"/>
        <v>100</v>
      </c>
      <c r="T43" s="667" t="s">
        <v>14</v>
      </c>
      <c r="U43" s="668">
        <f t="shared" si="13"/>
        <v>100</v>
      </c>
      <c r="V43" s="667" t="s">
        <v>14</v>
      </c>
      <c r="W43" s="668">
        <f t="shared" si="14"/>
        <v>100</v>
      </c>
      <c r="X43" s="1265"/>
      <c r="Y43" s="339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f>C48*'数据-汇总表'!F19</f>
        <v>15125.720000000001</v>
      </c>
      <c r="N44" s="2438"/>
      <c r="O44" s="2438"/>
      <c r="P44" s="3389"/>
      <c r="Q44" s="530">
        <f t="shared" si="11"/>
        <v>111</v>
      </c>
      <c r="R44" s="664" t="s">
        <v>14</v>
      </c>
      <c r="S44" s="665">
        <f t="shared" si="12"/>
        <v>100</v>
      </c>
      <c r="T44" s="664" t="s">
        <v>14</v>
      </c>
      <c r="U44" s="665">
        <f t="shared" si="13"/>
        <v>100</v>
      </c>
      <c r="V44" s="664" t="s">
        <v>14</v>
      </c>
      <c r="W44" s="665">
        <f t="shared" si="14"/>
        <v>100</v>
      </c>
      <c r="X44" s="666"/>
      <c r="Y44" s="339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89"/>
      <c r="Q45" s="1263">
        <f t="shared" si="11"/>
        <v>111</v>
      </c>
      <c r="R45" s="667" t="s">
        <v>14</v>
      </c>
      <c r="S45" s="668">
        <f t="shared" si="12"/>
        <v>100</v>
      </c>
      <c r="T45" s="667" t="s">
        <v>14</v>
      </c>
      <c r="U45" s="668">
        <f t="shared" si="13"/>
        <v>100</v>
      </c>
      <c r="V45" s="667" t="s">
        <v>14</v>
      </c>
      <c r="W45" s="668">
        <f t="shared" si="14"/>
        <v>100</v>
      </c>
      <c r="X45" s="1265"/>
      <c r="Y45" s="339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90"/>
      <c r="Q46" s="1263">
        <f t="shared" si="11"/>
        <v>111</v>
      </c>
      <c r="R46" s="667" t="s">
        <v>14</v>
      </c>
      <c r="S46" s="668">
        <f t="shared" si="12"/>
        <v>100</v>
      </c>
      <c r="T46" s="667" t="s">
        <v>14</v>
      </c>
      <c r="U46" s="668">
        <f t="shared" si="13"/>
        <v>100</v>
      </c>
      <c r="V46" s="667" t="s">
        <v>14</v>
      </c>
      <c r="W46" s="668">
        <f t="shared" si="14"/>
        <v>100</v>
      </c>
      <c r="X46" s="1265"/>
      <c r="Y46" s="3392"/>
      <c r="Z46" s="1264">
        <f t="shared" si="18"/>
        <v>111</v>
      </c>
      <c r="AA46" s="1264">
        <f t="shared" si="15"/>
        <v>1</v>
      </c>
      <c r="AB46" s="1264">
        <f t="shared" si="16"/>
        <v>1</v>
      </c>
      <c r="AC46" s="1264">
        <f t="shared" si="17"/>
        <v>1</v>
      </c>
    </row>
    <row r="47" spans="1:29" ht="15">
      <c r="A47" s="416" t="s">
        <v>1708</v>
      </c>
      <c r="B47" s="417"/>
      <c r="C47" s="1081" t="s">
        <v>0</v>
      </c>
      <c r="D47" s="418"/>
      <c r="E47" s="419">
        <f>成交案例!R8</f>
        <v>74.44</v>
      </c>
      <c r="F47" s="420"/>
      <c r="G47" s="421">
        <f>成交案例!R10</f>
        <v>89.1</v>
      </c>
      <c r="H47" s="422"/>
      <c r="I47" s="419">
        <f>成交案例!R12</f>
        <v>89.77</v>
      </c>
      <c r="J47" s="422"/>
      <c r="K47" s="1765"/>
      <c r="L47" s="2493"/>
      <c r="M47" s="2486"/>
      <c r="N47" s="2486"/>
      <c r="O47" s="2486"/>
      <c r="P47" s="3384" t="str">
        <f>A47</f>
        <v>成交单价（元/平方米）</v>
      </c>
      <c r="Q47" s="3384"/>
      <c r="R47" s="3385">
        <f>E47</f>
        <v>74.44</v>
      </c>
      <c r="S47" s="3385"/>
      <c r="T47" s="3385">
        <f>G47</f>
        <v>89.1</v>
      </c>
      <c r="U47" s="3385"/>
      <c r="V47" s="3385">
        <f>I47</f>
        <v>89.77</v>
      </c>
      <c r="W47" s="3385"/>
      <c r="X47" s="385"/>
      <c r="Y47" s="673"/>
      <c r="Z47" s="385"/>
      <c r="AA47" s="385"/>
      <c r="AB47" s="385"/>
      <c r="AC47" s="385"/>
    </row>
    <row r="48" spans="1:29" ht="15.75" thickBot="1">
      <c r="A48" s="423" t="s">
        <v>1709</v>
      </c>
      <c r="B48" s="424"/>
      <c r="C48" s="1082">
        <f>R49</f>
        <v>82</v>
      </c>
      <c r="D48" s="2139" t="s">
        <v>2138</v>
      </c>
      <c r="E48" s="1083">
        <f>R48</f>
        <v>73</v>
      </c>
      <c r="F48" s="2140"/>
      <c r="G48" s="1082">
        <f>T48</f>
        <v>85.7</v>
      </c>
      <c r="H48" s="2140"/>
      <c r="I48" s="1083">
        <f>V48</f>
        <v>87.2</v>
      </c>
      <c r="J48" s="2140"/>
      <c r="K48" s="2141">
        <f>F48+H48+J48</f>
        <v>0</v>
      </c>
      <c r="L48" s="2493"/>
      <c r="M48" s="2486"/>
      <c r="N48" s="2486"/>
      <c r="O48" s="2486"/>
      <c r="P48" s="3384" t="str">
        <f>A48</f>
        <v>比较价值（元/平方米）</v>
      </c>
      <c r="Q48" s="3384"/>
      <c r="R48" s="3385">
        <f>IF(F1="售价",ROUND(PRODUCT(R47,AA7:AA46),0),ROUND(PRODUCT(R47,AA7:AA46),1))</f>
        <v>73</v>
      </c>
      <c r="S48" s="3385"/>
      <c r="T48" s="3385">
        <f>IF(F1="售价",ROUND(PRODUCT(T47,AB7:AB46),0),ROUND(PRODUCT(T47,AB7:AB46),1))</f>
        <v>85.7</v>
      </c>
      <c r="U48" s="3385"/>
      <c r="V48" s="3385">
        <f>IF(F1="售价",ROUND(PRODUCT(V47,AC7:AC46),0),ROUND(PRODUCT(V47,AC7:AC46),1))</f>
        <v>87.2</v>
      </c>
      <c r="W48" s="3385"/>
      <c r="X48" s="385"/>
      <c r="Y48" s="385"/>
      <c r="Z48" s="385"/>
      <c r="AA48" s="385"/>
      <c r="AB48" s="385"/>
      <c r="AC48" s="385"/>
    </row>
    <row r="49" spans="1:29" ht="15.75" thickBot="1">
      <c r="A49" s="427" t="s">
        <v>1710</v>
      </c>
      <c r="B49" s="428"/>
      <c r="C49" s="1084">
        <f>R49</f>
        <v>82</v>
      </c>
      <c r="D49" s="351"/>
      <c r="E49" s="351"/>
      <c r="F49" s="351"/>
      <c r="G49" s="351"/>
      <c r="H49" s="351"/>
      <c r="I49" s="351"/>
      <c r="J49" s="351"/>
      <c r="K49" s="1766"/>
      <c r="L49" s="2493"/>
      <c r="M49" s="2486"/>
      <c r="N49" s="2486"/>
      <c r="O49" s="2486"/>
      <c r="P49" s="3381" t="str">
        <f>A49</f>
        <v>估价对象XX用房的比较价值（楼面单价，元/平方米）</v>
      </c>
      <c r="Q49" s="3382"/>
      <c r="R49" s="3383">
        <f>IF(F1="售价",ROUND(IF(D48="简单平均",AVERAGE(R48:V48),R48*F48+T48*H48+V48*J48),0),ROUND(IF(D48="简单平均",AVERAGE(R48:V48),R48*F48+T48*H48+V48*J48),1))</f>
        <v>82</v>
      </c>
      <c r="S49" s="3383"/>
      <c r="T49" s="3383"/>
      <c r="U49" s="3383"/>
      <c r="V49" s="3383"/>
      <c r="W49" s="338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1.9726027397260149E-2</v>
      </c>
      <c r="F52" s="435" t="str">
        <f>IF(OR(E52&gt;=0.3,E52&lt;=-0.3),"超过30%","")</f>
        <v/>
      </c>
      <c r="G52" s="434">
        <f>IF(G47&lt;G48,G48/G47-1,G47/G48-1)</f>
        <v>3.9673278879813312E-2</v>
      </c>
      <c r="H52" s="435" t="str">
        <f>IF(OR(G52&gt;=0.3,G52&lt;=-0.3),"超过30%","")</f>
        <v/>
      </c>
      <c r="I52" s="434">
        <f>IF(I47&lt;I48,I48/I47-1,I47/I48-1)</f>
        <v>2.9472477064220071E-2</v>
      </c>
      <c r="J52" s="435" t="str">
        <f>IF(OR(I52&gt;=0.3,I52&lt;=-0.3),"超过30%","")</f>
        <v/>
      </c>
      <c r="K52" s="2498"/>
      <c r="L52" s="2494"/>
      <c r="M52" s="2486"/>
      <c r="N52" s="2486"/>
      <c r="O52" s="2486"/>
    </row>
    <row r="53" spans="1:29" ht="13.5" customHeight="1">
      <c r="A53" s="2486"/>
      <c r="B53" s="2486"/>
      <c r="C53" s="432" t="s">
        <v>1712</v>
      </c>
      <c r="D53" s="436"/>
      <c r="E53" s="434">
        <f>IF(E48&lt;G48,G48/E48-1,E48/G48-1)</f>
        <v>0.17397260273972615</v>
      </c>
      <c r="F53" s="435" t="str">
        <f>IF(OR(E53&gt;=0.2,E53&lt;=-0.2),"超过20%","")</f>
        <v/>
      </c>
      <c r="G53" s="434">
        <f>IF(G48&lt;I48,I48/G48-1,G48/I48-1)</f>
        <v>1.7502917152858899E-2</v>
      </c>
      <c r="H53" s="435" t="str">
        <f>IF(OR(G53&gt;=0.2,G53&lt;=-0.2),"超过20%","")</f>
        <v/>
      </c>
      <c r="I53" s="434">
        <f>IF(I48&lt;E48,E48/I48-1,I48/E48-1)</f>
        <v>0.19452054794520546</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0.19693713057495965</v>
      </c>
      <c r="F54" s="435" t="str">
        <f>IF(OR(E54&gt;=0.3,E54&lt;=-0.3),"超过30%","")</f>
        <v/>
      </c>
      <c r="G54" s="434">
        <f>IF(G47&lt;I47,I47/G47-1,G47/I47-1)</f>
        <v>7.5196408529742964E-3</v>
      </c>
      <c r="H54" s="435" t="str">
        <f>IF(OR(G54&gt;=0.3,G54&lt;=-0.3),"超过30%","")</f>
        <v/>
      </c>
      <c r="I54" s="434">
        <f>IF(I47&lt;E47,E47/I47-1,I47/E47-1)</f>
        <v>0.20593766792047274</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102</v>
      </c>
      <c r="G59" s="446">
        <v>102</v>
      </c>
      <c r="H59" s="446">
        <v>102</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69" t="s">
        <v>3459</v>
      </c>
      <c r="D88" s="3169" t="s">
        <v>3593</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69" t="s">
        <v>3590</v>
      </c>
      <c r="D90" s="3169" t="s">
        <v>3592</v>
      </c>
      <c r="E90" s="3169" t="s">
        <v>3591</v>
      </c>
      <c r="F90" s="3171"/>
      <c r="G90" s="3171"/>
      <c r="H90" s="486"/>
      <c r="I90" s="486"/>
      <c r="J90" s="486"/>
      <c r="K90" s="486"/>
      <c r="L90" s="487"/>
      <c r="M90" s="488"/>
      <c r="N90" s="881"/>
      <c r="O90" s="881"/>
      <c r="P90" s="1774"/>
      <c r="Q90" s="490"/>
    </row>
    <row r="91" spans="1:17" s="408" customFormat="1" ht="15.75" thickBot="1">
      <c r="A91" s="484"/>
      <c r="B91" s="474"/>
      <c r="C91" s="491">
        <f>'比较法-住宅'!C91</f>
        <v>100</v>
      </c>
      <c r="D91" s="491">
        <v>99</v>
      </c>
      <c r="E91" s="491">
        <v>98</v>
      </c>
      <c r="F91" s="491"/>
      <c r="G91" s="491"/>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68" t="s">
        <v>3436</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69" t="s">
        <v>3437</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69" t="s">
        <v>3447</v>
      </c>
      <c r="D109" s="3169" t="s">
        <v>3419</v>
      </c>
      <c r="E109" s="3169" t="s">
        <v>3589</v>
      </c>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69" t="s">
        <v>3439</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69" t="s">
        <v>3447</v>
      </c>
      <c r="D122" s="3169" t="s">
        <v>3419</v>
      </c>
      <c r="E122" s="3169" t="s">
        <v>3589</v>
      </c>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98</v>
      </c>
      <c r="E123" s="475">
        <f t="shared" si="32"/>
        <v>96</v>
      </c>
      <c r="F123" s="475">
        <f t="shared" si="32"/>
        <v>94</v>
      </c>
      <c r="G123" s="475">
        <f t="shared" si="32"/>
        <v>92</v>
      </c>
      <c r="H123" s="475">
        <f t="shared" si="32"/>
        <v>90</v>
      </c>
      <c r="I123" s="475">
        <f t="shared" si="32"/>
        <v>88</v>
      </c>
      <c r="J123" s="475">
        <f t="shared" si="32"/>
        <v>86</v>
      </c>
      <c r="K123" s="475">
        <f t="shared" si="32"/>
        <v>84</v>
      </c>
      <c r="L123" s="475">
        <f t="shared" si="32"/>
        <v>82</v>
      </c>
      <c r="M123" s="475">
        <f t="shared" si="32"/>
        <v>80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#DIV/0!</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#DIV/0!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t="e">
        <f>C6+C7+C8</f>
        <v>#DIV/0!</v>
      </c>
      <c r="D5" s="203" t="s">
        <v>1469</v>
      </c>
      <c r="E5" s="204" t="s">
        <v>1470</v>
      </c>
      <c r="F5" s="204" t="s">
        <v>1471</v>
      </c>
      <c r="G5" s="205"/>
    </row>
    <row r="6" spans="1:8" s="206" customFormat="1" ht="13.5" customHeight="1">
      <c r="A6" s="732" t="s">
        <v>1472</v>
      </c>
      <c r="B6" s="207" t="s">
        <v>1473</v>
      </c>
      <c r="C6" s="208" t="e">
        <f>基准地价修正!C33*基准地价修正!D33</f>
        <v>#DIV/0!</v>
      </c>
      <c r="D6" s="209"/>
      <c r="E6" s="210"/>
      <c r="F6" s="210"/>
      <c r="G6" s="211"/>
    </row>
    <row r="7" spans="1:8" s="206" customFormat="1" ht="13.5" customHeight="1">
      <c r="A7" s="732" t="s">
        <v>1474</v>
      </c>
      <c r="B7" s="207" t="s">
        <v>1475</v>
      </c>
      <c r="C7" s="212" t="e">
        <f>ROUND(C6*F7,0)</f>
        <v>#DIV/0!</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29514</v>
      </c>
      <c r="D9" s="795">
        <f ca="1">IF(B1="",'数据-汇总表'!E5,IF(INDIRECT("'数据-取费表'!c"&amp;$G$1)="住宅",INDIRECT("'数据-取费表'!k"&amp;$G$1),0))</f>
        <v>184.46</v>
      </c>
      <c r="E9" s="217">
        <f>'数据-取费表'!B27</f>
        <v>160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0</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36892</v>
      </c>
      <c r="D19" s="204">
        <f ca="1">D9+D10</f>
        <v>184.46</v>
      </c>
      <c r="E19" s="203">
        <f>'数据-取费表'!B31</f>
        <v>200</v>
      </c>
      <c r="F19" s="223"/>
      <c r="G19" s="1714" t="s">
        <v>436</v>
      </c>
    </row>
    <row r="20" spans="1:7" s="206" customFormat="1" ht="13.5" customHeight="1">
      <c r="A20" s="247" t="s">
        <v>1574</v>
      </c>
      <c r="B20" s="202" t="s">
        <v>1575</v>
      </c>
      <c r="C20" s="224" t="e">
        <f ca="1">ROUND((C5+C19)*F20,0)</f>
        <v>#DIV/0!</v>
      </c>
      <c r="D20" s="224"/>
      <c r="E20" s="224"/>
      <c r="F20" s="225">
        <f>'数据-取费表'!B37</f>
        <v>0.01</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t="e">
        <f ca="1">ROUND(SUM(C23:C25),0)</f>
        <v>#DIV/0!</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t="e">
        <f ca="1">ROUND(IF('数据-取费表'!B22&lt;=1,C5*F22*'数据-取费表'!B22,C5*(POWER((1+F22),'数据-取费表'!B22)-1)),0)</f>
        <v>#DIV/0!</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2346</v>
      </c>
      <c r="D24" s="230"/>
      <c r="E24" s="230"/>
      <c r="F24" s="231"/>
      <c r="G24" s="232" t="s">
        <v>1586</v>
      </c>
    </row>
    <row r="25" spans="1:7" s="206" customFormat="1" ht="24">
      <c r="A25" s="734" t="s">
        <v>1476</v>
      </c>
      <c r="B25" s="207" t="s">
        <v>1587</v>
      </c>
      <c r="C25" s="230" t="e">
        <f ca="1">ROUND(IF('数据-取费表'!B22&lt;=1,C20*F22*'数据-取费表'!B22/2,C20*(POWER((1+F22),'数据-取费表'!B22/2)-1)),0)</f>
        <v>#DIV/0!</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#DIV/0!</v>
      </c>
      <c r="D27" s="227">
        <f ca="1">C29</f>
        <v>2E-3</v>
      </c>
      <c r="E27" s="228" t="s">
        <v>1514</v>
      </c>
      <c r="F27" s="238">
        <f ca="1">IF(B1="",'数据-取费表'!Q16,INDIRECT("'数据-取费表'!q"&amp;$G$1))</f>
        <v>0.2</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t="e">
        <f ca="1">ROUND((C5+C19+C20+C22+C27)/(1-C21-D22-D27-C30),0)</f>
        <v>#DIV/0!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759976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645610</v>
      </c>
      <c r="D34" s="209"/>
      <c r="E34" s="212"/>
      <c r="F34" s="249"/>
      <c r="G34" s="211"/>
    </row>
    <row r="35" spans="1:7" ht="13.5" customHeight="1">
      <c r="A35" s="734" t="s">
        <v>351</v>
      </c>
      <c r="B35" s="207" t="s">
        <v>1527</v>
      </c>
      <c r="C35" s="212">
        <f ca="1">ROUND(C34*F35,0)</f>
        <v>32281</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32281</v>
      </c>
      <c r="D36" s="212"/>
      <c r="E36" s="212"/>
      <c r="F36" s="251">
        <f>'数据-取费表'!B34</f>
        <v>0.05</v>
      </c>
      <c r="G36" s="252" t="s">
        <v>1530</v>
      </c>
    </row>
    <row r="37" spans="1:7" s="250" customFormat="1" ht="13.5" customHeight="1">
      <c r="A37" s="734" t="s">
        <v>353</v>
      </c>
      <c r="B37" s="207" t="s">
        <v>1531</v>
      </c>
      <c r="C37" s="241">
        <f ca="1">ROUND(E37*D37,0)</f>
        <v>36892</v>
      </c>
      <c r="D37" s="209">
        <f ca="1">D19</f>
        <v>184.46</v>
      </c>
      <c r="E37" s="241">
        <f>'数据-取费表'!B35</f>
        <v>200</v>
      </c>
      <c r="F37" s="251"/>
      <c r="G37" s="253"/>
    </row>
    <row r="38" spans="1:7" ht="13.5" customHeight="1">
      <c r="A38" s="734" t="s">
        <v>354</v>
      </c>
      <c r="B38" s="207" t="s">
        <v>1533</v>
      </c>
      <c r="C38" s="212">
        <f ca="1">ROUND(C34*F38,0)</f>
        <v>12912</v>
      </c>
      <c r="D38" s="212"/>
      <c r="E38" s="212"/>
      <c r="F38" s="251">
        <f>'数据-取费表'!B36</f>
        <v>0.02</v>
      </c>
      <c r="G38" s="211" t="s">
        <v>1528</v>
      </c>
    </row>
    <row r="39" spans="1:7" s="206" customFormat="1" ht="13.5" customHeight="1">
      <c r="A39" s="247" t="s">
        <v>1534</v>
      </c>
      <c r="B39" s="202" t="s">
        <v>1535</v>
      </c>
      <c r="C39" s="224">
        <f ca="1">ROUND(C33*F20,0)</f>
        <v>7600</v>
      </c>
      <c r="D39" s="224"/>
      <c r="E39" s="224"/>
      <c r="F39" s="225">
        <f>F20</f>
        <v>0.01</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24025</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23787</v>
      </c>
      <c r="D42" s="230"/>
      <c r="E42" s="230"/>
      <c r="F42" s="231"/>
      <c r="G42" s="3373" t="s">
        <v>1591</v>
      </c>
    </row>
    <row r="43" spans="1:7" ht="13.5" customHeight="1">
      <c r="A43" s="734" t="s">
        <v>347</v>
      </c>
      <c r="B43" s="207" t="s">
        <v>1545</v>
      </c>
      <c r="C43" s="230">
        <f ca="1">ROUND(IF('数据-取费表'!B22&lt;=1,C39*F22*'数据-取费表'!B20/2,C39*(POWER((1+F22),'数据-取费表'!B20/2)-1)),0)</f>
        <v>238</v>
      </c>
      <c r="D43" s="230"/>
      <c r="E43" s="230"/>
      <c r="F43" s="231"/>
      <c r="G43" s="3374"/>
    </row>
    <row r="44" spans="1:7" ht="13.5" customHeight="1">
      <c r="A44" s="734" t="s">
        <v>348</v>
      </c>
      <c r="B44" s="207" t="s">
        <v>1546</v>
      </c>
      <c r="C44" s="230">
        <f ca="1">ROUND(IF('数据-取费表'!B22&lt;=1,C40*F22*'数据-取费表'!B20/2,C40*(POWER((1+F22),'数据-取费表'!B20/2)-1)),4)</f>
        <v>2.9999999999999997E-4</v>
      </c>
      <c r="D44" s="230"/>
      <c r="E44" s="230"/>
      <c r="F44" s="231"/>
      <c r="G44" s="3375"/>
    </row>
    <row r="45" spans="1:7" s="206" customFormat="1" ht="13.5" customHeight="1">
      <c r="A45" s="247" t="s">
        <v>1547</v>
      </c>
      <c r="B45" s="236" t="s">
        <v>1513</v>
      </c>
      <c r="C45" s="237">
        <f ca="1">C46</f>
        <v>153515</v>
      </c>
      <c r="D45" s="227">
        <f ca="1">C47</f>
        <v>2E-3</v>
      </c>
      <c r="E45" s="228" t="s">
        <v>1539</v>
      </c>
      <c r="F45" s="238">
        <f ca="1">F27</f>
        <v>0.2</v>
      </c>
      <c r="G45" s="239" t="s">
        <v>1548</v>
      </c>
    </row>
    <row r="46" spans="1:7" s="206" customFormat="1" ht="13.5" customHeight="1">
      <c r="A46" s="734" t="s">
        <v>346</v>
      </c>
      <c r="B46" s="240" t="s">
        <v>1549</v>
      </c>
      <c r="C46" s="241">
        <f ca="1">ROUND((C33+C39)*F27,0)</f>
        <v>153515</v>
      </c>
      <c r="D46" s="255"/>
      <c r="E46" s="228"/>
      <c r="F46" s="238"/>
      <c r="G46" s="239"/>
    </row>
    <row r="47" spans="1:7" s="206" customFormat="1" ht="13.5" customHeight="1">
      <c r="A47" s="734"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1011468</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809174</v>
      </c>
      <c r="D51" s="224"/>
      <c r="E51" s="224"/>
      <c r="F51" s="256"/>
      <c r="G51" s="226" t="s">
        <v>1560</v>
      </c>
    </row>
    <row r="52" spans="1:7" s="200" customFormat="1" ht="16.5" thickBot="1">
      <c r="A52" s="257" t="s">
        <v>1561</v>
      </c>
      <c r="B52" s="258"/>
      <c r="C52" s="259" t="e">
        <f ca="1">C31+C51</f>
        <v>#DIV/0!</v>
      </c>
      <c r="D52" s="258"/>
      <c r="E52" s="258"/>
      <c r="F52" s="258"/>
      <c r="G52" s="260"/>
    </row>
    <row r="55" spans="1:7" ht="15">
      <c r="B55" s="262" t="s">
        <v>1562</v>
      </c>
      <c r="C55" s="263"/>
    </row>
    <row r="56" spans="1:7">
      <c r="B56" s="265" t="s">
        <v>802</v>
      </c>
      <c r="C56" s="267" t="e">
        <f ca="1">1-C57</f>
        <v>#DIV/0!</v>
      </c>
    </row>
    <row r="57" spans="1:7">
      <c r="B57" s="265" t="s">
        <v>803</v>
      </c>
      <c r="C57" s="266" t="e">
        <f ca="1">ROUND(C51/C52,3)</f>
        <v>#DIV/0!</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t="e">
        <f ca="1">SUMIF(B6:B13,"&lt;&gt;#ref!",B6:B13)</f>
        <v>#DIV/0!</v>
      </c>
      <c r="C2" s="1982" t="s">
        <v>2074</v>
      </c>
      <c r="D2" s="1982" t="s">
        <v>2075</v>
      </c>
      <c r="E2" s="2396">
        <f ca="1">SUMIF(E6:E13,"&lt;&gt;#ref!",E6:E13)</f>
        <v>184.46</v>
      </c>
      <c r="F2" s="2543"/>
      <c r="G2" s="2543"/>
      <c r="H2" s="2543"/>
      <c r="I2" s="2543"/>
      <c r="J2" s="2543"/>
      <c r="K2" s="2543"/>
      <c r="L2" s="2543"/>
      <c r="M2" s="2543"/>
      <c r="N2" s="2543"/>
      <c r="O2" s="2543"/>
      <c r="P2" s="2543"/>
    </row>
    <row r="3" spans="1:16" ht="15.75">
      <c r="A3" s="1982" t="s">
        <v>2076</v>
      </c>
      <c r="B3" s="2386" t="e">
        <f ca="1">ROUND(B2*10000/E2,0)</f>
        <v>#DIV/0!</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#DIV/0!</v>
      </c>
      <c r="C6" s="1982" t="s">
        <v>2074</v>
      </c>
      <c r="D6" s="2543"/>
      <c r="E6" s="2396">
        <f ca="1">SUMIF(INDIRECT("'"&amp;A6&amp;"'"&amp;"!C:C"),"建筑面积",INDIRECT("'"&amp;A6&amp;"'"&amp;"!D:D"))</f>
        <v>184.46</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184.46</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4" t="s">
        <v>1935</v>
      </c>
      <c r="D2" s="162" t="s">
        <v>1936</v>
      </c>
      <c r="E2" s="3119" t="s">
        <v>673</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4" t="s">
        <v>1941</v>
      </c>
      <c r="D3" s="162" t="s">
        <v>1942</v>
      </c>
      <c r="E3" s="3117" t="s">
        <v>2449</v>
      </c>
      <c r="F3" s="1846" t="s">
        <v>3448</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485"/>
      <c r="B4" s="3486"/>
      <c r="C4" s="3486"/>
      <c r="D4" s="3487"/>
      <c r="E4" s="3487"/>
      <c r="F4" s="3487"/>
      <c r="G4" s="3487"/>
      <c r="H4" s="3487"/>
      <c r="I4" s="3487"/>
      <c r="J4" s="3488"/>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0</v>
      </c>
      <c r="D5" s="1252">
        <f>ROUND(C6*C17+C20,0)</f>
        <v>0</v>
      </c>
      <c r="E5" s="1252"/>
      <c r="F5" s="1849"/>
      <c r="G5" s="1850"/>
      <c r="H5" s="1850"/>
      <c r="I5" s="1850"/>
      <c r="J5" s="1851"/>
      <c r="K5" s="1852"/>
      <c r="L5" s="1845"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1.5</v>
      </c>
      <c r="AA7" s="1133"/>
      <c r="AB7" s="1133"/>
      <c r="AC7" s="1134"/>
      <c r="AD7" s="1135"/>
      <c r="AE7" s="1135"/>
      <c r="AF7" s="1135"/>
      <c r="AG7" s="1135"/>
      <c r="AH7" s="1135"/>
      <c r="AI7" s="1135"/>
      <c r="AJ7" s="1136"/>
    </row>
    <row r="8" spans="1:36" ht="25.5">
      <c r="A8" s="3008"/>
      <c r="B8" s="162" t="s">
        <v>1957</v>
      </c>
      <c r="C8" s="1868" t="s">
        <v>3449</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82" t="s">
        <v>1960</v>
      </c>
      <c r="X8" s="3483"/>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84"/>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84"/>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9" t="s">
        <v>3254</v>
      </c>
      <c r="B20" s="159" t="s">
        <v>1994</v>
      </c>
      <c r="C20" s="3030">
        <f>ROUND(IF(F21="与级别开发程度一致",0,(G21-E21)/C21),0)</f>
        <v>0</v>
      </c>
      <c r="D20" s="3045" t="s">
        <v>1998</v>
      </c>
      <c r="E20" s="3046"/>
      <c r="F20" s="3495" t="s">
        <v>1995</v>
      </c>
      <c r="G20" s="3496"/>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90"/>
      <c r="B21" s="2000" t="s">
        <v>1997</v>
      </c>
      <c r="C21" s="2001">
        <f>IF(E3="M4科研用地",SUMPRODUCT((修正!A2:A7=E3)*(修正!B1:M1=G2)*(修正!B2:M7)),SUMPRODUCT((修正!A2:A7=E2)*(修正!B1:M1=G2)*(修正!B2:M7)))</f>
        <v>0</v>
      </c>
      <c r="D21" s="179" t="str">
        <f>IF(OR(G2="八级",G2="九级",G2="十级",G2="十一级",G2="十二级"),"五通一平","七通一平")</f>
        <v>七通一平</v>
      </c>
      <c r="E21" s="1991">
        <f>SUMPRODUCT((修正!B1:M1=G2)*(修正!B17:M17))</f>
        <v>0</v>
      </c>
      <c r="F21" s="1992" t="s">
        <v>3450</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46014</v>
      </c>
      <c r="H23" s="3047" t="s">
        <v>3451</v>
      </c>
      <c r="I23" s="3048" t="str">
        <f>IF(H23="季度增幅（自定义）",SUMIF(N25:N28,E2,O25:O28),"")</f>
        <v/>
      </c>
      <c r="J23" s="3140" t="s">
        <v>3452</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t="e">
        <f>ROUND(POWER(1+G24,J24-I24)*(POWER(1+G24,I24)-1)/(POWER(1+G24,J24)-1),4)</f>
        <v>#DIV/0!</v>
      </c>
      <c r="D24" s="1900" t="s">
        <v>2007</v>
      </c>
      <c r="E24" s="1248">
        <f>存贷款利率!E28/100</f>
        <v>4.3499999999999997E-2</v>
      </c>
      <c r="F24" s="1900" t="s">
        <v>1999</v>
      </c>
      <c r="G24" s="724">
        <f>SUMIF(M30:Q30,E2,M33:Q33)</f>
        <v>5.5E-2</v>
      </c>
      <c r="H24" s="1900" t="s">
        <v>2008</v>
      </c>
      <c r="I24" s="725" t="e">
        <f>SUMIF('数据-取费表'!C6:C15,E2,'数据-取费表'!F6:F15)/COUNTIF('数据-取费表'!C6:C15,E2)</f>
        <v>#DIV/0!</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0</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0</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t="e">
        <f>IF(B25="容积率修正",E33+SUM(E37:E42),SUM(V2:V16)+SUM(E37:E42))</f>
        <v>#DIV/0!</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t="e">
        <f>E34+SUM(I37:I42)</f>
        <v>#DIV/0!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t="e">
        <f>ROUND(C5*C22*C23*C24*C25*C28,0)</f>
        <v>#DIV/0!</v>
      </c>
      <c r="D33" s="1938">
        <f>'数据-汇总表'!F19</f>
        <v>184.46</v>
      </c>
      <c r="E33" s="727" t="e">
        <f>ROUND(C33*D33/10000,0)</f>
        <v>#DIV/0!</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t="e">
        <f>ROUND(IF(E2="工业",C33*M42,IF(B25="楼层修正",SUM(V2:V16)*M41*10000/D34,C33*M41)),0)</f>
        <v>#DIV/0!</v>
      </c>
      <c r="D34" s="1943"/>
      <c r="E34" s="727" t="e">
        <f>ROUND(IF(B25="楼层修正",SUM(V2:V16)*M40,C34*D34/10000),0)</f>
        <v>#DIV/0!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93"/>
      <c r="B37" s="1953" t="s">
        <v>2036</v>
      </c>
      <c r="C37" s="167" t="e">
        <f>ROUND(D5*C22*C23*C24*C28*F37,0)</f>
        <v>#DIV/0!</v>
      </c>
      <c r="D37" s="1938"/>
      <c r="E37" s="163" t="e">
        <f>ROUND(C37*D37/10000,0)</f>
        <v>#DIV/0!</v>
      </c>
      <c r="F37" s="163">
        <f>SUMIF(修正!A59:A70,G2,修正!B59:B70)</f>
        <v>0</v>
      </c>
      <c r="G37" s="163" t="e">
        <f>ROUND(IF(E2="工业",C37*$M$42,C37*$M$41),0)</f>
        <v>#DIV/0!</v>
      </c>
      <c r="H37" s="163">
        <f>D37</f>
        <v>0</v>
      </c>
      <c r="I37" s="163" t="e">
        <f>ROUND(G37*H37/10000,0)</f>
        <v>#DIV/0!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94"/>
      <c r="B38" s="1882" t="s">
        <v>2037</v>
      </c>
      <c r="C38" s="167" t="e">
        <f>ROUND(D5*C22*C23*C24*C28*F38,0)</f>
        <v>#DIV/0!</v>
      </c>
      <c r="D38" s="1938"/>
      <c r="E38" s="163" t="e">
        <f t="shared" ref="E38:E42" si="4">ROUND(C38*D38/10000,0)</f>
        <v>#DIV/0!</v>
      </c>
      <c r="F38" s="163">
        <f>SUMIF(修正!A59:A70,G2,修正!C59:C70)</f>
        <v>0</v>
      </c>
      <c r="G38" s="163" t="e">
        <f>ROUND(IF(E2="工业",C38*$M$42,C38*$M$41),0)</f>
        <v>#DIV/0!</v>
      </c>
      <c r="H38" s="163">
        <f t="shared" ref="H38:H42" si="5">D38</f>
        <v>0</v>
      </c>
      <c r="I38" s="163" t="e">
        <f t="shared" ref="I38:I42" si="6">ROUND(G38*H38/10000,0)</f>
        <v>#DIV/0!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94"/>
      <c r="B39" s="1882" t="s">
        <v>3257</v>
      </c>
      <c r="C39" s="167" t="e">
        <f>ROUND(D5*C22*C23*C24*C28*F39,0)</f>
        <v>#DIV/0!</v>
      </c>
      <c r="D39" s="1938"/>
      <c r="E39" s="163" t="e">
        <f t="shared" si="4"/>
        <v>#DIV/0!</v>
      </c>
      <c r="F39" s="163">
        <f>SUMIF(修正!A59:A70,G2,修正!D59:D70)</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t="e">
        <f>ROUND(D5*C22*C23*C24*C28*F40,0)</f>
        <v>#DIV/0!</v>
      </c>
      <c r="D40" s="1938"/>
      <c r="E40" s="163" t="e">
        <f t="shared" si="4"/>
        <v>#DIV/0!</v>
      </c>
      <c r="F40" s="167">
        <f>SUMIF(修正!A59:A70,G2,修正!E59:E70)</f>
        <v>0</v>
      </c>
      <c r="G40" s="163" t="e">
        <f>ROUND(IF(E2="工业",C40*$M$42,C40*$M$41),0)</f>
        <v>#DIV/0!</v>
      </c>
      <c r="H40" s="163">
        <f t="shared" si="5"/>
        <v>0</v>
      </c>
      <c r="I40" s="163" t="e">
        <f t="shared" si="6"/>
        <v>#DIV/0!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3454</v>
      </c>
      <c r="D50" s="1002">
        <f t="shared" ref="D50:D58" si="7">SUMIF($J$49:$N$49,C50,J50:N50)</f>
        <v>1.47E-2</v>
      </c>
      <c r="E50" s="702">
        <f>ROUND(SUM(D50:D58),4)</f>
        <v>4.2299999999999997E-2</v>
      </c>
      <c r="F50" s="1675">
        <f>IF(E2="商业",SUMIF(L1:L12,G2,N1:N12),"——")</f>
        <v>0</v>
      </c>
      <c r="G50" s="1000">
        <v>1.47E-2</v>
      </c>
      <c r="H50" s="1003">
        <f t="shared" ref="H50:H58" si="8">IFERROR(ROUNDDOWN($F$50*I50/2,4),"——")</f>
        <v>0</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3454</v>
      </c>
      <c r="D51" s="1002">
        <f t="shared" si="7"/>
        <v>1.0699999999999999E-2</v>
      </c>
      <c r="E51" s="703"/>
      <c r="F51" s="1675"/>
      <c r="G51" s="1000">
        <v>1.0699999999999999E-2</v>
      </c>
      <c r="H51" s="1003">
        <f t="shared" si="8"/>
        <v>0</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3454</v>
      </c>
      <c r="D52" s="1002">
        <f t="shared" si="7"/>
        <v>5.7999999999999996E-3</v>
      </c>
      <c r="E52" s="703"/>
      <c r="F52" s="1675"/>
      <c r="G52" s="1000">
        <v>5.7999999999999996E-3</v>
      </c>
      <c r="H52" s="1003">
        <f t="shared" si="8"/>
        <v>0</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3453</v>
      </c>
      <c r="D53" s="1002">
        <f t="shared" si="7"/>
        <v>0</v>
      </c>
      <c r="E53" s="703"/>
      <c r="F53" s="1675"/>
      <c r="G53" s="1000">
        <v>2.3999999999999998E-3</v>
      </c>
      <c r="H53" s="1003">
        <f t="shared" si="8"/>
        <v>0</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3453</v>
      </c>
      <c r="D54" s="1002">
        <f t="shared" si="7"/>
        <v>0</v>
      </c>
      <c r="E54" s="703"/>
      <c r="F54" s="1675"/>
      <c r="G54" s="1000">
        <v>3.8999999999999998E-3</v>
      </c>
      <c r="H54" s="1003">
        <f t="shared" si="8"/>
        <v>0</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3454</v>
      </c>
      <c r="D55" s="1002">
        <f t="shared" si="7"/>
        <v>2.3999999999999998E-3</v>
      </c>
      <c r="E55" s="703"/>
      <c r="F55" s="1675"/>
      <c r="G55" s="1000">
        <v>2.3999999999999998E-3</v>
      </c>
      <c r="H55" s="1003">
        <f t="shared" si="8"/>
        <v>0</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3454</v>
      </c>
      <c r="D56" s="1002">
        <f t="shared" si="7"/>
        <v>2.3999999999999998E-3</v>
      </c>
      <c r="E56" s="703"/>
      <c r="F56" s="1675"/>
      <c r="G56" s="1000">
        <v>2.3999999999999998E-3</v>
      </c>
      <c r="H56" s="1003">
        <f t="shared" si="8"/>
        <v>0</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3454</v>
      </c>
      <c r="D57" s="1002">
        <f t="shared" si="7"/>
        <v>3.8999999999999998E-3</v>
      </c>
      <c r="E57" s="703"/>
      <c r="F57" s="1675"/>
      <c r="G57" s="1000">
        <v>3.8999999999999998E-3</v>
      </c>
      <c r="H57" s="1003">
        <f t="shared" si="8"/>
        <v>0</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3454</v>
      </c>
      <c r="D58" s="1002">
        <f t="shared" si="7"/>
        <v>2.3999999999999998E-3</v>
      </c>
      <c r="E58" s="704"/>
      <c r="F58" s="1675"/>
      <c r="G58" s="1000">
        <v>2.3999999999999998E-3</v>
      </c>
      <c r="H58" s="1003">
        <f t="shared" si="8"/>
        <v>0</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91" t="s">
        <v>3292</v>
      </c>
      <c r="B103" s="3491"/>
      <c r="C103" s="3491"/>
      <c r="D103" s="3491"/>
      <c r="E103" s="3491"/>
      <c r="F103" s="3491"/>
      <c r="G103" s="3491"/>
      <c r="H103" s="3491"/>
      <c r="I103" s="3491"/>
      <c r="J103" s="3491"/>
      <c r="K103" s="1667"/>
      <c r="L103" s="1667"/>
      <c r="M103" s="1667"/>
      <c r="N103" s="1667"/>
    </row>
    <row r="104" spans="1:14">
      <c r="A104" s="3492" t="s">
        <v>3293</v>
      </c>
      <c r="B104" s="3492" t="s">
        <v>3294</v>
      </c>
      <c r="C104" s="3089" t="s">
        <v>3295</v>
      </c>
      <c r="D104" s="3090"/>
      <c r="E104" s="3090"/>
      <c r="F104" s="3090"/>
      <c r="G104" s="3090"/>
      <c r="H104" s="3090"/>
      <c r="I104" s="3090"/>
      <c r="J104" s="3091"/>
      <c r="K104" s="3092"/>
      <c r="L104" s="3092"/>
      <c r="M104" s="3092"/>
      <c r="N104" s="3092"/>
    </row>
    <row r="105" spans="1:14">
      <c r="A105" s="3492"/>
      <c r="B105" s="3492"/>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78"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9"/>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9"/>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9"/>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9"/>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9"/>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80"/>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81" t="s">
        <v>3309</v>
      </c>
      <c r="B113" s="3481"/>
      <c r="C113" s="3481"/>
      <c r="D113" s="3481"/>
      <c r="E113" s="3481"/>
      <c r="F113" s="3481"/>
      <c r="G113" s="3481"/>
      <c r="H113" s="3481"/>
      <c r="I113" s="3481"/>
      <c r="J113" s="3481"/>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v>
      </c>
      <c r="E116" s="162" t="s">
        <v>3312</v>
      </c>
      <c r="F116" s="3100" t="str">
        <f>E2</f>
        <v>商业</v>
      </c>
      <c r="G116" s="162" t="s">
        <v>3313</v>
      </c>
      <c r="H116" s="3100">
        <f>G2</f>
        <v>0</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08" t="s">
        <v>2607</v>
      </c>
      <c r="B20" s="3501" t="s">
        <v>2628</v>
      </c>
      <c r="C20" s="3167" t="s">
        <v>2439</v>
      </c>
      <c r="D20" s="3167"/>
      <c r="E20" s="2843">
        <v>1</v>
      </c>
      <c r="F20" s="2844" t="s">
        <v>2440</v>
      </c>
      <c r="G20" s="2844"/>
    </row>
    <row r="21" spans="1:13" ht="19.5" customHeight="1">
      <c r="A21" s="3509"/>
      <c r="B21" s="3497"/>
      <c r="C21" s="2856" t="s">
        <v>2441</v>
      </c>
      <c r="D21" s="2856"/>
      <c r="E21" s="2847">
        <v>1</v>
      </c>
      <c r="F21" s="2844" t="s">
        <v>2442</v>
      </c>
      <c r="G21" s="2844"/>
    </row>
    <row r="22" spans="1:13" ht="19.5" customHeight="1">
      <c r="A22" s="3509"/>
      <c r="B22" s="3497"/>
      <c r="C22" s="2856" t="s">
        <v>2443</v>
      </c>
      <c r="D22" s="2856"/>
      <c r="E22" s="2847">
        <v>0.9</v>
      </c>
      <c r="F22" s="2844" t="s">
        <v>2444</v>
      </c>
      <c r="G22" s="2844"/>
    </row>
    <row r="23" spans="1:13" ht="19.5" customHeight="1">
      <c r="A23" s="3509"/>
      <c r="B23" s="3497"/>
      <c r="C23" s="2856" t="s">
        <v>2445</v>
      </c>
      <c r="D23" s="2856"/>
      <c r="E23" s="2847">
        <v>0.9</v>
      </c>
      <c r="F23" s="2844" t="s">
        <v>2446</v>
      </c>
      <c r="G23" s="2844"/>
    </row>
    <row r="24" spans="1:13" ht="19.5" customHeight="1">
      <c r="A24" s="3509"/>
      <c r="B24" s="3497"/>
      <c r="C24" s="2856" t="s">
        <v>2447</v>
      </c>
      <c r="D24" s="2856"/>
      <c r="E24" s="2847">
        <v>0.8</v>
      </c>
      <c r="F24" s="2844" t="s">
        <v>2448</v>
      </c>
      <c r="G24" s="2844"/>
    </row>
    <row r="25" spans="1:13" ht="19.5" customHeight="1">
      <c r="A25" s="3509"/>
      <c r="B25" s="3497"/>
      <c r="C25" s="2856" t="s">
        <v>2449</v>
      </c>
      <c r="D25" s="2856"/>
      <c r="E25" s="2847">
        <v>0.8</v>
      </c>
      <c r="F25" s="2844"/>
      <c r="G25" s="2844"/>
    </row>
    <row r="26" spans="1:13" ht="19.5" customHeight="1">
      <c r="A26" s="3509"/>
      <c r="B26" s="3497"/>
      <c r="C26" s="2856" t="s">
        <v>3407</v>
      </c>
      <c r="D26" s="2856"/>
      <c r="E26" s="2847">
        <v>0.43</v>
      </c>
      <c r="F26" s="2844"/>
      <c r="G26" s="2844"/>
    </row>
    <row r="27" spans="1:13" ht="19.5" customHeight="1" thickBot="1">
      <c r="A27" s="3510"/>
      <c r="B27" s="3502"/>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503" t="s">
        <v>2631</v>
      </c>
      <c r="B29" s="3506" t="s">
        <v>2612</v>
      </c>
      <c r="C29" s="2841" t="s">
        <v>2452</v>
      </c>
      <c r="D29" s="2842"/>
      <c r="E29" s="2843">
        <v>1</v>
      </c>
      <c r="F29" s="2844" t="s">
        <v>2453</v>
      </c>
      <c r="G29" s="2844"/>
    </row>
    <row r="30" spans="1:13" ht="19.5" customHeight="1">
      <c r="A30" s="3504"/>
      <c r="B30" s="3500"/>
      <c r="C30" s="2845" t="s">
        <v>2454</v>
      </c>
      <c r="D30" s="2846"/>
      <c r="E30" s="2847">
        <v>1</v>
      </c>
      <c r="F30" s="2844" t="s">
        <v>2455</v>
      </c>
      <c r="G30" s="2844"/>
    </row>
    <row r="31" spans="1:13" ht="19.5" customHeight="1">
      <c r="A31" s="3504"/>
      <c r="B31" s="3500"/>
      <c r="C31" s="2845" t="s">
        <v>2456</v>
      </c>
      <c r="D31" s="2846"/>
      <c r="E31" s="2847">
        <v>0.8</v>
      </c>
      <c r="F31" s="2844" t="s">
        <v>2457</v>
      </c>
      <c r="G31" s="2844"/>
    </row>
    <row r="32" spans="1:13" ht="19.5" customHeight="1">
      <c r="A32" s="3504"/>
      <c r="B32" s="3500"/>
      <c r="C32" s="2845" t="s">
        <v>2458</v>
      </c>
      <c r="D32" s="2846"/>
      <c r="E32" s="2847">
        <v>0.8</v>
      </c>
      <c r="F32" s="2844" t="s">
        <v>2459</v>
      </c>
      <c r="G32" s="2844"/>
    </row>
    <row r="33" spans="1:7" ht="19.5" customHeight="1">
      <c r="A33" s="3504"/>
      <c r="B33" s="3500"/>
      <c r="C33" s="2845" t="s">
        <v>2460</v>
      </c>
      <c r="D33" s="2846"/>
      <c r="E33" s="2847">
        <v>0.8</v>
      </c>
      <c r="F33" s="2844" t="s">
        <v>2461</v>
      </c>
      <c r="G33" s="2844"/>
    </row>
    <row r="34" spans="1:7" ht="19.5" customHeight="1">
      <c r="A34" s="3504"/>
      <c r="B34" s="3500"/>
      <c r="C34" s="2845" t="s">
        <v>2462</v>
      </c>
      <c r="D34" s="2846"/>
      <c r="E34" s="2847">
        <v>0.7</v>
      </c>
      <c r="F34" s="2844" t="s">
        <v>2463</v>
      </c>
      <c r="G34" s="2844"/>
    </row>
    <row r="35" spans="1:7" ht="19.5" customHeight="1">
      <c r="A35" s="3504"/>
      <c r="B35" s="3500"/>
      <c r="C35" s="2845" t="s">
        <v>2464</v>
      </c>
      <c r="D35" s="2846"/>
      <c r="E35" s="2847">
        <v>0.8</v>
      </c>
      <c r="F35" s="2844" t="s">
        <v>2465</v>
      </c>
      <c r="G35" s="2844"/>
    </row>
    <row r="36" spans="1:7" ht="19.5" customHeight="1">
      <c r="A36" s="3504"/>
      <c r="B36" s="3500"/>
      <c r="C36" s="2845" t="s">
        <v>2466</v>
      </c>
      <c r="D36" s="2846"/>
      <c r="E36" s="2847">
        <v>0.6</v>
      </c>
      <c r="F36" s="2844" t="s">
        <v>2467</v>
      </c>
      <c r="G36" s="2844"/>
    </row>
    <row r="37" spans="1:7" ht="19.5" customHeight="1">
      <c r="A37" s="3504"/>
      <c r="B37" s="3500"/>
      <c r="C37" s="2845" t="s">
        <v>2468</v>
      </c>
      <c r="D37" s="2846"/>
      <c r="E37" s="2847">
        <v>0.2</v>
      </c>
      <c r="F37" s="2844" t="s">
        <v>2469</v>
      </c>
      <c r="G37" s="2844"/>
    </row>
    <row r="38" spans="1:7" ht="19.5" customHeight="1">
      <c r="A38" s="3504"/>
      <c r="B38" s="3500"/>
      <c r="C38" s="2845" t="s">
        <v>2470</v>
      </c>
      <c r="D38" s="2846"/>
      <c r="E38" s="2847">
        <v>0.2</v>
      </c>
      <c r="F38" s="2844" t="s">
        <v>2471</v>
      </c>
      <c r="G38" s="2844"/>
    </row>
    <row r="39" spans="1:7" ht="19.5" customHeight="1">
      <c r="A39" s="3504"/>
      <c r="B39" s="3498" t="s">
        <v>2632</v>
      </c>
      <c r="C39" s="2845" t="s">
        <v>2472</v>
      </c>
      <c r="D39" s="2846"/>
      <c r="E39" s="2847">
        <v>0.6</v>
      </c>
      <c r="F39" s="2844" t="s">
        <v>2473</v>
      </c>
      <c r="G39" s="2844"/>
    </row>
    <row r="40" spans="1:7" ht="19.5" customHeight="1">
      <c r="A40" s="3504"/>
      <c r="B40" s="3500"/>
      <c r="C40" s="2845" t="s">
        <v>2474</v>
      </c>
      <c r="D40" s="2846"/>
      <c r="E40" s="2847">
        <v>0.6</v>
      </c>
      <c r="F40" s="2844" t="s">
        <v>2475</v>
      </c>
      <c r="G40" s="2844"/>
    </row>
    <row r="41" spans="1:7" ht="19.5" customHeight="1" thickBot="1">
      <c r="A41" s="3505"/>
      <c r="B41" s="350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508" t="s">
        <v>2610</v>
      </c>
      <c r="B43" s="3506" t="s">
        <v>2634</v>
      </c>
      <c r="C43" s="2841" t="s">
        <v>2479</v>
      </c>
      <c r="D43" s="2842"/>
      <c r="E43" s="2843">
        <v>1</v>
      </c>
      <c r="F43" s="2844" t="s">
        <v>2480</v>
      </c>
      <c r="G43" s="2844"/>
    </row>
    <row r="44" spans="1:7" ht="19.5" customHeight="1">
      <c r="A44" s="3509"/>
      <c r="B44" s="3500"/>
      <c r="C44" s="2845" t="s">
        <v>2481</v>
      </c>
      <c r="D44" s="2846"/>
      <c r="E44" s="2847">
        <v>1</v>
      </c>
      <c r="F44" s="2844" t="s">
        <v>2482</v>
      </c>
      <c r="G44" s="2844"/>
    </row>
    <row r="45" spans="1:7" ht="19.5" customHeight="1">
      <c r="A45" s="3509"/>
      <c r="B45" s="3499"/>
      <c r="C45" s="2845" t="s">
        <v>2483</v>
      </c>
      <c r="D45" s="2846"/>
      <c r="E45" s="2847">
        <v>1.5</v>
      </c>
      <c r="F45" s="2844" t="s">
        <v>2484</v>
      </c>
      <c r="G45" s="2844"/>
    </row>
    <row r="46" spans="1:7" ht="19.5" customHeight="1">
      <c r="A46" s="3509"/>
      <c r="B46" s="2856" t="s">
        <v>2635</v>
      </c>
      <c r="C46" s="2845" t="s">
        <v>2636</v>
      </c>
      <c r="D46" s="2846"/>
      <c r="E46" s="2847">
        <v>2</v>
      </c>
      <c r="F46" s="2844" t="s">
        <v>2485</v>
      </c>
      <c r="G46" s="2844"/>
    </row>
    <row r="47" spans="1:7" ht="19.5" customHeight="1">
      <c r="A47" s="3509"/>
      <c r="B47" s="3498" t="s">
        <v>2637</v>
      </c>
      <c r="C47" s="2845" t="s">
        <v>2486</v>
      </c>
      <c r="D47" s="2846"/>
      <c r="E47" s="2847">
        <v>1</v>
      </c>
      <c r="F47" s="2844" t="s">
        <v>2487</v>
      </c>
      <c r="G47" s="2844"/>
    </row>
    <row r="48" spans="1:7" ht="19.5" customHeight="1">
      <c r="A48" s="3509"/>
      <c r="B48" s="3500"/>
      <c r="C48" s="2845" t="s">
        <v>2488</v>
      </c>
      <c r="D48" s="2846"/>
      <c r="E48" s="2847">
        <v>1</v>
      </c>
      <c r="F48" s="2844" t="s">
        <v>2489</v>
      </c>
      <c r="G48" s="2844"/>
    </row>
    <row r="49" spans="1:7" ht="19.5" customHeight="1">
      <c r="A49" s="3509"/>
      <c r="B49" s="3500"/>
      <c r="C49" s="2845" t="s">
        <v>2490</v>
      </c>
      <c r="D49" s="2846"/>
      <c r="E49" s="2847">
        <v>1</v>
      </c>
      <c r="F49" s="2844" t="s">
        <v>2491</v>
      </c>
      <c r="G49" s="2844"/>
    </row>
    <row r="50" spans="1:7" ht="19.5" customHeight="1">
      <c r="A50" s="3509"/>
      <c r="B50" s="3500"/>
      <c r="C50" s="2845" t="s">
        <v>2492</v>
      </c>
      <c r="D50" s="2846"/>
      <c r="E50" s="2847">
        <v>1</v>
      </c>
      <c r="F50" s="2844" t="s">
        <v>2493</v>
      </c>
      <c r="G50" s="2844"/>
    </row>
    <row r="51" spans="1:7" ht="19.5" customHeight="1">
      <c r="A51" s="3509"/>
      <c r="B51" s="3500"/>
      <c r="C51" s="2845" t="s">
        <v>2494</v>
      </c>
      <c r="D51" s="2846"/>
      <c r="E51" s="2847">
        <v>1</v>
      </c>
      <c r="F51" s="2844" t="s">
        <v>2495</v>
      </c>
      <c r="G51" s="2844"/>
    </row>
    <row r="52" spans="1:7" ht="19.5" customHeight="1">
      <c r="A52" s="3509"/>
      <c r="B52" s="3500"/>
      <c r="C52" s="2845" t="s">
        <v>2496</v>
      </c>
      <c r="D52" s="2846"/>
      <c r="E52" s="2847">
        <v>1</v>
      </c>
      <c r="F52" s="2844" t="s">
        <v>2497</v>
      </c>
      <c r="G52" s="2844"/>
    </row>
    <row r="53" spans="1:7" ht="19.5" customHeight="1" thickBot="1">
      <c r="A53" s="3510"/>
      <c r="B53" s="350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8" t="s">
        <v>2651</v>
      </c>
      <c r="C75" s="2830" t="s">
        <v>2652</v>
      </c>
      <c r="D75" s="2830" t="s">
        <v>2653</v>
      </c>
      <c r="E75" s="2856">
        <v>0.2</v>
      </c>
      <c r="F75" s="2856">
        <v>25</v>
      </c>
    </row>
    <row r="76" spans="1:7" ht="24">
      <c r="A76" s="2856">
        <v>2</v>
      </c>
      <c r="B76" s="3500"/>
      <c r="C76" s="2830" t="s">
        <v>2654</v>
      </c>
      <c r="D76" s="2830" t="s">
        <v>2655</v>
      </c>
      <c r="E76" s="2856">
        <v>0.2</v>
      </c>
      <c r="F76" s="2856">
        <v>25</v>
      </c>
    </row>
    <row r="77" spans="1:7" ht="24">
      <c r="A77" s="2856">
        <v>3</v>
      </c>
      <c r="B77" s="3500"/>
      <c r="C77" s="2830" t="s">
        <v>2656</v>
      </c>
      <c r="D77" s="2830" t="s">
        <v>2657</v>
      </c>
      <c r="E77" s="2856">
        <v>0.2</v>
      </c>
      <c r="F77" s="2856">
        <v>25</v>
      </c>
    </row>
    <row r="78" spans="1:7" ht="13.5">
      <c r="A78" s="2856">
        <v>4</v>
      </c>
      <c r="B78" s="3500"/>
      <c r="C78" s="2830" t="s">
        <v>2658</v>
      </c>
      <c r="D78" s="2830" t="s">
        <v>2659</v>
      </c>
      <c r="E78" s="2856">
        <v>0.15</v>
      </c>
      <c r="F78" s="2856">
        <v>20</v>
      </c>
    </row>
    <row r="79" spans="1:7" ht="24">
      <c r="A79" s="2856">
        <v>5</v>
      </c>
      <c r="B79" s="3500"/>
      <c r="C79" s="2830" t="s">
        <v>2660</v>
      </c>
      <c r="D79" s="2830" t="s">
        <v>2661</v>
      </c>
      <c r="E79" s="2856">
        <v>0.15</v>
      </c>
      <c r="F79" s="2856">
        <v>20</v>
      </c>
    </row>
    <row r="80" spans="1:7" ht="24">
      <c r="A80" s="2856">
        <v>6</v>
      </c>
      <c r="B80" s="3500"/>
      <c r="C80" s="2830" t="s">
        <v>2662</v>
      </c>
      <c r="D80" s="2830" t="s">
        <v>2663</v>
      </c>
      <c r="E80" s="2856">
        <v>0.15</v>
      </c>
      <c r="F80" s="2856">
        <v>20</v>
      </c>
    </row>
    <row r="81" spans="1:6" ht="24">
      <c r="A81" s="2856">
        <v>7</v>
      </c>
      <c r="B81" s="3500"/>
      <c r="C81" s="2830" t="s">
        <v>2664</v>
      </c>
      <c r="D81" s="2830" t="s">
        <v>2665</v>
      </c>
      <c r="E81" s="2856">
        <v>0.15</v>
      </c>
      <c r="F81" s="2856">
        <v>20</v>
      </c>
    </row>
    <row r="82" spans="1:6" ht="24">
      <c r="A82" s="2856">
        <v>8</v>
      </c>
      <c r="B82" s="3500"/>
      <c r="C82" s="2830" t="s">
        <v>2666</v>
      </c>
      <c r="D82" s="2830" t="s">
        <v>2667</v>
      </c>
      <c r="E82" s="2856">
        <v>0.1</v>
      </c>
      <c r="F82" s="2856">
        <v>15</v>
      </c>
    </row>
    <row r="83" spans="1:6" ht="24">
      <c r="A83" s="2856">
        <v>9</v>
      </c>
      <c r="B83" s="3500"/>
      <c r="C83" s="2830" t="s">
        <v>2668</v>
      </c>
      <c r="D83" s="2830" t="s">
        <v>2669</v>
      </c>
      <c r="E83" s="2856">
        <v>0.1</v>
      </c>
      <c r="F83" s="2856">
        <v>15</v>
      </c>
    </row>
    <row r="84" spans="1:6" ht="24">
      <c r="A84" s="2856">
        <v>10</v>
      </c>
      <c r="B84" s="3500"/>
      <c r="C84" s="2830" t="s">
        <v>2670</v>
      </c>
      <c r="D84" s="2830" t="s">
        <v>2671</v>
      </c>
      <c r="E84" s="2856">
        <v>0.1</v>
      </c>
      <c r="F84" s="2856">
        <v>15</v>
      </c>
    </row>
    <row r="85" spans="1:6" ht="24">
      <c r="A85" s="2856">
        <v>11</v>
      </c>
      <c r="B85" s="3500"/>
      <c r="C85" s="2830" t="s">
        <v>2672</v>
      </c>
      <c r="D85" s="2830" t="s">
        <v>2673</v>
      </c>
      <c r="E85" s="2856">
        <v>0.1</v>
      </c>
      <c r="F85" s="2856">
        <v>15</v>
      </c>
    </row>
    <row r="86" spans="1:6" ht="24">
      <c r="A86" s="2856">
        <v>12</v>
      </c>
      <c r="B86" s="3500"/>
      <c r="C86" s="2830" t="s">
        <v>2674</v>
      </c>
      <c r="D86" s="2830" t="s">
        <v>2675</v>
      </c>
      <c r="E86" s="2856">
        <v>0.1</v>
      </c>
      <c r="F86" s="2856">
        <v>15</v>
      </c>
    </row>
    <row r="87" spans="1:6" ht="13.5">
      <c r="A87" s="2856">
        <v>13</v>
      </c>
      <c r="B87" s="3500"/>
      <c r="C87" s="2830" t="s">
        <v>2676</v>
      </c>
      <c r="D87" s="2830" t="s">
        <v>2677</v>
      </c>
      <c r="E87" s="2856">
        <v>0.1</v>
      </c>
      <c r="F87" s="2856">
        <v>15</v>
      </c>
    </row>
    <row r="88" spans="1:6" ht="13.5">
      <c r="A88" s="2856">
        <v>14</v>
      </c>
      <c r="B88" s="3500"/>
      <c r="C88" s="2830" t="s">
        <v>2678</v>
      </c>
      <c r="D88" s="2830" t="s">
        <v>2679</v>
      </c>
      <c r="E88" s="2856">
        <v>0.1</v>
      </c>
      <c r="F88" s="2856">
        <v>15</v>
      </c>
    </row>
    <row r="89" spans="1:6" ht="13.5">
      <c r="A89" s="2856">
        <v>15</v>
      </c>
      <c r="B89" s="3500"/>
      <c r="C89" s="2830" t="s">
        <v>2680</v>
      </c>
      <c r="D89" s="2830" t="s">
        <v>2681</v>
      </c>
      <c r="E89" s="2856">
        <v>0.1</v>
      </c>
      <c r="F89" s="2856">
        <v>15</v>
      </c>
    </row>
    <row r="90" spans="1:6" ht="24">
      <c r="A90" s="2856">
        <v>16</v>
      </c>
      <c r="B90" s="3500"/>
      <c r="C90" s="2830" t="s">
        <v>2682</v>
      </c>
      <c r="D90" s="2830" t="s">
        <v>2683</v>
      </c>
      <c r="E90" s="2856">
        <v>0.1</v>
      </c>
      <c r="F90" s="2856">
        <v>15</v>
      </c>
    </row>
    <row r="91" spans="1:6" ht="24">
      <c r="A91" s="2856">
        <v>17</v>
      </c>
      <c r="B91" s="3499"/>
      <c r="C91" s="2830" t="s">
        <v>2684</v>
      </c>
      <c r="D91" s="2830" t="s">
        <v>2685</v>
      </c>
      <c r="E91" s="2856">
        <v>0.1</v>
      </c>
      <c r="F91" s="2856">
        <v>15</v>
      </c>
    </row>
    <row r="92" spans="1:6" ht="13.5">
      <c r="A92" s="2856">
        <v>18</v>
      </c>
      <c r="B92" s="3498" t="s">
        <v>2686</v>
      </c>
      <c r="C92" s="2830" t="s">
        <v>2687</v>
      </c>
      <c r="D92" s="2830" t="s">
        <v>2688</v>
      </c>
      <c r="E92" s="2856">
        <v>0.2</v>
      </c>
      <c r="F92" s="2856">
        <v>25</v>
      </c>
    </row>
    <row r="93" spans="1:6" ht="24">
      <c r="A93" s="2856">
        <v>19</v>
      </c>
      <c r="B93" s="3500"/>
      <c r="C93" s="2830" t="s">
        <v>2689</v>
      </c>
      <c r="D93" s="2830" t="s">
        <v>2690</v>
      </c>
      <c r="E93" s="2856">
        <v>0.2</v>
      </c>
      <c r="F93" s="2856">
        <v>25</v>
      </c>
    </row>
    <row r="94" spans="1:6" ht="13.5">
      <c r="A94" s="2856">
        <v>20</v>
      </c>
      <c r="B94" s="3500"/>
      <c r="C94" s="2830" t="s">
        <v>2691</v>
      </c>
      <c r="D94" s="2830" t="s">
        <v>2692</v>
      </c>
      <c r="E94" s="2856">
        <v>0.15</v>
      </c>
      <c r="F94" s="2856">
        <v>20</v>
      </c>
    </row>
    <row r="95" spans="1:6" ht="13.5">
      <c r="A95" s="2856">
        <v>21</v>
      </c>
      <c r="B95" s="3500"/>
      <c r="C95" s="2830" t="s">
        <v>2693</v>
      </c>
      <c r="D95" s="2830" t="s">
        <v>2694</v>
      </c>
      <c r="E95" s="2856">
        <v>0.15</v>
      </c>
      <c r="F95" s="2856">
        <v>20</v>
      </c>
    </row>
    <row r="96" spans="1:6" ht="13.5">
      <c r="A96" s="2856">
        <v>22</v>
      </c>
      <c r="B96" s="3500"/>
      <c r="C96" s="2830" t="s">
        <v>2695</v>
      </c>
      <c r="D96" s="2830" t="s">
        <v>2696</v>
      </c>
      <c r="E96" s="2856">
        <v>0.15</v>
      </c>
      <c r="F96" s="2856">
        <v>20</v>
      </c>
    </row>
    <row r="97" spans="1:6" ht="36">
      <c r="A97" s="2856">
        <v>23</v>
      </c>
      <c r="B97" s="3500"/>
      <c r="C97" s="2830" t="s">
        <v>2697</v>
      </c>
      <c r="D97" s="2830" t="s">
        <v>2698</v>
      </c>
      <c r="E97" s="2856">
        <v>0.15</v>
      </c>
      <c r="F97" s="2856">
        <v>20</v>
      </c>
    </row>
    <row r="98" spans="1:6" ht="13.5">
      <c r="A98" s="2856">
        <v>24</v>
      </c>
      <c r="B98" s="3500"/>
      <c r="C98" s="2830" t="s">
        <v>2699</v>
      </c>
      <c r="D98" s="2830" t="s">
        <v>2700</v>
      </c>
      <c r="E98" s="2856">
        <v>0.1</v>
      </c>
      <c r="F98" s="2856">
        <v>15</v>
      </c>
    </row>
    <row r="99" spans="1:6" ht="13.5">
      <c r="A99" s="2856">
        <v>25</v>
      </c>
      <c r="B99" s="3500"/>
      <c r="C99" s="2830" t="s">
        <v>2701</v>
      </c>
      <c r="D99" s="2830" t="s">
        <v>2702</v>
      </c>
      <c r="E99" s="2856">
        <v>0.1</v>
      </c>
      <c r="F99" s="2856">
        <v>15</v>
      </c>
    </row>
    <row r="100" spans="1:6" ht="24">
      <c r="A100" s="2856">
        <v>26</v>
      </c>
      <c r="B100" s="3500"/>
      <c r="C100" s="2830" t="s">
        <v>2703</v>
      </c>
      <c r="D100" s="2830" t="s">
        <v>2704</v>
      </c>
      <c r="E100" s="2856">
        <v>0.1</v>
      </c>
      <c r="F100" s="2856">
        <v>15</v>
      </c>
    </row>
    <row r="101" spans="1:6" ht="24">
      <c r="A101" s="2856">
        <v>27</v>
      </c>
      <c r="B101" s="3500"/>
      <c r="C101" s="2830" t="s">
        <v>2705</v>
      </c>
      <c r="D101" s="2830" t="s">
        <v>2706</v>
      </c>
      <c r="E101" s="2856">
        <v>0.1</v>
      </c>
      <c r="F101" s="2856">
        <v>15</v>
      </c>
    </row>
    <row r="102" spans="1:6" ht="13.5">
      <c r="A102" s="2856">
        <v>28</v>
      </c>
      <c r="B102" s="3500"/>
      <c r="C102" s="2830" t="s">
        <v>2707</v>
      </c>
      <c r="D102" s="2830" t="s">
        <v>2708</v>
      </c>
      <c r="E102" s="2856">
        <v>0.1</v>
      </c>
      <c r="F102" s="2856">
        <v>15</v>
      </c>
    </row>
    <row r="103" spans="1:6" ht="13.5">
      <c r="A103" s="2856">
        <v>29</v>
      </c>
      <c r="B103" s="3500"/>
      <c r="C103" s="2830" t="s">
        <v>2709</v>
      </c>
      <c r="D103" s="2830" t="s">
        <v>2710</v>
      </c>
      <c r="E103" s="2856">
        <v>0.1</v>
      </c>
      <c r="F103" s="2856">
        <v>15</v>
      </c>
    </row>
    <row r="104" spans="1:6" ht="13.5">
      <c r="A104" s="2856">
        <v>30</v>
      </c>
      <c r="B104" s="3500"/>
      <c r="C104" s="2830" t="s">
        <v>2711</v>
      </c>
      <c r="D104" s="2830" t="s">
        <v>2712</v>
      </c>
      <c r="E104" s="2856">
        <v>0.1</v>
      </c>
      <c r="F104" s="2856">
        <v>15</v>
      </c>
    </row>
    <row r="105" spans="1:6" ht="24">
      <c r="A105" s="2856">
        <v>31</v>
      </c>
      <c r="B105" s="3500"/>
      <c r="C105" s="2830" t="s">
        <v>2713</v>
      </c>
      <c r="D105" s="2830" t="s">
        <v>2714</v>
      </c>
      <c r="E105" s="2856">
        <v>0.1</v>
      </c>
      <c r="F105" s="2856">
        <v>15</v>
      </c>
    </row>
    <row r="106" spans="1:6" ht="24">
      <c r="A106" s="2856">
        <v>32</v>
      </c>
      <c r="B106" s="3500"/>
      <c r="C106" s="2830" t="s">
        <v>2715</v>
      </c>
      <c r="D106" s="2830" t="s">
        <v>2716</v>
      </c>
      <c r="E106" s="2856">
        <v>0.1</v>
      </c>
      <c r="F106" s="2856">
        <v>15</v>
      </c>
    </row>
    <row r="107" spans="1:6" ht="24">
      <c r="A107" s="2856">
        <v>33</v>
      </c>
      <c r="B107" s="3500"/>
      <c r="C107" s="2830" t="s">
        <v>2717</v>
      </c>
      <c r="D107" s="2830" t="s">
        <v>2718</v>
      </c>
      <c r="E107" s="2856">
        <v>0.1</v>
      </c>
      <c r="F107" s="2856">
        <v>15</v>
      </c>
    </row>
    <row r="108" spans="1:6" ht="24">
      <c r="A108" s="2856">
        <v>34</v>
      </c>
      <c r="B108" s="3499"/>
      <c r="C108" s="2830" t="s">
        <v>2719</v>
      </c>
      <c r="D108" s="2830" t="s">
        <v>2720</v>
      </c>
      <c r="E108" s="2856">
        <v>0.1</v>
      </c>
      <c r="F108" s="2856">
        <v>15</v>
      </c>
    </row>
    <row r="109" spans="1:6" ht="24">
      <c r="A109" s="2856">
        <v>35</v>
      </c>
      <c r="B109" s="3498" t="s">
        <v>2721</v>
      </c>
      <c r="C109" s="2856" t="s">
        <v>2722</v>
      </c>
      <c r="D109" s="2830" t="s">
        <v>2723</v>
      </c>
      <c r="E109" s="2856">
        <v>0.15</v>
      </c>
      <c r="F109" s="2856">
        <v>20</v>
      </c>
    </row>
    <row r="110" spans="1:6" ht="13.5">
      <c r="A110" s="2856">
        <v>36</v>
      </c>
      <c r="B110" s="3500"/>
      <c r="C110" s="2856" t="s">
        <v>2724</v>
      </c>
      <c r="D110" s="2830" t="s">
        <v>2725</v>
      </c>
      <c r="E110" s="2856">
        <v>0.15</v>
      </c>
      <c r="F110" s="2856">
        <v>20</v>
      </c>
    </row>
    <row r="111" spans="1:6" ht="13.5">
      <c r="A111" s="2856">
        <v>37</v>
      </c>
      <c r="B111" s="3500"/>
      <c r="C111" s="2856" t="s">
        <v>2726</v>
      </c>
      <c r="D111" s="2830" t="s">
        <v>2727</v>
      </c>
      <c r="E111" s="2856">
        <v>0.15</v>
      </c>
      <c r="F111" s="2856">
        <v>20</v>
      </c>
    </row>
    <row r="112" spans="1:6" ht="13.5">
      <c r="A112" s="2856">
        <v>38</v>
      </c>
      <c r="B112" s="3500"/>
      <c r="C112" s="2856" t="s">
        <v>2728</v>
      </c>
      <c r="D112" s="2830" t="s">
        <v>2729</v>
      </c>
      <c r="E112" s="2856">
        <v>0.1</v>
      </c>
      <c r="F112" s="2856">
        <v>15</v>
      </c>
    </row>
    <row r="113" spans="1:6" ht="24">
      <c r="A113" s="2856">
        <v>39</v>
      </c>
      <c r="B113" s="3500"/>
      <c r="C113" s="2856" t="s">
        <v>2730</v>
      </c>
      <c r="D113" s="2830" t="s">
        <v>2731</v>
      </c>
      <c r="E113" s="2856">
        <v>0.1</v>
      </c>
      <c r="F113" s="2856">
        <v>15</v>
      </c>
    </row>
    <row r="114" spans="1:6" ht="24">
      <c r="A114" s="2856">
        <v>40</v>
      </c>
      <c r="B114" s="3499"/>
      <c r="C114" s="2856" t="s">
        <v>2732</v>
      </c>
      <c r="D114" s="2830" t="s">
        <v>2733</v>
      </c>
      <c r="E114" s="2856">
        <v>0.1</v>
      </c>
      <c r="F114" s="2856">
        <v>15</v>
      </c>
    </row>
    <row r="115" spans="1:6" ht="13.5">
      <c r="A115" s="2856">
        <v>41</v>
      </c>
      <c r="B115" s="3497" t="s">
        <v>2734</v>
      </c>
      <c r="C115" s="2856" t="s">
        <v>2735</v>
      </c>
      <c r="D115" s="2830" t="s">
        <v>2736</v>
      </c>
      <c r="E115" s="2856">
        <v>0.1</v>
      </c>
      <c r="F115" s="2856">
        <v>15</v>
      </c>
    </row>
    <row r="116" spans="1:6" ht="13.5">
      <c r="A116" s="2856">
        <v>42</v>
      </c>
      <c r="B116" s="3497"/>
      <c r="C116" s="2856" t="s">
        <v>2737</v>
      </c>
      <c r="D116" s="2830" t="s">
        <v>2738</v>
      </c>
      <c r="E116" s="2856">
        <v>0.1</v>
      </c>
      <c r="F116" s="2856">
        <v>15</v>
      </c>
    </row>
    <row r="117" spans="1:6" ht="24">
      <c r="A117" s="2856">
        <v>43</v>
      </c>
      <c r="B117" s="3497"/>
      <c r="C117" s="2856" t="s">
        <v>2739</v>
      </c>
      <c r="D117" s="2830" t="s">
        <v>2740</v>
      </c>
      <c r="E117" s="2856">
        <v>0.1</v>
      </c>
      <c r="F117" s="2856">
        <v>15</v>
      </c>
    </row>
    <row r="118" spans="1:6" ht="13.5">
      <c r="A118" s="2856">
        <v>44</v>
      </c>
      <c r="B118" s="3498" t="s">
        <v>2741</v>
      </c>
      <c r="C118" s="2856" t="s">
        <v>2742</v>
      </c>
      <c r="D118" s="2830" t="s">
        <v>2743</v>
      </c>
      <c r="E118" s="2856">
        <v>0.1</v>
      </c>
      <c r="F118" s="2856">
        <v>15</v>
      </c>
    </row>
    <row r="119" spans="1:6" ht="24">
      <c r="A119" s="2856">
        <v>45</v>
      </c>
      <c r="B119" s="3499"/>
      <c r="C119" s="2830" t="s">
        <v>2744</v>
      </c>
      <c r="D119" s="2830" t="s">
        <v>2745</v>
      </c>
      <c r="E119" s="2856">
        <v>0.1</v>
      </c>
      <c r="F119" s="2856">
        <v>15</v>
      </c>
    </row>
    <row r="120" spans="1:6" ht="24">
      <c r="A120" s="2856">
        <v>46</v>
      </c>
      <c r="B120" s="3498" t="s">
        <v>2746</v>
      </c>
      <c r="C120" s="2856" t="s">
        <v>2747</v>
      </c>
      <c r="D120" s="2830" t="s">
        <v>2748</v>
      </c>
      <c r="E120" s="2856">
        <v>0.1</v>
      </c>
      <c r="F120" s="2856">
        <v>15</v>
      </c>
    </row>
    <row r="121" spans="1:6" ht="24">
      <c r="A121" s="2856">
        <v>47</v>
      </c>
      <c r="B121" s="3499"/>
      <c r="C121" s="2856" t="s">
        <v>2749</v>
      </c>
      <c r="D121" s="2830" t="s">
        <v>2750</v>
      </c>
      <c r="E121" s="2856">
        <v>0.1</v>
      </c>
      <c r="F121" s="2856">
        <v>15</v>
      </c>
    </row>
    <row r="122" spans="1:6" ht="13.5">
      <c r="A122" s="2856">
        <v>48</v>
      </c>
      <c r="B122" s="3498" t="s">
        <v>2751</v>
      </c>
      <c r="C122" s="2856" t="s">
        <v>2752</v>
      </c>
      <c r="D122" s="2830" t="s">
        <v>2753</v>
      </c>
      <c r="E122" s="2856">
        <v>0.1</v>
      </c>
      <c r="F122" s="2856">
        <v>15</v>
      </c>
    </row>
    <row r="123" spans="1:6" ht="13.5">
      <c r="A123" s="2856">
        <v>49</v>
      </c>
      <c r="B123" s="3499"/>
      <c r="C123" s="2856" t="s">
        <v>2754</v>
      </c>
      <c r="D123" s="2830" t="s">
        <v>2755</v>
      </c>
      <c r="E123" s="2856">
        <v>0.1</v>
      </c>
      <c r="F123" s="2856">
        <v>15</v>
      </c>
    </row>
    <row r="124" spans="1:6" ht="24">
      <c r="A124" s="2856">
        <v>50</v>
      </c>
      <c r="B124" s="3497" t="s">
        <v>2756</v>
      </c>
      <c r="C124" s="2856" t="s">
        <v>2757</v>
      </c>
      <c r="D124" s="2830" t="s">
        <v>2758</v>
      </c>
      <c r="E124" s="2856">
        <v>0.1</v>
      </c>
      <c r="F124" s="2856">
        <v>15</v>
      </c>
    </row>
    <row r="125" spans="1:6" ht="24">
      <c r="A125" s="2856">
        <v>51</v>
      </c>
      <c r="B125" s="3497"/>
      <c r="C125" s="2856" t="s">
        <v>2759</v>
      </c>
      <c r="D125" s="2830" t="s">
        <v>2760</v>
      </c>
      <c r="E125" s="2856">
        <v>0.1</v>
      </c>
      <c r="F125" s="2856">
        <v>15</v>
      </c>
    </row>
    <row r="126" spans="1:6" ht="24">
      <c r="A126" s="2856">
        <v>52</v>
      </c>
      <c r="B126" s="3497" t="s">
        <v>2761</v>
      </c>
      <c r="C126" s="2856" t="s">
        <v>2762</v>
      </c>
      <c r="D126" s="2830" t="s">
        <v>2763</v>
      </c>
      <c r="E126" s="2856">
        <v>0.1</v>
      </c>
      <c r="F126" s="2856">
        <v>15</v>
      </c>
    </row>
    <row r="127" spans="1:6" ht="24">
      <c r="A127" s="2856">
        <v>53</v>
      </c>
      <c r="B127" s="3497"/>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97" t="s">
        <v>2769</v>
      </c>
      <c r="C129" s="2856" t="s">
        <v>2770</v>
      </c>
      <c r="D129" s="2830" t="s">
        <v>2771</v>
      </c>
      <c r="E129" s="2856">
        <v>0.1</v>
      </c>
      <c r="F129" s="2856">
        <v>15</v>
      </c>
    </row>
    <row r="130" spans="1:6" ht="13.5">
      <c r="A130" s="2856">
        <v>56</v>
      </c>
      <c r="B130" s="3497"/>
      <c r="C130" s="2856" t="s">
        <v>2772</v>
      </c>
      <c r="D130" s="2830" t="s">
        <v>2773</v>
      </c>
      <c r="E130" s="2856">
        <v>0.1</v>
      </c>
      <c r="F130" s="2856">
        <v>15</v>
      </c>
    </row>
    <row r="131" spans="1:6" ht="24">
      <c r="A131" s="2856">
        <v>57</v>
      </c>
      <c r="B131" s="3497"/>
      <c r="C131" s="2856" t="s">
        <v>2774</v>
      </c>
      <c r="D131" s="2830" t="s">
        <v>2775</v>
      </c>
      <c r="E131" s="2856">
        <v>0.1</v>
      </c>
      <c r="F131" s="2856">
        <v>15</v>
      </c>
    </row>
    <row r="132" spans="1:6" ht="24">
      <c r="A132" s="2856">
        <v>58</v>
      </c>
      <c r="B132" s="3497" t="s">
        <v>2776</v>
      </c>
      <c r="C132" s="2856" t="s">
        <v>2777</v>
      </c>
      <c r="D132" s="2830" t="s">
        <v>2778</v>
      </c>
      <c r="E132" s="2856">
        <v>0.1</v>
      </c>
      <c r="F132" s="2856">
        <v>15</v>
      </c>
    </row>
    <row r="133" spans="1:6" ht="13.5">
      <c r="A133" s="2856">
        <v>59</v>
      </c>
      <c r="B133" s="3497"/>
      <c r="C133" s="2856" t="s">
        <v>2779</v>
      </c>
      <c r="D133" s="2830" t="s">
        <v>2780</v>
      </c>
      <c r="E133" s="2856">
        <v>0.1</v>
      </c>
      <c r="F133" s="2856">
        <v>15</v>
      </c>
    </row>
    <row r="134" spans="1:6" ht="13.5">
      <c r="A134" s="2856">
        <v>60</v>
      </c>
      <c r="B134" s="3498" t="s">
        <v>2781</v>
      </c>
      <c r="C134" s="2856" t="s">
        <v>2782</v>
      </c>
      <c r="D134" s="2830" t="s">
        <v>2783</v>
      </c>
      <c r="E134" s="2856">
        <v>0.1</v>
      </c>
      <c r="F134" s="2856">
        <v>15</v>
      </c>
    </row>
    <row r="135" spans="1:6" ht="13.5">
      <c r="A135" s="2856">
        <v>61</v>
      </c>
      <c r="B135" s="3499"/>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97" t="s">
        <v>2789</v>
      </c>
      <c r="C137" s="2856" t="s">
        <v>2790</v>
      </c>
      <c r="D137" s="2830" t="s">
        <v>2791</v>
      </c>
      <c r="E137" s="2856">
        <v>0.1</v>
      </c>
      <c r="F137" s="2856">
        <v>15</v>
      </c>
    </row>
    <row r="138" spans="1:6" ht="13.5">
      <c r="A138" s="2856">
        <v>64</v>
      </c>
      <c r="B138" s="3497"/>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96"/>
      <c r="C2" s="3196"/>
      <c r="D2" s="3196"/>
      <c r="E2" s="3196"/>
    </row>
    <row r="3" spans="1:5" ht="18">
      <c r="A3" s="3197" t="str">
        <f>IF(项目基本情况!B9="房地产市场价值","估价结果一览表（市场价值不需“结果表-1”）","估价结果一览表")</f>
        <v>估价结果一览表（市场价值不需“结果表-1”）</v>
      </c>
      <c r="B3" s="3197"/>
      <c r="C3" s="3197"/>
      <c r="D3" s="3197"/>
      <c r="E3" s="3197"/>
    </row>
    <row r="4" spans="1:5" ht="19.5" thickBot="1">
      <c r="A4" s="1391"/>
      <c r="B4" s="3195" t="s">
        <v>917</v>
      </c>
      <c r="C4" s="3195"/>
      <c r="D4" s="3195"/>
      <c r="E4" s="1391"/>
    </row>
    <row r="5" spans="1:5" ht="16.5" thickTop="1">
      <c r="B5" s="3193" t="s">
        <v>909</v>
      </c>
      <c r="C5" s="1392" t="s">
        <v>910</v>
      </c>
      <c r="D5" s="797" t="e">
        <f ca="1">结果表!H101</f>
        <v>#REF!</v>
      </c>
    </row>
    <row r="6" spans="1:5" ht="15.75">
      <c r="B6" s="3193"/>
      <c r="C6" s="1392" t="s">
        <v>911</v>
      </c>
      <c r="D6" s="797" t="e">
        <f ca="1">NUMBERSTRING(INT(D5*10000),2)&amp;"元整"</f>
        <v>#REF!</v>
      </c>
    </row>
    <row r="7" spans="1:5" ht="15.75">
      <c r="B7" s="3198"/>
      <c r="C7" s="1393" t="s">
        <v>912</v>
      </c>
      <c r="D7" s="798" t="e">
        <f ca="1">结果表!H102</f>
        <v>#REF!</v>
      </c>
    </row>
    <row r="8" spans="1:5" ht="15.75">
      <c r="B8" s="3199" t="str">
        <f>结果表!E103</f>
        <v>2.估价师知悉的法定优先受偿款</v>
      </c>
      <c r="C8" s="1394" t="s">
        <v>913</v>
      </c>
      <c r="D8" s="798">
        <f>结果表!H103</f>
        <v>0</v>
      </c>
    </row>
    <row r="9" spans="1:5" ht="15.75">
      <c r="B9" s="3201"/>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92" t="str">
        <f>结果表!E107</f>
        <v>3.房地产抵押价值</v>
      </c>
      <c r="C13" s="1397" t="s">
        <v>910</v>
      </c>
      <c r="D13" s="800" t="e">
        <f ca="1">结果表!H107</f>
        <v>#REF!</v>
      </c>
    </row>
    <row r="14" spans="1:5" ht="15.75">
      <c r="B14" s="3193"/>
      <c r="C14" s="1392" t="s">
        <v>911</v>
      </c>
      <c r="D14" s="797" t="e">
        <f ca="1">NUMBERSTRING(INT(D13*10000),2)&amp;"元整"</f>
        <v>#REF!</v>
      </c>
    </row>
    <row r="15" spans="1:5" ht="15">
      <c r="B15" s="3198"/>
      <c r="C15" s="1393" t="s">
        <v>921</v>
      </c>
      <c r="D15" s="806" t="e">
        <f ca="1">结果表!H108</f>
        <v>#REF!</v>
      </c>
    </row>
    <row r="16" spans="1:5" ht="15">
      <c r="B16" s="3199" t="str">
        <f>结果表!E109</f>
        <v>——</v>
      </c>
      <c r="C16" s="1397" t="s">
        <v>922</v>
      </c>
      <c r="D16" s="1398" t="str">
        <f>结果表!H109</f>
        <v>——</v>
      </c>
    </row>
    <row r="17" spans="1:5" ht="15.75">
      <c r="B17" s="3200"/>
      <c r="C17" s="1392" t="s">
        <v>923</v>
      </c>
      <c r="D17" s="797" t="e">
        <f>NUMBERSTRING(INT(D16*10000),2)&amp;"元整"</f>
        <v>#VALUE!</v>
      </c>
    </row>
    <row r="18" spans="1:5" ht="15">
      <c r="B18" s="3201"/>
      <c r="C18" s="1393" t="s">
        <v>912</v>
      </c>
      <c r="D18" s="806" t="str">
        <f>结果表!H110</f>
        <v>——</v>
      </c>
    </row>
    <row r="19" spans="1:5" ht="15.75">
      <c r="B19" s="3192" t="str">
        <f>结果表!E111</f>
        <v>——</v>
      </c>
      <c r="C19" s="1397" t="s">
        <v>910</v>
      </c>
      <c r="D19" s="798" t="str">
        <f>结果表!H111</f>
        <v>——</v>
      </c>
    </row>
    <row r="20" spans="1:5" ht="15.75">
      <c r="B20" s="3193"/>
      <c r="C20" s="1392" t="s">
        <v>923</v>
      </c>
      <c r="D20" s="797" t="e">
        <f>NUMBERSTRING(INT(D19*10000),2)&amp;"元整"</f>
        <v>#VALUE!</v>
      </c>
    </row>
    <row r="21" spans="1:5" ht="15.75" thickBot="1">
      <c r="B21" s="3194"/>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28228</v>
      </c>
      <c r="C2" s="2" t="s">
        <v>106</v>
      </c>
      <c r="D2" s="191"/>
      <c r="E2" s="191"/>
      <c r="F2" s="191"/>
      <c r="G2" s="191"/>
    </row>
    <row r="3" spans="1:7" s="192" customFormat="1" ht="18" customHeight="1" thickBot="1">
      <c r="A3" s="195" t="s">
        <v>58</v>
      </c>
      <c r="B3" s="196">
        <f ca="1">ROUND(B2*10000/'数据-汇总表'!E3,0)</f>
        <v>1530305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3</v>
      </c>
      <c r="D9" s="795">
        <f>'数据-汇总表'!E5</f>
        <v>184.46</v>
      </c>
      <c r="E9" s="217">
        <f>'数据-取费表'!B27</f>
        <v>160</v>
      </c>
      <c r="F9" s="213"/>
      <c r="G9" s="218"/>
    </row>
    <row r="10" spans="1:7" s="206" customFormat="1" ht="13.5" customHeight="1">
      <c r="A10" s="733" t="s">
        <v>356</v>
      </c>
      <c r="B10" s="216" t="s">
        <v>67</v>
      </c>
      <c r="C10" s="217">
        <f>ROUND(D10*E10/10000,0)</f>
        <v>0</v>
      </c>
      <c r="D10" s="795">
        <f>'数据-汇总表'!E6</f>
        <v>0</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4</v>
      </c>
      <c r="D19" s="204">
        <f>'数据-汇总表'!E3</f>
        <v>184.46</v>
      </c>
      <c r="E19" s="203">
        <f>'数据-取费表'!B31</f>
        <v>200</v>
      </c>
      <c r="F19" s="223"/>
      <c r="G19" s="1" t="s">
        <v>436</v>
      </c>
    </row>
    <row r="20" spans="1:7" s="206" customFormat="1" ht="13.5" customHeight="1">
      <c r="A20" s="731" t="s">
        <v>419</v>
      </c>
      <c r="B20" s="202" t="s">
        <v>77</v>
      </c>
      <c r="C20" s="224">
        <f>ROUND((C5+C19)*F20,0)</f>
        <v>206</v>
      </c>
      <c r="D20" s="224"/>
      <c r="E20" s="224"/>
      <c r="F20" s="225">
        <f>'数据-取费表'!B37</f>
        <v>0.01</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1316</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4164</v>
      </c>
      <c r="D27" s="227">
        <f>C29</f>
        <v>2E-3</v>
      </c>
      <c r="E27" s="228" t="s">
        <v>99</v>
      </c>
      <c r="F27" s="238">
        <f>'数据-取费表'!Q16</f>
        <v>0.2</v>
      </c>
      <c r="G27" s="239" t="s">
        <v>431</v>
      </c>
    </row>
    <row r="28" spans="1:7" s="206" customFormat="1" ht="13.5" customHeight="1">
      <c r="A28" s="734" t="s">
        <v>349</v>
      </c>
      <c r="B28" s="240" t="s">
        <v>424</v>
      </c>
      <c r="C28" s="241">
        <f>ROUND((C5+C19+C20)*F27*'数据-取费表'!B21/'数据-取费表'!B20,0)</f>
        <v>4164</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28147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65</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3</v>
      </c>
      <c r="D36" s="212"/>
      <c r="E36" s="212"/>
      <c r="F36" s="251">
        <f>'数据-取费表'!B34</f>
        <v>0.05</v>
      </c>
      <c r="G36" s="252" t="s">
        <v>35</v>
      </c>
    </row>
    <row r="37" spans="1:7" s="250" customFormat="1" ht="13.5" customHeight="1">
      <c r="A37" s="734" t="s">
        <v>353</v>
      </c>
      <c r="B37" s="207" t="s">
        <v>91</v>
      </c>
      <c r="C37" s="241">
        <f>ROUND(E37*D37*F34/10000,0)</f>
        <v>4</v>
      </c>
      <c r="D37" s="209">
        <f>'数据-汇总表'!E3</f>
        <v>184.46</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2</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73" t="s">
        <v>94</v>
      </c>
    </row>
    <row r="43" spans="1:7" ht="13.5" customHeight="1">
      <c r="A43" s="734" t="s">
        <v>347</v>
      </c>
      <c r="B43" s="207" t="s">
        <v>426</v>
      </c>
      <c r="C43" s="230">
        <f ca="1">ROUND(IF('数据-取费表'!B22&lt;=1,C39*F22*'数据-取费表'!B21/2,C39*(POWER((1+F22),'数据-取费表'!B21/2)-1)),0)</f>
        <v>0</v>
      </c>
      <c r="D43" s="230"/>
      <c r="E43" s="230"/>
      <c r="F43" s="231"/>
      <c r="G43" s="3374"/>
    </row>
    <row r="44" spans="1:7" ht="13.5" customHeight="1">
      <c r="A44" s="734" t="s">
        <v>348</v>
      </c>
      <c r="B44" s="207" t="s">
        <v>428</v>
      </c>
      <c r="C44" s="230">
        <f ca="1">ROUND(IF('数据-取费表'!B22&lt;=1,C40*F22*'数据-取费表'!B21/2,C40*(POWER((1+F22),'数据-取费表'!B21/2)-1)),4)</f>
        <v>2.9999999999999997E-4</v>
      </c>
      <c r="D44" s="230"/>
      <c r="E44" s="230"/>
      <c r="F44" s="231"/>
      <c r="G44" s="3375"/>
    </row>
    <row r="45" spans="1:7" s="206" customFormat="1" ht="13.5" customHeight="1">
      <c r="A45" s="731" t="s">
        <v>341</v>
      </c>
      <c r="B45" s="236" t="s">
        <v>85</v>
      </c>
      <c r="C45" s="237">
        <f>C46</f>
        <v>15</v>
      </c>
      <c r="D45" s="227">
        <f>C47</f>
        <v>2E-3</v>
      </c>
      <c r="E45" s="228" t="s">
        <v>102</v>
      </c>
      <c r="F45" s="238"/>
      <c r="G45" s="239" t="s">
        <v>434</v>
      </c>
    </row>
    <row r="46" spans="1:7" s="206" customFormat="1" ht="13.5" customHeight="1">
      <c r="A46" s="734" t="s">
        <v>349</v>
      </c>
      <c r="B46" s="240" t="s">
        <v>427</v>
      </c>
      <c r="C46" s="241">
        <f>ROUND((C33+C39)*F27,0)</f>
        <v>15</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101</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81</v>
      </c>
      <c r="D51" s="224"/>
      <c r="E51" s="224"/>
      <c r="F51" s="256"/>
      <c r="G51" s="226" t="s">
        <v>37</v>
      </c>
    </row>
    <row r="52" spans="1:7" s="200" customFormat="1" ht="16.5" thickBot="1">
      <c r="A52" s="257" t="s">
        <v>38</v>
      </c>
      <c r="B52" s="258"/>
      <c r="C52" s="259">
        <f ca="1">C31+C51</f>
        <v>28228</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11" t="s">
        <v>3181</v>
      </c>
      <c r="B1" s="3511"/>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12" t="s">
        <v>3232</v>
      </c>
      <c r="B1" s="3512"/>
      <c r="C1" s="3512"/>
      <c r="D1" s="3512"/>
      <c r="E1" s="3512"/>
      <c r="F1" s="3513"/>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46014</v>
      </c>
      <c r="B1" s="2928" t="s">
        <v>3376</v>
      </c>
      <c r="C1" s="2929"/>
      <c r="D1" s="2929"/>
      <c r="E1" s="2929"/>
      <c r="F1" s="2929"/>
      <c r="G1" s="2929"/>
      <c r="H1" s="2929"/>
      <c r="I1" s="2929"/>
      <c r="J1" s="2895"/>
      <c r="K1" s="2929" t="s">
        <v>454</v>
      </c>
      <c r="L1" s="2929"/>
      <c r="M1" s="2929"/>
      <c r="N1" s="2929"/>
      <c r="O1" s="2929"/>
      <c r="P1" s="2929"/>
      <c r="Q1" s="2895"/>
      <c r="R1" s="3514" t="s">
        <v>456</v>
      </c>
      <c r="S1" s="3515"/>
      <c r="T1" s="3515"/>
      <c r="U1" s="3515"/>
      <c r="V1" s="3515"/>
      <c r="W1" s="3515"/>
      <c r="X1" s="2895"/>
      <c r="Y1" s="3514" t="s">
        <v>457</v>
      </c>
      <c r="Z1" s="3515"/>
      <c r="AA1" s="3515"/>
      <c r="AB1" s="3515"/>
      <c r="AC1" s="3515"/>
      <c r="AD1" s="3515"/>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14" t="s">
        <v>2827</v>
      </c>
      <c r="S29" s="3515"/>
      <c r="T29" s="3515"/>
      <c r="U29" s="3515"/>
      <c r="V29" s="3515"/>
      <c r="W29" s="3515"/>
      <c r="X29" s="2895"/>
      <c r="Y29" s="3514" t="s">
        <v>2828</v>
      </c>
      <c r="Z29" s="3515"/>
      <c r="AA29" s="3515"/>
      <c r="AB29" s="3515"/>
      <c r="AC29" s="3515"/>
      <c r="AD29" s="3515"/>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9" t="s">
        <v>452</v>
      </c>
      <c r="C1" s="3519"/>
      <c r="D1" s="3519"/>
      <c r="E1" s="3519"/>
      <c r="F1" s="3519"/>
      <c r="G1" s="3515" t="s">
        <v>453</v>
      </c>
      <c r="H1" s="3515"/>
      <c r="I1" s="3515"/>
      <c r="J1" s="3515"/>
      <c r="K1" s="3515"/>
      <c r="L1" s="3515"/>
      <c r="N1" s="3515" t="s">
        <v>454</v>
      </c>
      <c r="O1" s="3515"/>
      <c r="P1" s="3515"/>
      <c r="Q1" s="3515"/>
      <c r="S1" s="3515" t="s">
        <v>455</v>
      </c>
      <c r="T1" s="3515"/>
      <c r="U1" s="3515"/>
      <c r="V1" s="3515"/>
      <c r="X1" s="3514" t="s">
        <v>456</v>
      </c>
      <c r="Y1" s="3515"/>
      <c r="Z1" s="3515"/>
      <c r="AA1" s="3515"/>
      <c r="AB1" s="3515"/>
      <c r="AD1" s="3514" t="s">
        <v>457</v>
      </c>
      <c r="AE1" s="3515"/>
      <c r="AF1" s="3515"/>
      <c r="AG1" s="3515"/>
      <c r="AH1" s="3515"/>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17">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17"/>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17"/>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24"/>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20">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17"/>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17"/>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24"/>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20">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17"/>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17"/>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18"/>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16">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17"/>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17"/>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18"/>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16">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17"/>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17"/>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18"/>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21">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22"/>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22"/>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23"/>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16">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17"/>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17"/>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18"/>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16">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17">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17">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18">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16">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17">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17">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18">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16">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17">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17">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18">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16">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17">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17">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18">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16">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17">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17">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18">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16">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17">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17">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18">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16">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17">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17">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18">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16">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17">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17">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18">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16">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17">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17">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18">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16">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17">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17">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18">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D6B0E-31CD-4DC2-A9C9-4A0C20DC2E07}">
  <dimension ref="A2:W18"/>
  <sheetViews>
    <sheetView workbookViewId="0">
      <selection activeCell="G4" sqref="G4"/>
    </sheetView>
  </sheetViews>
  <sheetFormatPr defaultRowHeight="13.5"/>
  <cols>
    <col min="1" max="1" width="20.25" customWidth="1"/>
    <col min="11" max="11" width="13.375" bestFit="1" customWidth="1"/>
    <col min="13" max="13" width="13.75" style="3173" customWidth="1"/>
    <col min="14" max="14" width="30.75" style="3173" customWidth="1"/>
    <col min="16" max="16" width="9.5" bestFit="1" customWidth="1"/>
    <col min="18" max="18" width="9.5" bestFit="1" customWidth="1"/>
    <col min="20" max="20" width="18.5" bestFit="1" customWidth="1"/>
    <col min="21" max="21" width="10.5" bestFit="1" customWidth="1"/>
  </cols>
  <sheetData>
    <row r="2" spans="1:23">
      <c r="W2" s="3172"/>
    </row>
    <row r="3" spans="1:23" ht="14.25" thickBot="1">
      <c r="A3" s="1405" t="s">
        <v>3517</v>
      </c>
      <c r="D3" s="1405" t="s">
        <v>3387</v>
      </c>
      <c r="F3" s="1405" t="s">
        <v>3515</v>
      </c>
      <c r="G3" s="1405" t="s">
        <v>3516</v>
      </c>
      <c r="J3" s="1405" t="s">
        <v>3513</v>
      </c>
      <c r="K3" s="1405" t="s">
        <v>3514</v>
      </c>
    </row>
    <row r="4" spans="1:23" ht="15" thickBot="1">
      <c r="A4" s="3540" t="s">
        <v>3489</v>
      </c>
      <c r="B4" s="3540" t="s">
        <v>3490</v>
      </c>
      <c r="C4" s="3540" t="s">
        <v>3491</v>
      </c>
      <c r="D4" s="3540">
        <v>185.84</v>
      </c>
      <c r="E4" s="3540" t="s">
        <v>3402</v>
      </c>
      <c r="F4" s="3540" t="s">
        <v>3492</v>
      </c>
      <c r="G4" s="3540">
        <v>8</v>
      </c>
      <c r="H4" s="3540" t="s">
        <v>633</v>
      </c>
      <c r="I4" s="3540">
        <v>2010</v>
      </c>
      <c r="J4" s="3540">
        <v>61881</v>
      </c>
      <c r="K4" s="3541">
        <v>46028</v>
      </c>
      <c r="M4" s="3181"/>
      <c r="N4" s="3181"/>
      <c r="O4" s="1448" t="s">
        <v>3387</v>
      </c>
      <c r="P4" s="1448" t="s">
        <v>3462</v>
      </c>
      <c r="Q4" s="1448" t="s">
        <v>3463</v>
      </c>
      <c r="R4" s="1448" t="s">
        <v>3464</v>
      </c>
      <c r="S4" s="1448" t="s">
        <v>3466</v>
      </c>
      <c r="T4" s="1448" t="s">
        <v>3467</v>
      </c>
      <c r="U4" s="3182"/>
    </row>
    <row r="5" spans="1:23" ht="35.25" thickBot="1">
      <c r="A5" s="3177" t="s">
        <v>3493</v>
      </c>
      <c r="B5" s="3177" t="s">
        <v>3490</v>
      </c>
      <c r="C5" s="3177" t="s">
        <v>3491</v>
      </c>
      <c r="D5" s="3177">
        <v>209.49</v>
      </c>
      <c r="E5" s="3177" t="s">
        <v>3402</v>
      </c>
      <c r="F5" s="3177" t="s">
        <v>3494</v>
      </c>
      <c r="G5" s="3177">
        <v>2</v>
      </c>
      <c r="H5" s="3177" t="s">
        <v>633</v>
      </c>
      <c r="I5" s="3177">
        <v>2010</v>
      </c>
      <c r="J5" s="3177">
        <v>0</v>
      </c>
      <c r="K5" s="3178">
        <v>46020</v>
      </c>
      <c r="M5" s="1440" t="s">
        <v>3468</v>
      </c>
      <c r="N5" s="3183" t="s">
        <v>3461</v>
      </c>
      <c r="O5" s="3182">
        <v>178.69</v>
      </c>
      <c r="P5" s="3182">
        <v>23338880</v>
      </c>
      <c r="Q5" s="3182">
        <f>ROUND(P5/O5,0)</f>
        <v>130611</v>
      </c>
      <c r="R5" s="3182">
        <v>17697216</v>
      </c>
      <c r="S5" s="3182">
        <f>ROUND(R5/O5,0)</f>
        <v>99039</v>
      </c>
      <c r="T5" s="1448" t="s">
        <v>3469</v>
      </c>
      <c r="U5" s="3184">
        <v>45662</v>
      </c>
      <c r="V5" s="3172" t="s">
        <v>3461</v>
      </c>
    </row>
    <row r="6" spans="1:23" ht="35.25" thickBot="1">
      <c r="A6" s="3542" t="s">
        <v>3495</v>
      </c>
      <c r="B6" s="3542" t="s">
        <v>3490</v>
      </c>
      <c r="C6" s="3542" t="s">
        <v>3491</v>
      </c>
      <c r="D6" s="3542">
        <v>182.69</v>
      </c>
      <c r="E6" s="3542" t="s">
        <v>3402</v>
      </c>
      <c r="F6" s="3542" t="s">
        <v>3492</v>
      </c>
      <c r="G6" s="3542">
        <v>27</v>
      </c>
      <c r="H6" s="3542">
        <v>2010</v>
      </c>
      <c r="I6" s="3542" t="s">
        <v>633</v>
      </c>
      <c r="J6" s="3542">
        <v>50632</v>
      </c>
      <c r="K6" s="3543">
        <v>45960</v>
      </c>
      <c r="M6" s="1440" t="s">
        <v>3471</v>
      </c>
      <c r="N6" s="3183" t="s">
        <v>3470</v>
      </c>
      <c r="O6" s="3182">
        <v>230.2</v>
      </c>
      <c r="P6" s="3182">
        <v>17070481</v>
      </c>
      <c r="Q6" s="3182">
        <f t="shared" ref="Q6:Q10" si="0">ROUND(P6/O6,0)</f>
        <v>74155</v>
      </c>
      <c r="R6" s="3182">
        <v>15400000</v>
      </c>
      <c r="S6" s="3182">
        <f t="shared" ref="S6:S9" si="1">ROUND(R6/O6,0)</f>
        <v>66898</v>
      </c>
      <c r="T6" s="1448" t="s">
        <v>3469</v>
      </c>
      <c r="U6" s="3184">
        <v>45559</v>
      </c>
      <c r="V6" s="3172" t="s">
        <v>3470</v>
      </c>
    </row>
    <row r="7" spans="1:23" ht="29.25" thickBot="1">
      <c r="A7" s="3177" t="s">
        <v>3496</v>
      </c>
      <c r="B7" s="3177" t="s">
        <v>3490</v>
      </c>
      <c r="C7" s="3177" t="s">
        <v>3491</v>
      </c>
      <c r="D7" s="3177">
        <v>98.92</v>
      </c>
      <c r="E7" s="3177" t="s">
        <v>3402</v>
      </c>
      <c r="F7" s="3177" t="s">
        <v>3497</v>
      </c>
      <c r="G7" s="3177">
        <v>15</v>
      </c>
      <c r="H7" s="3177" t="s">
        <v>633</v>
      </c>
      <c r="I7" s="3177">
        <v>2009</v>
      </c>
      <c r="J7" s="3177">
        <v>75819</v>
      </c>
      <c r="K7" s="3178">
        <v>45912</v>
      </c>
      <c r="M7" s="1440" t="s">
        <v>3473</v>
      </c>
      <c r="N7" s="1440" t="s">
        <v>3474</v>
      </c>
      <c r="O7" s="3182">
        <v>134.30000000000001</v>
      </c>
      <c r="P7" s="3182">
        <v>14049500</v>
      </c>
      <c r="Q7" s="3182">
        <f t="shared" si="0"/>
        <v>104613</v>
      </c>
      <c r="R7" s="3182"/>
      <c r="S7" s="3182">
        <f t="shared" si="1"/>
        <v>0</v>
      </c>
      <c r="T7" s="1448" t="s">
        <v>3475</v>
      </c>
      <c r="U7" s="3182"/>
      <c r="V7" s="3172" t="s">
        <v>3472</v>
      </c>
    </row>
    <row r="8" spans="1:23" ht="29.25" thickBot="1">
      <c r="A8" s="3175" t="s">
        <v>3498</v>
      </c>
      <c r="B8" s="3175" t="s">
        <v>3482</v>
      </c>
      <c r="C8" s="3175" t="s">
        <v>3491</v>
      </c>
      <c r="D8" s="3175">
        <v>120.44</v>
      </c>
      <c r="E8" s="3175" t="s">
        <v>3402</v>
      </c>
      <c r="F8" s="3175" t="s">
        <v>3499</v>
      </c>
      <c r="G8" s="3175">
        <v>7</v>
      </c>
      <c r="H8" s="3175">
        <v>2006</v>
      </c>
      <c r="I8" s="3175" t="s">
        <v>633</v>
      </c>
      <c r="J8" s="3175">
        <v>67419</v>
      </c>
      <c r="K8" s="3176">
        <v>45881</v>
      </c>
      <c r="M8" s="1440" t="s">
        <v>3478</v>
      </c>
      <c r="N8" s="1440" t="s">
        <v>3477</v>
      </c>
      <c r="O8" s="3182">
        <v>63.52</v>
      </c>
      <c r="P8" s="3182">
        <v>2141830.88</v>
      </c>
      <c r="Q8" s="3182">
        <f t="shared" si="0"/>
        <v>33719</v>
      </c>
      <c r="R8" s="3182"/>
      <c r="S8" s="3182">
        <f t="shared" si="1"/>
        <v>0</v>
      </c>
      <c r="T8" s="1448" t="s">
        <v>3479</v>
      </c>
      <c r="U8" s="3182"/>
      <c r="V8" s="3172" t="s">
        <v>3476</v>
      </c>
    </row>
    <row r="9" spans="1:23" ht="29.25" thickBot="1">
      <c r="A9" s="3177" t="s">
        <v>3500</v>
      </c>
      <c r="B9" s="3177" t="s">
        <v>3482</v>
      </c>
      <c r="C9" s="3177" t="s">
        <v>3491</v>
      </c>
      <c r="D9" s="3177">
        <v>84.54</v>
      </c>
      <c r="E9" s="3177" t="s">
        <v>3402</v>
      </c>
      <c r="F9" s="3177" t="s">
        <v>3499</v>
      </c>
      <c r="G9" s="3177">
        <v>8</v>
      </c>
      <c r="H9" s="3177">
        <v>2006</v>
      </c>
      <c r="I9" s="3177" t="s">
        <v>633</v>
      </c>
      <c r="J9" s="3177">
        <v>71327</v>
      </c>
      <c r="K9" s="3178">
        <v>45871</v>
      </c>
      <c r="M9" s="1440" t="s">
        <v>3483</v>
      </c>
      <c r="N9" s="1440" t="s">
        <v>3480</v>
      </c>
      <c r="O9" s="3182">
        <v>235.69</v>
      </c>
      <c r="P9" s="3182">
        <v>22197992</v>
      </c>
      <c r="Q9" s="3182">
        <f t="shared" si="0"/>
        <v>94183</v>
      </c>
      <c r="R9" s="3182"/>
      <c r="S9" s="3182">
        <f t="shared" si="1"/>
        <v>0</v>
      </c>
      <c r="T9" s="1448" t="s">
        <v>3484</v>
      </c>
      <c r="U9" s="3184">
        <v>45904</v>
      </c>
      <c r="V9" s="3172" t="s">
        <v>3481</v>
      </c>
    </row>
    <row r="10" spans="1:23" ht="32.25" thickBot="1">
      <c r="A10" s="3175" t="s">
        <v>3501</v>
      </c>
      <c r="B10" s="3175" t="s">
        <v>3490</v>
      </c>
      <c r="C10" s="3175" t="s">
        <v>3491</v>
      </c>
      <c r="D10" s="3175">
        <v>175.42</v>
      </c>
      <c r="E10" s="3175" t="s">
        <v>3402</v>
      </c>
      <c r="F10" s="3175" t="s">
        <v>3494</v>
      </c>
      <c r="G10" s="3175">
        <v>24</v>
      </c>
      <c r="H10" s="3175" t="s">
        <v>633</v>
      </c>
      <c r="I10" s="3175">
        <v>2009</v>
      </c>
      <c r="J10" s="3175">
        <v>66127</v>
      </c>
      <c r="K10" s="3176">
        <v>45826</v>
      </c>
      <c r="M10" s="1440" t="s">
        <v>3486</v>
      </c>
      <c r="N10" s="1440" t="s">
        <v>3488</v>
      </c>
      <c r="O10" s="3182">
        <v>291.70999999999998</v>
      </c>
      <c r="P10" s="3182">
        <v>26142800</v>
      </c>
      <c r="Q10" s="3182">
        <f t="shared" si="0"/>
        <v>89619</v>
      </c>
      <c r="R10" s="3182">
        <f>P10*1.02</f>
        <v>26665656</v>
      </c>
      <c r="S10" s="3182">
        <f>ROUND(R10/O10,0)</f>
        <v>91412</v>
      </c>
      <c r="T10" s="1448" t="s">
        <v>3487</v>
      </c>
      <c r="U10" s="3184">
        <v>45902</v>
      </c>
      <c r="V10" s="3172" t="s">
        <v>3485</v>
      </c>
    </row>
    <row r="11" spans="1:23" ht="29.25" thickBot="1">
      <c r="A11" s="3177" t="s">
        <v>3502</v>
      </c>
      <c r="B11" s="3177" t="s">
        <v>3482</v>
      </c>
      <c r="C11" s="3177" t="s">
        <v>3491</v>
      </c>
      <c r="D11" s="3177">
        <v>172.7</v>
      </c>
      <c r="E11" s="3177" t="s">
        <v>3402</v>
      </c>
      <c r="F11" s="3177">
        <v>16</v>
      </c>
      <c r="G11" s="3177">
        <v>6</v>
      </c>
      <c r="H11" s="3177">
        <v>2006</v>
      </c>
      <c r="I11" s="3177" t="s">
        <v>633</v>
      </c>
      <c r="J11" s="3177">
        <v>69485</v>
      </c>
      <c r="K11" s="3178">
        <v>45797</v>
      </c>
    </row>
    <row r="12" spans="1:23" ht="15" thickBot="1">
      <c r="A12" s="3175" t="s">
        <v>3503</v>
      </c>
      <c r="B12" s="3175" t="s">
        <v>3482</v>
      </c>
      <c r="C12" s="3175" t="s">
        <v>3491</v>
      </c>
      <c r="D12" s="3175">
        <v>116.22</v>
      </c>
      <c r="E12" s="3175" t="s">
        <v>3402</v>
      </c>
      <c r="F12" s="3175" t="s">
        <v>3504</v>
      </c>
      <c r="G12" s="3175">
        <v>6</v>
      </c>
      <c r="H12" s="3175">
        <v>2006</v>
      </c>
      <c r="I12" s="3175" t="s">
        <v>633</v>
      </c>
      <c r="J12" s="3175">
        <v>69867</v>
      </c>
      <c r="K12" s="3176">
        <v>45889</v>
      </c>
    </row>
    <row r="13" spans="1:23" ht="15" thickBot="1">
      <c r="A13" s="3177" t="s">
        <v>3505</v>
      </c>
      <c r="B13" s="3177" t="s">
        <v>3490</v>
      </c>
      <c r="C13" s="3177" t="s">
        <v>3491</v>
      </c>
      <c r="D13" s="3177">
        <v>184.46</v>
      </c>
      <c r="E13" s="3177" t="s">
        <v>3402</v>
      </c>
      <c r="F13" s="3177" t="s">
        <v>3506</v>
      </c>
      <c r="G13" s="3177">
        <v>16</v>
      </c>
      <c r="H13" s="3177" t="s">
        <v>633</v>
      </c>
      <c r="I13" s="3177">
        <v>2010</v>
      </c>
      <c r="J13" s="3177">
        <v>68579</v>
      </c>
      <c r="K13" s="3178">
        <v>45743</v>
      </c>
    </row>
    <row r="14" spans="1:23" ht="29.25" thickBot="1">
      <c r="A14" s="3175" t="s">
        <v>3507</v>
      </c>
      <c r="B14" s="3175" t="s">
        <v>3482</v>
      </c>
      <c r="C14" s="3175" t="s">
        <v>3491</v>
      </c>
      <c r="D14" s="3175">
        <v>84.11</v>
      </c>
      <c r="E14" s="3175" t="s">
        <v>3402</v>
      </c>
      <c r="F14" s="3175" t="s">
        <v>3499</v>
      </c>
      <c r="G14" s="3175">
        <v>9</v>
      </c>
      <c r="H14" s="3175" t="s">
        <v>633</v>
      </c>
      <c r="I14" s="3175">
        <v>2006</v>
      </c>
      <c r="J14" s="3175">
        <v>0</v>
      </c>
      <c r="K14" s="3176">
        <v>45731</v>
      </c>
    </row>
    <row r="15" spans="1:23" ht="29.25" thickBot="1">
      <c r="A15" s="3177" t="s">
        <v>3508</v>
      </c>
      <c r="B15" s="3177" t="s">
        <v>3482</v>
      </c>
      <c r="C15" s="3177" t="s">
        <v>3491</v>
      </c>
      <c r="D15" s="3177">
        <v>173.15</v>
      </c>
      <c r="E15" s="3177" t="s">
        <v>3402</v>
      </c>
      <c r="F15" s="3177" t="s">
        <v>3509</v>
      </c>
      <c r="G15" s="3177">
        <v>7</v>
      </c>
      <c r="H15" s="3177" t="s">
        <v>633</v>
      </c>
      <c r="I15" s="3177">
        <v>2006</v>
      </c>
      <c r="J15" s="3177">
        <v>73231</v>
      </c>
      <c r="K15" s="3178">
        <v>45713</v>
      </c>
    </row>
    <row r="16" spans="1:23" ht="15" thickBot="1">
      <c r="A16" s="3175" t="s">
        <v>3510</v>
      </c>
      <c r="B16" s="3175" t="s">
        <v>3482</v>
      </c>
      <c r="C16" s="3175" t="s">
        <v>3491</v>
      </c>
      <c r="D16" s="3175">
        <v>84.54</v>
      </c>
      <c r="E16" s="3175" t="s">
        <v>3402</v>
      </c>
      <c r="F16" s="3175" t="s">
        <v>3499</v>
      </c>
      <c r="G16" s="3175">
        <v>7</v>
      </c>
      <c r="H16" s="3175">
        <v>2006</v>
      </c>
      <c r="I16" s="3175" t="s">
        <v>633</v>
      </c>
      <c r="J16" s="3175">
        <v>73101</v>
      </c>
      <c r="K16" s="3176">
        <v>45713</v>
      </c>
    </row>
    <row r="17" spans="1:11" ht="29.25" thickBot="1">
      <c r="A17" s="3179" t="s">
        <v>3511</v>
      </c>
      <c r="B17" s="3179" t="s">
        <v>3482</v>
      </c>
      <c r="C17" s="3179" t="s">
        <v>3491</v>
      </c>
      <c r="D17" s="3179">
        <v>173.78</v>
      </c>
      <c r="E17" s="3179" t="s">
        <v>3402</v>
      </c>
      <c r="F17" s="3179" t="s">
        <v>3509</v>
      </c>
      <c r="G17" s="3179">
        <v>6</v>
      </c>
      <c r="H17" s="3179" t="s">
        <v>633</v>
      </c>
      <c r="I17" s="3179">
        <v>2006</v>
      </c>
      <c r="J17" s="3179">
        <v>75498</v>
      </c>
      <c r="K17" s="3180">
        <v>45721</v>
      </c>
    </row>
    <row r="18" spans="1:11" ht="15" thickBot="1">
      <c r="A18" s="3175" t="s">
        <v>3512</v>
      </c>
      <c r="B18" s="3175" t="s">
        <v>3482</v>
      </c>
      <c r="C18" s="3175" t="s">
        <v>3491</v>
      </c>
      <c r="D18" s="3175">
        <v>104.8</v>
      </c>
      <c r="E18" s="3175" t="s">
        <v>3402</v>
      </c>
      <c r="F18" s="3175" t="s">
        <v>3504</v>
      </c>
      <c r="G18" s="3175">
        <v>6</v>
      </c>
      <c r="H18" s="3175" t="s">
        <v>633</v>
      </c>
      <c r="I18" s="3175">
        <v>2006</v>
      </c>
      <c r="J18" s="3175">
        <v>80153</v>
      </c>
      <c r="K18" s="3176">
        <v>45679</v>
      </c>
    </row>
  </sheetData>
  <phoneticPr fontId="134" type="noConversion"/>
  <hyperlinks>
    <hyperlink ref="V5" r:id="rId1" display="https://paimai.jd.com/307832583" xr:uid="{0FF4F089-23D2-49EE-A4A1-F2A2B090DE8D}"/>
    <hyperlink ref="V6" r:id="rId2" display="https://paimai.jd.com/307411786" xr:uid="{E8F568EE-5F88-454E-975D-035659A0CA68}"/>
    <hyperlink ref="V7" r:id="rId3" display="https://sf-item.taobao.com/sf_item/1004274045911.htm?spm=a213w.7398504.paiList.1.67cd45bbPpMCj6&amp;track_id=c0a9e276-d8f2-47e7-b4c0-7347924808fd" xr:uid="{E8785494-0674-4D5E-B8E6-742A0E2F30B6}"/>
    <hyperlink ref="V8" r:id="rId4" display="https://sf-item.taobao.com/sf_item/1005292891040.htm?spm=a213w.7398504.paiList.2.67cd45bbPpMCj6&amp;track_id=c0a9e276-d8f2-47e7-b4c0-7347924808fd" xr:uid="{2B7D689F-5A71-40DD-AF8B-BEAE2003460B}"/>
    <hyperlink ref="V9" r:id="rId5" display="https://sf-item.taobao.com/sf_item/942588253928.htm?spm=a213w.7398504.paiList.5.67cd45bbPpMCj6&amp;track_id=c0a9e276-d8f2-47e7-b4c0-7347924808fd" xr:uid="{EB32613C-8592-4AD8-821C-9D423A0FF04A}"/>
    <hyperlink ref="V10" r:id="rId6" display="https://sf-item.taobao.com/sf_item/960928600072.htm?spm=a213w.7398504.paiList.6.67cd45bbPpMCj6&amp;track_id=c0a9e276-d8f2-47e7-b4c0-7347924808fd" xr:uid="{E423054B-8E8C-42A6-B8D3-867427BD2802}"/>
  </hyperlinks>
  <pageMargins left="0.7" right="0.7" top="0.75" bottom="0.75" header="0.3" footer="0.3"/>
  <drawing r:id="rId7"/>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8587C-5E15-4B03-AFDC-4BE69AE0EEA0}">
  <sheetPr>
    <tabColor theme="9" tint="0.79998168889431442"/>
  </sheetPr>
  <dimension ref="B1:AI183"/>
  <sheetViews>
    <sheetView workbookViewId="0">
      <selection activeCell="Y41" sqref="L41:Y41"/>
    </sheetView>
  </sheetViews>
  <sheetFormatPr defaultRowHeight="13.5"/>
  <cols>
    <col min="2" max="2" width="15.625" style="3530" customWidth="1"/>
    <col min="3" max="3" width="9.625"/>
    <col min="4" max="4" width="9.125" bestFit="1" customWidth="1"/>
    <col min="5" max="5" width="15.375" bestFit="1" customWidth="1"/>
    <col min="6" max="7" width="9.625"/>
    <col min="8" max="8" width="13.625" customWidth="1"/>
    <col min="9" max="10" width="9.625" style="3530"/>
    <col min="13" max="13" width="9.5" bestFit="1" customWidth="1"/>
    <col min="16" max="16" width="13.375" bestFit="1" customWidth="1"/>
    <col min="25" max="25" width="13.375" bestFit="1" customWidth="1"/>
    <col min="27" max="27" width="15.625" customWidth="1"/>
    <col min="28" max="28" width="0" hidden="1" customWidth="1"/>
    <col min="29" max="29" width="9.125" hidden="1" customWidth="1"/>
    <col min="30" max="30" width="15.375" hidden="1" customWidth="1"/>
    <col min="31" max="32" width="0" hidden="1" customWidth="1"/>
    <col min="33" max="33" width="13.625" hidden="1" customWidth="1"/>
    <col min="34" max="34" width="0" hidden="1" customWidth="1"/>
  </cols>
  <sheetData>
    <row r="1" spans="2:35">
      <c r="B1" s="3530" t="s">
        <v>3596</v>
      </c>
      <c r="C1" t="s">
        <v>3519</v>
      </c>
      <c r="D1" t="s">
        <v>3520</v>
      </c>
      <c r="E1" t="s">
        <v>3521</v>
      </c>
      <c r="F1" t="s">
        <v>3522</v>
      </c>
      <c r="G1" t="s">
        <v>3523</v>
      </c>
      <c r="H1" t="s">
        <v>3524</v>
      </c>
      <c r="I1" s="3530" t="s">
        <v>3525</v>
      </c>
      <c r="J1" s="3530" t="s">
        <v>3465</v>
      </c>
      <c r="AA1" t="s">
        <v>3518</v>
      </c>
      <c r="AB1" t="s">
        <v>3519</v>
      </c>
      <c r="AC1" t="s">
        <v>3520</v>
      </c>
      <c r="AD1" t="s">
        <v>3521</v>
      </c>
      <c r="AE1" t="s">
        <v>3522</v>
      </c>
      <c r="AF1" t="s">
        <v>3523</v>
      </c>
      <c r="AG1" t="s">
        <v>3524</v>
      </c>
      <c r="AH1" t="s">
        <v>3525</v>
      </c>
      <c r="AI1" t="s">
        <v>3465</v>
      </c>
    </row>
    <row r="2" spans="2:35">
      <c r="B2" s="3548">
        <v>45994</v>
      </c>
      <c r="C2" s="3549" t="s">
        <v>3526</v>
      </c>
      <c r="D2" s="3549">
        <v>173</v>
      </c>
      <c r="E2" s="3549" t="s">
        <v>3527</v>
      </c>
      <c r="F2" s="3549" t="s">
        <v>3528</v>
      </c>
      <c r="G2" s="3549">
        <v>1050</v>
      </c>
      <c r="H2" s="3549">
        <v>20240118</v>
      </c>
      <c r="I2" s="3550">
        <v>900</v>
      </c>
      <c r="J2" s="3550">
        <v>51987</v>
      </c>
      <c r="AA2" s="3185">
        <v>45994</v>
      </c>
      <c r="AB2" s="3157" t="s">
        <v>3526</v>
      </c>
      <c r="AC2" s="3157">
        <v>173</v>
      </c>
      <c r="AD2" s="3157" t="s">
        <v>3527</v>
      </c>
      <c r="AE2" s="3157" t="s">
        <v>3528</v>
      </c>
      <c r="AF2" s="3157">
        <v>1050</v>
      </c>
      <c r="AG2" s="3157">
        <v>20240118</v>
      </c>
      <c r="AH2" s="3157">
        <v>900</v>
      </c>
      <c r="AI2" s="3157">
        <v>51987</v>
      </c>
    </row>
    <row r="3" spans="2:35">
      <c r="B3" s="3532">
        <v>45972</v>
      </c>
      <c r="C3" s="3533" t="s">
        <v>3529</v>
      </c>
      <c r="D3" s="3533">
        <v>175</v>
      </c>
      <c r="E3" s="3533" t="s">
        <v>3530</v>
      </c>
      <c r="F3" s="3533" t="s">
        <v>3528</v>
      </c>
      <c r="G3" s="3533">
        <v>1100</v>
      </c>
      <c r="H3" s="3535">
        <v>45715</v>
      </c>
      <c r="I3" s="3534">
        <v>965</v>
      </c>
      <c r="J3" s="3534">
        <v>55143</v>
      </c>
      <c r="AA3" s="3185">
        <v>45972</v>
      </c>
      <c r="AB3" s="3157" t="s">
        <v>3529</v>
      </c>
      <c r="AC3" s="3157">
        <v>175</v>
      </c>
      <c r="AD3" s="3157" t="s">
        <v>3530</v>
      </c>
      <c r="AE3" s="3157" t="s">
        <v>3528</v>
      </c>
      <c r="AF3" s="3157">
        <v>1100</v>
      </c>
      <c r="AG3" s="3185">
        <v>45715</v>
      </c>
      <c r="AH3" s="3157">
        <v>965</v>
      </c>
      <c r="AI3" s="3157">
        <v>55143</v>
      </c>
    </row>
    <row r="4" spans="2:35">
      <c r="B4" s="3536">
        <v>45969</v>
      </c>
      <c r="C4" s="3537" t="s">
        <v>3531</v>
      </c>
      <c r="D4" s="3537">
        <v>119</v>
      </c>
      <c r="E4" s="3537" t="s">
        <v>3532</v>
      </c>
      <c r="F4" s="3537" t="s">
        <v>3533</v>
      </c>
      <c r="G4" s="3537">
        <v>840</v>
      </c>
      <c r="H4" s="3537">
        <v>20250917</v>
      </c>
      <c r="I4" s="3538">
        <v>762</v>
      </c>
      <c r="J4" s="3538">
        <v>63899</v>
      </c>
      <c r="AA4" s="3174">
        <v>45969</v>
      </c>
      <c r="AB4" t="s">
        <v>3531</v>
      </c>
      <c r="AC4">
        <v>119</v>
      </c>
      <c r="AD4" t="s">
        <v>3532</v>
      </c>
      <c r="AE4" t="s">
        <v>3533</v>
      </c>
      <c r="AF4">
        <v>840</v>
      </c>
      <c r="AG4">
        <v>20250917</v>
      </c>
      <c r="AH4">
        <v>762</v>
      </c>
      <c r="AI4">
        <v>63899</v>
      </c>
    </row>
    <row r="5" spans="2:35">
      <c r="B5" s="3532">
        <v>45968</v>
      </c>
      <c r="C5" s="3533" t="s">
        <v>3529</v>
      </c>
      <c r="D5" s="3533">
        <v>196</v>
      </c>
      <c r="E5" s="3533" t="s">
        <v>3527</v>
      </c>
      <c r="F5" s="3533" t="s">
        <v>3528</v>
      </c>
      <c r="G5" s="3533">
        <v>1198</v>
      </c>
      <c r="H5" s="3535">
        <v>45954</v>
      </c>
      <c r="I5" s="3534">
        <v>1150</v>
      </c>
      <c r="J5" s="3534">
        <v>58584</v>
      </c>
      <c r="AA5" s="3185">
        <v>45968</v>
      </c>
      <c r="AB5" s="3157" t="s">
        <v>3529</v>
      </c>
      <c r="AC5" s="3157">
        <v>196</v>
      </c>
      <c r="AD5" s="3157" t="s">
        <v>3527</v>
      </c>
      <c r="AE5" s="3157" t="s">
        <v>3528</v>
      </c>
      <c r="AF5" s="3157">
        <v>1198</v>
      </c>
      <c r="AG5" s="3185">
        <v>45954</v>
      </c>
      <c r="AH5" s="3157">
        <v>1150</v>
      </c>
      <c r="AI5" s="3157">
        <v>58584</v>
      </c>
    </row>
    <row r="6" spans="2:35">
      <c r="B6" s="3544">
        <v>45955</v>
      </c>
      <c r="C6" s="3545" t="s">
        <v>3526</v>
      </c>
      <c r="D6" s="3545">
        <v>182</v>
      </c>
      <c r="E6" s="3545" t="s">
        <v>3534</v>
      </c>
      <c r="F6" s="3545" t="s">
        <v>3528</v>
      </c>
      <c r="G6" s="3545">
        <v>1060</v>
      </c>
      <c r="H6" s="3545">
        <v>20250615</v>
      </c>
      <c r="I6" s="3546">
        <v>925</v>
      </c>
      <c r="J6" s="3546">
        <v>50632</v>
      </c>
      <c r="AA6" s="3174">
        <v>45955</v>
      </c>
      <c r="AB6" t="s">
        <v>3526</v>
      </c>
      <c r="AC6">
        <v>182</v>
      </c>
      <c r="AD6" t="s">
        <v>3534</v>
      </c>
      <c r="AE6" t="s">
        <v>3528</v>
      </c>
      <c r="AF6">
        <v>1060</v>
      </c>
      <c r="AG6">
        <v>20250615</v>
      </c>
      <c r="AH6">
        <v>925</v>
      </c>
      <c r="AI6">
        <v>50632</v>
      </c>
    </row>
    <row r="7" spans="2:35">
      <c r="B7" s="3532">
        <v>45932</v>
      </c>
      <c r="C7" s="3533" t="s">
        <v>3535</v>
      </c>
      <c r="D7" s="3533">
        <v>176</v>
      </c>
      <c r="E7" s="3533" t="s">
        <v>3536</v>
      </c>
      <c r="F7" s="3533" t="s">
        <v>3528</v>
      </c>
      <c r="G7" s="3533">
        <v>1190</v>
      </c>
      <c r="H7" s="3533">
        <v>20250906</v>
      </c>
      <c r="I7" s="3534">
        <v>1012</v>
      </c>
      <c r="J7" s="3534">
        <v>57493</v>
      </c>
      <c r="AA7" s="3174">
        <v>45932</v>
      </c>
      <c r="AB7" t="s">
        <v>3535</v>
      </c>
      <c r="AC7">
        <v>176</v>
      </c>
      <c r="AD7" t="s">
        <v>3536</v>
      </c>
      <c r="AE7" t="s">
        <v>3528</v>
      </c>
      <c r="AF7">
        <v>1190</v>
      </c>
      <c r="AG7">
        <v>20250906</v>
      </c>
      <c r="AH7">
        <v>1012</v>
      </c>
      <c r="AI7">
        <v>57493</v>
      </c>
    </row>
    <row r="8" spans="2:35">
      <c r="B8" s="3536">
        <v>45932</v>
      </c>
      <c r="C8" s="3537" t="s">
        <v>3537</v>
      </c>
      <c r="D8" s="3537">
        <v>43</v>
      </c>
      <c r="E8" s="3537" t="s">
        <v>3538</v>
      </c>
      <c r="F8" s="3537" t="s">
        <v>3417</v>
      </c>
      <c r="G8" s="3537">
        <v>40</v>
      </c>
      <c r="H8" s="3537">
        <v>20251001</v>
      </c>
      <c r="I8" s="3538">
        <v>40</v>
      </c>
      <c r="J8" s="3538">
        <v>9155</v>
      </c>
      <c r="L8" s="3157">
        <v>182.69</v>
      </c>
      <c r="M8" s="3157">
        <v>13600</v>
      </c>
      <c r="N8" s="3189" t="s">
        <v>3579</v>
      </c>
      <c r="O8" s="3189" t="s">
        <v>3580</v>
      </c>
      <c r="P8" s="3185">
        <v>45991</v>
      </c>
      <c r="Q8" s="3189" t="s">
        <v>3581</v>
      </c>
      <c r="R8" s="3189">
        <f>ROUND(M8/L8,2)</f>
        <v>74.44</v>
      </c>
      <c r="AA8" s="3174">
        <v>45908</v>
      </c>
      <c r="AB8" t="s">
        <v>3535</v>
      </c>
      <c r="AC8">
        <v>174</v>
      </c>
      <c r="AD8" t="s">
        <v>3530</v>
      </c>
      <c r="AE8" t="s">
        <v>3528</v>
      </c>
      <c r="AF8">
        <v>1100</v>
      </c>
      <c r="AG8">
        <v>20250628</v>
      </c>
      <c r="AH8">
        <v>1040</v>
      </c>
      <c r="AI8">
        <v>59432</v>
      </c>
    </row>
    <row r="9" spans="2:35">
      <c r="B9" s="3536">
        <v>45908</v>
      </c>
      <c r="C9" s="3537" t="s">
        <v>3535</v>
      </c>
      <c r="D9" s="3537">
        <v>174</v>
      </c>
      <c r="E9" s="3537" t="s">
        <v>3530</v>
      </c>
      <c r="F9" s="3537" t="s">
        <v>3528</v>
      </c>
      <c r="G9" s="3537">
        <v>1100</v>
      </c>
      <c r="H9" s="3537">
        <v>20250628</v>
      </c>
      <c r="I9" s="3538">
        <v>1040</v>
      </c>
      <c r="J9" s="3538">
        <v>59432</v>
      </c>
      <c r="L9">
        <v>95.63</v>
      </c>
      <c r="M9">
        <v>9800</v>
      </c>
      <c r="N9" s="1405" t="s">
        <v>3582</v>
      </c>
      <c r="O9" s="1405" t="s">
        <v>3583</v>
      </c>
      <c r="P9" s="3174">
        <v>45928</v>
      </c>
      <c r="Q9" s="1405" t="s">
        <v>3419</v>
      </c>
      <c r="R9" s="1405">
        <f t="shared" ref="R9:R14" si="0">ROUND(M9/L9,2)</f>
        <v>102.48</v>
      </c>
      <c r="AA9" s="3174">
        <v>45837</v>
      </c>
      <c r="AB9" t="s">
        <v>3539</v>
      </c>
      <c r="AC9">
        <v>103</v>
      </c>
      <c r="AD9" t="s">
        <v>3530</v>
      </c>
      <c r="AE9" t="s">
        <v>3533</v>
      </c>
      <c r="AF9">
        <v>930</v>
      </c>
      <c r="AG9">
        <v>20250506</v>
      </c>
      <c r="AH9">
        <v>820</v>
      </c>
      <c r="AI9">
        <v>79067</v>
      </c>
    </row>
    <row r="10" spans="2:35">
      <c r="B10" s="3536">
        <v>45908</v>
      </c>
      <c r="C10" s="3537" t="s">
        <v>3537</v>
      </c>
      <c r="D10" s="3537">
        <v>42</v>
      </c>
      <c r="E10" s="3537" t="s">
        <v>3538</v>
      </c>
      <c r="F10" s="3537" t="s">
        <v>3533</v>
      </c>
      <c r="G10" s="3537">
        <v>40</v>
      </c>
      <c r="H10" s="3537">
        <v>20250907</v>
      </c>
      <c r="I10" s="3538">
        <v>40</v>
      </c>
      <c r="J10" s="3538">
        <v>9344</v>
      </c>
      <c r="L10" s="3157">
        <v>196.4</v>
      </c>
      <c r="M10" s="3157">
        <v>17500</v>
      </c>
      <c r="N10" s="3189" t="s">
        <v>3579</v>
      </c>
      <c r="O10" s="3189" t="s">
        <v>3584</v>
      </c>
      <c r="P10" s="3185">
        <v>45922</v>
      </c>
      <c r="Q10" s="3189" t="s">
        <v>3581</v>
      </c>
      <c r="R10" s="3189">
        <f t="shared" si="0"/>
        <v>89.1</v>
      </c>
      <c r="AA10" s="3174">
        <v>45800</v>
      </c>
      <c r="AB10" t="s">
        <v>3535</v>
      </c>
      <c r="AC10">
        <v>175</v>
      </c>
      <c r="AD10" t="s">
        <v>3536</v>
      </c>
      <c r="AE10" t="s">
        <v>3528</v>
      </c>
      <c r="AF10">
        <v>1226</v>
      </c>
      <c r="AG10">
        <v>20250215</v>
      </c>
      <c r="AH10">
        <v>1160</v>
      </c>
      <c r="AI10">
        <v>66127</v>
      </c>
    </row>
    <row r="11" spans="2:35">
      <c r="B11" s="3536">
        <v>45837</v>
      </c>
      <c r="C11" s="3537" t="s">
        <v>3539</v>
      </c>
      <c r="D11" s="3537">
        <v>103</v>
      </c>
      <c r="E11" s="3537" t="s">
        <v>3530</v>
      </c>
      <c r="F11" s="3537" t="s">
        <v>3533</v>
      </c>
      <c r="G11" s="3537">
        <v>930</v>
      </c>
      <c r="H11" s="3537">
        <v>20250506</v>
      </c>
      <c r="I11" s="3538">
        <v>820</v>
      </c>
      <c r="J11" s="3538">
        <v>79067</v>
      </c>
      <c r="L11">
        <v>95</v>
      </c>
      <c r="M11">
        <v>10000</v>
      </c>
      <c r="N11" s="1405" t="s">
        <v>3582</v>
      </c>
      <c r="O11" s="1405" t="s">
        <v>3585</v>
      </c>
      <c r="P11" s="3174">
        <v>45900</v>
      </c>
      <c r="Q11" s="1405" t="s">
        <v>3419</v>
      </c>
      <c r="R11" s="1405">
        <f t="shared" si="0"/>
        <v>105.26</v>
      </c>
      <c r="AA11" s="3174">
        <v>45724</v>
      </c>
      <c r="AB11" t="s">
        <v>3526</v>
      </c>
      <c r="AC11">
        <v>184</v>
      </c>
      <c r="AD11" t="s">
        <v>3530</v>
      </c>
      <c r="AE11" t="s">
        <v>3528</v>
      </c>
      <c r="AF11">
        <v>1320</v>
      </c>
      <c r="AG11" s="3174">
        <v>45623</v>
      </c>
      <c r="AH11">
        <v>1265</v>
      </c>
      <c r="AI11">
        <v>68578</v>
      </c>
    </row>
    <row r="12" spans="2:35">
      <c r="B12" s="3536">
        <v>45800</v>
      </c>
      <c r="C12" s="3537" t="s">
        <v>3535</v>
      </c>
      <c r="D12" s="3537">
        <v>175</v>
      </c>
      <c r="E12" s="3537" t="s">
        <v>3536</v>
      </c>
      <c r="F12" s="3537" t="s">
        <v>3528</v>
      </c>
      <c r="G12" s="3537">
        <v>1226</v>
      </c>
      <c r="H12" s="3537">
        <v>20250215</v>
      </c>
      <c r="I12" s="3538">
        <v>1160</v>
      </c>
      <c r="J12" s="3538">
        <v>66127</v>
      </c>
      <c r="L12" s="3157">
        <v>176</v>
      </c>
      <c r="M12" s="3157">
        <v>15800</v>
      </c>
      <c r="N12" s="3189" t="s">
        <v>3586</v>
      </c>
      <c r="O12" s="3189" t="s">
        <v>3587</v>
      </c>
      <c r="P12" s="3190">
        <v>45864</v>
      </c>
      <c r="Q12" s="3189" t="s">
        <v>3419</v>
      </c>
      <c r="R12" s="3189">
        <f t="shared" si="0"/>
        <v>89.77</v>
      </c>
      <c r="AA12" s="3174">
        <v>45669</v>
      </c>
      <c r="AB12" t="s">
        <v>3539</v>
      </c>
      <c r="AC12">
        <v>103</v>
      </c>
      <c r="AD12" t="s">
        <v>3530</v>
      </c>
      <c r="AE12" t="s">
        <v>3533</v>
      </c>
      <c r="AF12">
        <v>953</v>
      </c>
      <c r="AG12" s="3174">
        <v>45471</v>
      </c>
      <c r="AH12">
        <v>900</v>
      </c>
      <c r="AI12">
        <v>86964</v>
      </c>
    </row>
    <row r="13" spans="2:35">
      <c r="B13" s="3544">
        <v>45724</v>
      </c>
      <c r="C13" s="3545" t="s">
        <v>3526</v>
      </c>
      <c r="D13" s="3545">
        <v>184</v>
      </c>
      <c r="E13" s="3545" t="s">
        <v>3530</v>
      </c>
      <c r="F13" s="3545" t="s">
        <v>3528</v>
      </c>
      <c r="G13" s="3545">
        <v>1320</v>
      </c>
      <c r="H13" s="3547">
        <v>45623</v>
      </c>
      <c r="I13" s="3546">
        <v>1265</v>
      </c>
      <c r="J13" s="3546">
        <v>68578</v>
      </c>
      <c r="L13">
        <v>95</v>
      </c>
      <c r="M13">
        <v>9300</v>
      </c>
      <c r="N13" s="1405" t="s">
        <v>3582</v>
      </c>
      <c r="O13" s="1405" t="s">
        <v>3588</v>
      </c>
      <c r="P13" s="3174">
        <v>45859</v>
      </c>
      <c r="Q13" s="1405" t="s">
        <v>3589</v>
      </c>
      <c r="R13" s="1405">
        <f t="shared" si="0"/>
        <v>97.89</v>
      </c>
      <c r="AA13" s="3174"/>
    </row>
    <row r="14" spans="2:35">
      <c r="B14" s="3536">
        <v>45669</v>
      </c>
      <c r="C14" s="3537" t="s">
        <v>3539</v>
      </c>
      <c r="D14" s="3537">
        <v>103</v>
      </c>
      <c r="E14" s="3537" t="s">
        <v>3530</v>
      </c>
      <c r="F14" s="3537" t="s">
        <v>3533</v>
      </c>
      <c r="G14" s="3537">
        <v>953</v>
      </c>
      <c r="H14" s="3539">
        <v>45471</v>
      </c>
      <c r="I14" s="3538">
        <v>900</v>
      </c>
      <c r="J14" s="3538">
        <v>86964</v>
      </c>
      <c r="L14">
        <v>197</v>
      </c>
      <c r="M14">
        <v>18000</v>
      </c>
      <c r="N14" s="1405" t="s">
        <v>3582</v>
      </c>
      <c r="O14" s="1405" t="s">
        <v>3588</v>
      </c>
      <c r="P14" s="3174">
        <v>45822</v>
      </c>
      <c r="Q14" s="1405" t="s">
        <v>3581</v>
      </c>
      <c r="R14" s="1405">
        <f t="shared" si="0"/>
        <v>91.37</v>
      </c>
      <c r="AA14" s="3174">
        <v>45612</v>
      </c>
      <c r="AB14" t="s">
        <v>3529</v>
      </c>
      <c r="AC14">
        <v>196</v>
      </c>
      <c r="AD14" t="s">
        <v>3527</v>
      </c>
      <c r="AE14" t="s">
        <v>3528</v>
      </c>
      <c r="AF14">
        <v>1350</v>
      </c>
      <c r="AG14" s="3174">
        <v>45537</v>
      </c>
      <c r="AH14">
        <v>1208</v>
      </c>
      <c r="AI14">
        <v>61444</v>
      </c>
    </row>
    <row r="15" spans="2:35" hidden="1">
      <c r="B15" s="3536">
        <v>45643</v>
      </c>
      <c r="C15" s="3537" t="s">
        <v>3540</v>
      </c>
      <c r="D15" s="3537">
        <v>177</v>
      </c>
      <c r="E15" s="3537"/>
      <c r="F15" s="3537" t="s">
        <v>3533</v>
      </c>
      <c r="G15" s="3537">
        <v>0</v>
      </c>
      <c r="H15" s="3537" t="s">
        <v>3541</v>
      </c>
      <c r="I15" s="3538">
        <v>230</v>
      </c>
      <c r="J15" s="3538">
        <v>12989</v>
      </c>
      <c r="AA15" s="3174">
        <v>45603</v>
      </c>
      <c r="AB15" t="s">
        <v>3535</v>
      </c>
      <c r="AC15">
        <v>177</v>
      </c>
      <c r="AD15" t="s">
        <v>3536</v>
      </c>
      <c r="AE15" t="s">
        <v>3528</v>
      </c>
      <c r="AF15">
        <v>1350</v>
      </c>
      <c r="AG15" s="3174">
        <v>45446</v>
      </c>
      <c r="AH15">
        <v>1280</v>
      </c>
      <c r="AI15">
        <v>72242</v>
      </c>
    </row>
    <row r="16" spans="2:35">
      <c r="B16" s="3536">
        <v>45612</v>
      </c>
      <c r="C16" s="3537" t="s">
        <v>3529</v>
      </c>
      <c r="D16" s="3537">
        <v>196</v>
      </c>
      <c r="E16" s="3537" t="s">
        <v>3527</v>
      </c>
      <c r="F16" s="3537" t="s">
        <v>3528</v>
      </c>
      <c r="G16" s="3537">
        <v>1350</v>
      </c>
      <c r="H16" s="3539">
        <v>45537</v>
      </c>
      <c r="I16" s="3538">
        <v>1208</v>
      </c>
      <c r="J16" s="3538">
        <v>61444</v>
      </c>
      <c r="AA16" s="3174">
        <v>45598</v>
      </c>
      <c r="AB16" t="s">
        <v>3535</v>
      </c>
      <c r="AC16">
        <v>172</v>
      </c>
      <c r="AD16" t="s">
        <v>3530</v>
      </c>
      <c r="AE16" t="s">
        <v>3528</v>
      </c>
      <c r="AF16">
        <v>1299</v>
      </c>
      <c r="AG16" s="3174">
        <v>45440</v>
      </c>
      <c r="AH16">
        <v>1168</v>
      </c>
      <c r="AI16">
        <v>67702</v>
      </c>
    </row>
    <row r="17" spans="2:35">
      <c r="B17" s="3536">
        <v>45603</v>
      </c>
      <c r="C17" s="3537" t="s">
        <v>3535</v>
      </c>
      <c r="D17" s="3537">
        <v>177</v>
      </c>
      <c r="E17" s="3537" t="s">
        <v>3536</v>
      </c>
      <c r="F17" s="3537" t="s">
        <v>3528</v>
      </c>
      <c r="G17" s="3537">
        <v>1350</v>
      </c>
      <c r="H17" s="3539">
        <v>45446</v>
      </c>
      <c r="I17" s="3538">
        <v>1280</v>
      </c>
      <c r="J17" s="3538">
        <v>72242</v>
      </c>
      <c r="AA17" s="3174">
        <v>45567</v>
      </c>
      <c r="AB17" t="s">
        <v>3526</v>
      </c>
      <c r="AC17">
        <v>177</v>
      </c>
      <c r="AD17" t="s">
        <v>3530</v>
      </c>
      <c r="AE17" t="s">
        <v>3528</v>
      </c>
      <c r="AF17">
        <v>1299</v>
      </c>
      <c r="AG17" s="3174">
        <v>45564</v>
      </c>
      <c r="AH17">
        <v>1256</v>
      </c>
      <c r="AI17">
        <v>70932</v>
      </c>
    </row>
    <row r="18" spans="2:35">
      <c r="B18" s="3536">
        <v>45598</v>
      </c>
      <c r="C18" s="3537" t="s">
        <v>3535</v>
      </c>
      <c r="D18" s="3537">
        <v>172</v>
      </c>
      <c r="E18" s="3537" t="s">
        <v>3530</v>
      </c>
      <c r="F18" s="3537" t="s">
        <v>3528</v>
      </c>
      <c r="G18" s="3537">
        <v>1299</v>
      </c>
      <c r="H18" s="3539">
        <v>45440</v>
      </c>
      <c r="I18" s="3538">
        <v>1168</v>
      </c>
      <c r="J18" s="3538">
        <v>67702</v>
      </c>
      <c r="AA18" s="3174">
        <v>45563</v>
      </c>
      <c r="AB18" t="s">
        <v>3535</v>
      </c>
      <c r="AC18">
        <v>172</v>
      </c>
      <c r="AD18" t="s">
        <v>3527</v>
      </c>
      <c r="AE18" t="s">
        <v>3528</v>
      </c>
      <c r="AF18">
        <v>1130</v>
      </c>
      <c r="AG18" s="3174">
        <v>45449</v>
      </c>
      <c r="AH18">
        <v>1122</v>
      </c>
      <c r="AI18">
        <v>65122</v>
      </c>
    </row>
    <row r="19" spans="2:35">
      <c r="B19" s="3536">
        <v>45567</v>
      </c>
      <c r="C19" s="3537" t="s">
        <v>3526</v>
      </c>
      <c r="D19" s="3537">
        <v>177</v>
      </c>
      <c r="E19" s="3537" t="s">
        <v>3530</v>
      </c>
      <c r="F19" s="3537" t="s">
        <v>3528</v>
      </c>
      <c r="G19" s="3537">
        <v>1299</v>
      </c>
      <c r="H19" s="3539">
        <v>45564</v>
      </c>
      <c r="I19" s="3538">
        <v>1256</v>
      </c>
      <c r="J19" s="3538">
        <v>70932</v>
      </c>
      <c r="AA19" s="3174">
        <v>45537</v>
      </c>
      <c r="AB19" t="s">
        <v>3529</v>
      </c>
      <c r="AC19">
        <v>196</v>
      </c>
      <c r="AD19" t="s">
        <v>3536</v>
      </c>
      <c r="AE19" t="s">
        <v>3533</v>
      </c>
      <c r="AF19">
        <v>1300</v>
      </c>
      <c r="AG19" s="3174">
        <v>45433</v>
      </c>
      <c r="AH19">
        <v>1260</v>
      </c>
      <c r="AI19">
        <v>64040</v>
      </c>
    </row>
    <row r="20" spans="2:35">
      <c r="B20" s="3536">
        <v>45563</v>
      </c>
      <c r="C20" s="3537" t="s">
        <v>3535</v>
      </c>
      <c r="D20" s="3537">
        <v>172</v>
      </c>
      <c r="E20" s="3537" t="s">
        <v>3527</v>
      </c>
      <c r="F20" s="3537" t="s">
        <v>3528</v>
      </c>
      <c r="G20" s="3537">
        <v>1130</v>
      </c>
      <c r="H20" s="3539">
        <v>45449</v>
      </c>
      <c r="I20" s="3538">
        <v>1122</v>
      </c>
      <c r="J20" s="3538">
        <v>65122</v>
      </c>
      <c r="AA20" s="3174">
        <v>45480</v>
      </c>
      <c r="AB20" t="s">
        <v>3531</v>
      </c>
      <c r="AC20">
        <v>103</v>
      </c>
      <c r="AD20" t="s">
        <v>3530</v>
      </c>
      <c r="AE20" t="s">
        <v>3533</v>
      </c>
      <c r="AF20">
        <v>935</v>
      </c>
      <c r="AG20" s="3174">
        <v>45456</v>
      </c>
      <c r="AH20">
        <v>880</v>
      </c>
      <c r="AI20">
        <v>84851</v>
      </c>
    </row>
    <row r="21" spans="2:35">
      <c r="B21" s="3536">
        <v>45537</v>
      </c>
      <c r="C21" s="3537" t="s">
        <v>3529</v>
      </c>
      <c r="D21" s="3537">
        <v>196</v>
      </c>
      <c r="E21" s="3537" t="s">
        <v>3536</v>
      </c>
      <c r="F21" s="3537" t="s">
        <v>3533</v>
      </c>
      <c r="G21" s="3537">
        <v>1300</v>
      </c>
      <c r="H21" s="3539">
        <v>45433</v>
      </c>
      <c r="I21" s="3538">
        <v>1260</v>
      </c>
      <c r="J21" s="3538">
        <v>64040</v>
      </c>
      <c r="AA21" s="3174">
        <v>45479</v>
      </c>
      <c r="AB21" t="s">
        <v>3535</v>
      </c>
      <c r="AC21">
        <v>171</v>
      </c>
      <c r="AD21" t="s">
        <v>3534</v>
      </c>
      <c r="AE21" t="s">
        <v>3528</v>
      </c>
      <c r="AF21">
        <v>1280</v>
      </c>
      <c r="AG21" s="3174">
        <v>45358</v>
      </c>
      <c r="AH21">
        <v>1118</v>
      </c>
      <c r="AI21">
        <v>65060</v>
      </c>
    </row>
    <row r="22" spans="2:35">
      <c r="B22" s="3536">
        <v>45480</v>
      </c>
      <c r="C22" s="3537" t="s">
        <v>3531</v>
      </c>
      <c r="D22" s="3537">
        <v>103</v>
      </c>
      <c r="E22" s="3537" t="s">
        <v>3530</v>
      </c>
      <c r="F22" s="3537" t="s">
        <v>3533</v>
      </c>
      <c r="G22" s="3537">
        <v>935</v>
      </c>
      <c r="H22" s="3539">
        <v>45456</v>
      </c>
      <c r="I22" s="3538">
        <v>880</v>
      </c>
      <c r="J22" s="3538">
        <v>84851</v>
      </c>
      <c r="AA22" s="3174">
        <v>45451</v>
      </c>
      <c r="AB22" t="s">
        <v>3531</v>
      </c>
      <c r="AC22">
        <v>95</v>
      </c>
      <c r="AD22" t="s">
        <v>3527</v>
      </c>
      <c r="AE22" t="s">
        <v>3533</v>
      </c>
      <c r="AF22">
        <v>820</v>
      </c>
      <c r="AG22" s="3174">
        <v>45391</v>
      </c>
      <c r="AH22">
        <v>815</v>
      </c>
      <c r="AI22">
        <v>85456</v>
      </c>
    </row>
    <row r="23" spans="2:35">
      <c r="B23" s="3536">
        <v>45479</v>
      </c>
      <c r="C23" s="3537" t="s">
        <v>3535</v>
      </c>
      <c r="D23" s="3537">
        <v>171</v>
      </c>
      <c r="E23" s="3537" t="s">
        <v>3534</v>
      </c>
      <c r="F23" s="3537" t="s">
        <v>3528</v>
      </c>
      <c r="G23" s="3537">
        <v>1280</v>
      </c>
      <c r="H23" s="3539">
        <v>45358</v>
      </c>
      <c r="I23" s="3538">
        <v>1118</v>
      </c>
      <c r="J23" s="3538">
        <v>65060</v>
      </c>
      <c r="AA23" s="3174">
        <v>45448</v>
      </c>
      <c r="AB23" t="s">
        <v>3526</v>
      </c>
      <c r="AC23">
        <v>183</v>
      </c>
      <c r="AD23" t="s">
        <v>3530</v>
      </c>
      <c r="AE23" t="s">
        <v>3528</v>
      </c>
      <c r="AF23">
        <v>1380</v>
      </c>
      <c r="AG23" s="3174">
        <v>45031</v>
      </c>
      <c r="AH23">
        <v>1236</v>
      </c>
      <c r="AI23">
        <v>67221</v>
      </c>
    </row>
    <row r="24" spans="2:35">
      <c r="B24" s="3536">
        <v>45451</v>
      </c>
      <c r="C24" s="3537" t="s">
        <v>3531</v>
      </c>
      <c r="D24" s="3537">
        <v>95</v>
      </c>
      <c r="E24" s="3537" t="s">
        <v>3527</v>
      </c>
      <c r="F24" s="3537" t="s">
        <v>3533</v>
      </c>
      <c r="G24" s="3537">
        <v>820</v>
      </c>
      <c r="H24" s="3539">
        <v>45391</v>
      </c>
      <c r="I24" s="3538">
        <v>815</v>
      </c>
      <c r="J24" s="3538">
        <v>85456</v>
      </c>
      <c r="AA24" s="3174"/>
      <c r="AG24" s="3174"/>
    </row>
    <row r="25" spans="2:35">
      <c r="B25" s="3544">
        <v>45448</v>
      </c>
      <c r="C25" s="3545" t="s">
        <v>3526</v>
      </c>
      <c r="D25" s="3545">
        <v>183</v>
      </c>
      <c r="E25" s="3545" t="s">
        <v>3530</v>
      </c>
      <c r="F25" s="3545" t="s">
        <v>3528</v>
      </c>
      <c r="G25" s="3545">
        <v>1380</v>
      </c>
      <c r="H25" s="3547">
        <v>45031</v>
      </c>
      <c r="I25" s="3546">
        <v>1236</v>
      </c>
      <c r="J25" s="3546">
        <v>67221</v>
      </c>
      <c r="AA25" s="3174">
        <v>45297</v>
      </c>
      <c r="AB25" t="s">
        <v>3539</v>
      </c>
      <c r="AC25">
        <v>103</v>
      </c>
      <c r="AD25" t="s">
        <v>3536</v>
      </c>
      <c r="AE25" t="s">
        <v>3533</v>
      </c>
      <c r="AF25">
        <v>1030</v>
      </c>
      <c r="AG25" s="3174">
        <v>45189</v>
      </c>
      <c r="AH25">
        <v>955</v>
      </c>
      <c r="AI25">
        <v>92048</v>
      </c>
    </row>
    <row r="26" spans="2:35" hidden="1">
      <c r="B26" s="3536">
        <v>45446</v>
      </c>
      <c r="C26" s="3537" t="s">
        <v>3537</v>
      </c>
      <c r="D26" s="3537">
        <v>42</v>
      </c>
      <c r="E26" s="3537" t="s">
        <v>3538</v>
      </c>
      <c r="F26" s="3537" t="s">
        <v>3417</v>
      </c>
      <c r="G26" s="3537">
        <v>45</v>
      </c>
      <c r="H26" s="3539">
        <v>45446</v>
      </c>
      <c r="I26" s="3538">
        <v>45</v>
      </c>
      <c r="J26" s="3538">
        <v>10511</v>
      </c>
      <c r="AA26" s="3174">
        <v>45285</v>
      </c>
      <c r="AB26" t="s">
        <v>3535</v>
      </c>
      <c r="AC26">
        <v>172</v>
      </c>
      <c r="AD26" t="s">
        <v>3527</v>
      </c>
      <c r="AE26" t="s">
        <v>3528</v>
      </c>
      <c r="AF26">
        <v>1420</v>
      </c>
      <c r="AG26" s="3174">
        <v>45266</v>
      </c>
      <c r="AH26">
        <v>1238</v>
      </c>
      <c r="AI26">
        <v>71855</v>
      </c>
    </row>
    <row r="27" spans="2:35">
      <c r="B27" s="3536">
        <v>45297</v>
      </c>
      <c r="C27" s="3537" t="s">
        <v>3539</v>
      </c>
      <c r="D27" s="3537">
        <v>103</v>
      </c>
      <c r="E27" s="3537" t="s">
        <v>3536</v>
      </c>
      <c r="F27" s="3537" t="s">
        <v>3533</v>
      </c>
      <c r="G27" s="3537">
        <v>1030</v>
      </c>
      <c r="H27" s="3539">
        <v>45189</v>
      </c>
      <c r="I27" s="3538">
        <v>955</v>
      </c>
      <c r="J27" s="3538">
        <v>92048</v>
      </c>
      <c r="AA27" s="3174">
        <v>45283</v>
      </c>
      <c r="AB27" t="s">
        <v>3535</v>
      </c>
      <c r="AC27">
        <v>176</v>
      </c>
      <c r="AD27" t="s">
        <v>3527</v>
      </c>
      <c r="AE27" t="s">
        <v>3528</v>
      </c>
      <c r="AF27">
        <v>1510</v>
      </c>
      <c r="AG27" s="3174">
        <v>45210</v>
      </c>
      <c r="AH27">
        <v>1385</v>
      </c>
      <c r="AI27">
        <v>78412</v>
      </c>
    </row>
    <row r="28" spans="2:35">
      <c r="B28" s="3531">
        <v>45285</v>
      </c>
      <c r="C28" t="s">
        <v>3535</v>
      </c>
      <c r="D28">
        <v>172</v>
      </c>
      <c r="E28" t="s">
        <v>3527</v>
      </c>
      <c r="F28" t="s">
        <v>3528</v>
      </c>
      <c r="G28">
        <v>1420</v>
      </c>
      <c r="H28" s="3174">
        <v>45266</v>
      </c>
      <c r="I28" s="3530">
        <v>1238</v>
      </c>
      <c r="J28" s="3530">
        <v>71855</v>
      </c>
      <c r="AA28" s="3174">
        <v>45235</v>
      </c>
      <c r="AB28" t="s">
        <v>3531</v>
      </c>
      <c r="AC28">
        <v>94</v>
      </c>
      <c r="AD28" t="s">
        <v>3536</v>
      </c>
      <c r="AE28" t="s">
        <v>3533</v>
      </c>
      <c r="AF28">
        <v>970</v>
      </c>
      <c r="AG28" s="3174">
        <v>45107</v>
      </c>
      <c r="AH28">
        <v>893</v>
      </c>
      <c r="AI28">
        <v>94357</v>
      </c>
    </row>
    <row r="29" spans="2:35">
      <c r="B29" s="3531">
        <v>45283</v>
      </c>
      <c r="C29" t="s">
        <v>3535</v>
      </c>
      <c r="D29">
        <v>176</v>
      </c>
      <c r="E29" t="s">
        <v>3527</v>
      </c>
      <c r="F29" t="s">
        <v>3528</v>
      </c>
      <c r="G29">
        <v>1510</v>
      </c>
      <c r="H29" s="3174">
        <v>45210</v>
      </c>
      <c r="I29" s="3530">
        <v>1385</v>
      </c>
      <c r="J29" s="3530">
        <v>78412</v>
      </c>
      <c r="AA29" s="3174">
        <v>45221</v>
      </c>
      <c r="AB29" t="s">
        <v>3531</v>
      </c>
      <c r="AC29">
        <v>94</v>
      </c>
      <c r="AD29" t="s">
        <v>3530</v>
      </c>
      <c r="AE29" t="s">
        <v>3533</v>
      </c>
      <c r="AF29">
        <v>920</v>
      </c>
      <c r="AG29" s="3174">
        <v>45148</v>
      </c>
      <c r="AH29">
        <v>871</v>
      </c>
      <c r="AI29">
        <v>92286</v>
      </c>
    </row>
    <row r="30" spans="2:35">
      <c r="B30" s="3531">
        <v>45235</v>
      </c>
      <c r="C30" t="s">
        <v>3531</v>
      </c>
      <c r="D30">
        <v>94</v>
      </c>
      <c r="E30" t="s">
        <v>3536</v>
      </c>
      <c r="F30" t="s">
        <v>3533</v>
      </c>
      <c r="G30">
        <v>970</v>
      </c>
      <c r="H30" s="3174">
        <v>45107</v>
      </c>
      <c r="I30" s="3530">
        <v>893</v>
      </c>
      <c r="J30" s="3530">
        <v>94357</v>
      </c>
      <c r="AA30" s="3174">
        <v>45153</v>
      </c>
      <c r="AB30" t="s">
        <v>3535</v>
      </c>
      <c r="AC30">
        <v>175</v>
      </c>
      <c r="AD30" t="s">
        <v>3536</v>
      </c>
      <c r="AE30" t="s">
        <v>3528</v>
      </c>
      <c r="AF30">
        <v>1590</v>
      </c>
      <c r="AG30" s="3174">
        <v>44967</v>
      </c>
      <c r="AH30">
        <v>1528</v>
      </c>
      <c r="AI30">
        <v>86932</v>
      </c>
    </row>
    <row r="31" spans="2:35">
      <c r="B31" s="3531">
        <v>45221</v>
      </c>
      <c r="C31" t="s">
        <v>3531</v>
      </c>
      <c r="D31">
        <v>94</v>
      </c>
      <c r="E31" t="s">
        <v>3530</v>
      </c>
      <c r="F31" t="s">
        <v>3533</v>
      </c>
      <c r="G31">
        <v>920</v>
      </c>
      <c r="H31" s="3174">
        <v>45148</v>
      </c>
      <c r="I31" s="3530">
        <v>871</v>
      </c>
      <c r="J31" s="3530">
        <v>92286</v>
      </c>
      <c r="AA31" s="3174">
        <v>45088</v>
      </c>
      <c r="AB31" t="s">
        <v>3529</v>
      </c>
      <c r="AC31">
        <v>229</v>
      </c>
      <c r="AD31" t="s">
        <v>3530</v>
      </c>
      <c r="AE31" t="s">
        <v>3528</v>
      </c>
      <c r="AF31">
        <v>2330</v>
      </c>
      <c r="AG31" s="3174">
        <v>45017</v>
      </c>
      <c r="AH31">
        <v>2200</v>
      </c>
      <c r="AI31">
        <v>95710</v>
      </c>
    </row>
    <row r="32" spans="2:35">
      <c r="B32" s="3531">
        <v>45154</v>
      </c>
      <c r="C32" t="s">
        <v>3542</v>
      </c>
      <c r="D32">
        <v>47</v>
      </c>
      <c r="E32" t="s">
        <v>3538</v>
      </c>
      <c r="F32" t="s">
        <v>3533</v>
      </c>
      <c r="G32">
        <v>56</v>
      </c>
      <c r="H32" t="s">
        <v>3543</v>
      </c>
      <c r="I32" s="3530">
        <v>56</v>
      </c>
      <c r="J32" s="3530">
        <v>11915</v>
      </c>
      <c r="AA32" s="3174">
        <v>45073</v>
      </c>
      <c r="AB32" t="s">
        <v>3544</v>
      </c>
      <c r="AC32">
        <v>230</v>
      </c>
      <c r="AD32" t="s">
        <v>3530</v>
      </c>
      <c r="AE32" t="s">
        <v>3528</v>
      </c>
      <c r="AF32">
        <v>2100</v>
      </c>
      <c r="AG32" s="3174">
        <v>44987</v>
      </c>
      <c r="AH32">
        <v>1955</v>
      </c>
      <c r="AI32">
        <v>84786</v>
      </c>
    </row>
    <row r="33" spans="2:35">
      <c r="B33" s="3531">
        <v>45153</v>
      </c>
      <c r="C33" t="s">
        <v>3535</v>
      </c>
      <c r="D33">
        <v>175</v>
      </c>
      <c r="E33" t="s">
        <v>3536</v>
      </c>
      <c r="F33" t="s">
        <v>3528</v>
      </c>
      <c r="G33">
        <v>1590</v>
      </c>
      <c r="H33" s="3174">
        <v>44967</v>
      </c>
      <c r="I33" s="3530">
        <v>1528</v>
      </c>
      <c r="J33" s="3530">
        <v>86932</v>
      </c>
      <c r="AA33" s="3174">
        <v>45067</v>
      </c>
      <c r="AB33" t="s">
        <v>3535</v>
      </c>
      <c r="AC33">
        <v>176</v>
      </c>
      <c r="AD33" t="s">
        <v>3536</v>
      </c>
      <c r="AE33" t="s">
        <v>3528</v>
      </c>
      <c r="AF33">
        <v>1458</v>
      </c>
      <c r="AG33" s="3174">
        <v>45031</v>
      </c>
      <c r="AH33">
        <v>1360</v>
      </c>
      <c r="AI33">
        <v>77019</v>
      </c>
    </row>
    <row r="34" spans="2:35">
      <c r="B34" s="3531">
        <v>45088</v>
      </c>
      <c r="C34" t="s">
        <v>3529</v>
      </c>
      <c r="D34">
        <v>229</v>
      </c>
      <c r="E34" t="s">
        <v>3530</v>
      </c>
      <c r="F34" t="s">
        <v>3528</v>
      </c>
      <c r="G34">
        <v>2330</v>
      </c>
      <c r="H34" s="3174">
        <v>45017</v>
      </c>
      <c r="I34" s="3530">
        <v>2200</v>
      </c>
      <c r="J34" s="3530">
        <v>95710</v>
      </c>
      <c r="AA34" s="3174">
        <v>44984</v>
      </c>
      <c r="AB34" t="s">
        <v>3539</v>
      </c>
      <c r="AC34">
        <v>95</v>
      </c>
      <c r="AD34" t="s">
        <v>3530</v>
      </c>
      <c r="AE34" t="s">
        <v>3533</v>
      </c>
      <c r="AF34">
        <v>1060</v>
      </c>
      <c r="AG34" s="3174">
        <v>44984</v>
      </c>
      <c r="AH34">
        <v>1050</v>
      </c>
      <c r="AI34">
        <v>109798</v>
      </c>
    </row>
    <row r="35" spans="2:35">
      <c r="B35" s="3531">
        <v>45073</v>
      </c>
      <c r="C35" t="s">
        <v>3544</v>
      </c>
      <c r="D35">
        <v>230</v>
      </c>
      <c r="E35" t="s">
        <v>3530</v>
      </c>
      <c r="F35" t="s">
        <v>3528</v>
      </c>
      <c r="G35">
        <v>2100</v>
      </c>
      <c r="H35" s="3174">
        <v>44987</v>
      </c>
      <c r="I35" s="3530">
        <v>1955</v>
      </c>
      <c r="J35" s="3530">
        <v>84786</v>
      </c>
      <c r="AA35" s="3174">
        <v>44944</v>
      </c>
      <c r="AB35" t="s">
        <v>3529</v>
      </c>
      <c r="AC35">
        <v>204</v>
      </c>
      <c r="AD35" t="s">
        <v>3545</v>
      </c>
      <c r="AE35" t="s">
        <v>3528</v>
      </c>
      <c r="AF35">
        <v>1680</v>
      </c>
      <c r="AG35" s="3174">
        <v>44815</v>
      </c>
      <c r="AH35">
        <v>1635</v>
      </c>
      <c r="AI35">
        <v>79869</v>
      </c>
    </row>
    <row r="36" spans="2:35">
      <c r="B36" s="3531">
        <v>45067</v>
      </c>
      <c r="C36" t="s">
        <v>3535</v>
      </c>
      <c r="D36">
        <v>176</v>
      </c>
      <c r="E36" t="s">
        <v>3536</v>
      </c>
      <c r="F36" t="s">
        <v>3528</v>
      </c>
      <c r="G36">
        <v>1458</v>
      </c>
      <c r="H36" s="3174">
        <v>45031</v>
      </c>
      <c r="I36" s="3530">
        <v>1360</v>
      </c>
      <c r="J36" s="3530">
        <v>77019</v>
      </c>
      <c r="AA36" s="3174">
        <v>44928</v>
      </c>
      <c r="AB36" t="s">
        <v>3531</v>
      </c>
      <c r="AC36">
        <v>98</v>
      </c>
      <c r="AD36" t="s">
        <v>3536</v>
      </c>
      <c r="AE36" t="s">
        <v>3533</v>
      </c>
      <c r="AF36">
        <v>998</v>
      </c>
      <c r="AG36" s="3174">
        <v>44869</v>
      </c>
      <c r="AH36">
        <v>968</v>
      </c>
      <c r="AI36">
        <v>97857</v>
      </c>
    </row>
    <row r="37" spans="2:35">
      <c r="B37" s="3531">
        <v>44984</v>
      </c>
      <c r="C37" t="s">
        <v>3539</v>
      </c>
      <c r="D37">
        <v>95</v>
      </c>
      <c r="E37" t="s">
        <v>3530</v>
      </c>
      <c r="F37" t="s">
        <v>3533</v>
      </c>
      <c r="G37">
        <v>1060</v>
      </c>
      <c r="H37" s="3174">
        <v>44984</v>
      </c>
      <c r="I37" s="3530">
        <v>1050</v>
      </c>
      <c r="J37" s="3530">
        <v>109798</v>
      </c>
      <c r="AA37" s="3174">
        <v>44928</v>
      </c>
      <c r="AB37" t="s">
        <v>3526</v>
      </c>
      <c r="AC37">
        <v>175</v>
      </c>
      <c r="AD37" t="s">
        <v>3527</v>
      </c>
      <c r="AE37" t="s">
        <v>3528</v>
      </c>
      <c r="AF37">
        <v>1500</v>
      </c>
      <c r="AG37" s="3174">
        <v>44901</v>
      </c>
      <c r="AH37">
        <v>1445</v>
      </c>
      <c r="AI37">
        <v>82303</v>
      </c>
    </row>
    <row r="38" spans="2:35">
      <c r="B38" s="3531">
        <v>44944</v>
      </c>
      <c r="C38" t="s">
        <v>3529</v>
      </c>
      <c r="D38">
        <v>204</v>
      </c>
      <c r="E38" t="s">
        <v>3545</v>
      </c>
      <c r="F38" t="s">
        <v>3528</v>
      </c>
      <c r="G38">
        <v>1680</v>
      </c>
      <c r="H38" s="3174">
        <v>44815</v>
      </c>
      <c r="I38" s="3530">
        <v>1635</v>
      </c>
      <c r="J38" s="3530">
        <v>79869</v>
      </c>
      <c r="AA38" s="3174">
        <v>44928</v>
      </c>
      <c r="AB38" t="s">
        <v>3531</v>
      </c>
      <c r="AC38">
        <v>95</v>
      </c>
      <c r="AD38" t="s">
        <v>3536</v>
      </c>
      <c r="AE38" t="s">
        <v>3533</v>
      </c>
      <c r="AF38">
        <v>1030</v>
      </c>
      <c r="AG38" s="3174">
        <v>44873</v>
      </c>
      <c r="AH38">
        <v>974</v>
      </c>
      <c r="AI38">
        <v>101851</v>
      </c>
    </row>
    <row r="39" spans="2:35" ht="43.5" thickBot="1">
      <c r="B39" s="3531">
        <v>44928</v>
      </c>
      <c r="C39" t="s">
        <v>3531</v>
      </c>
      <c r="D39">
        <v>98</v>
      </c>
      <c r="E39" t="s">
        <v>3536</v>
      </c>
      <c r="F39" t="s">
        <v>3533</v>
      </c>
      <c r="G39">
        <v>998</v>
      </c>
      <c r="H39" s="3174">
        <v>44869</v>
      </c>
      <c r="I39" s="3530">
        <v>968</v>
      </c>
      <c r="J39" s="3530">
        <v>97857</v>
      </c>
      <c r="M39" s="3542" t="s">
        <v>3489</v>
      </c>
      <c r="N39" s="3542" t="s">
        <v>3490</v>
      </c>
      <c r="O39" s="3542" t="s">
        <v>3491</v>
      </c>
      <c r="P39" s="3542">
        <v>185.84</v>
      </c>
      <c r="Q39" s="3542" t="s">
        <v>3402</v>
      </c>
      <c r="R39" s="3542" t="s">
        <v>3492</v>
      </c>
      <c r="S39" s="3542">
        <v>8</v>
      </c>
      <c r="T39" s="3542" t="s">
        <v>633</v>
      </c>
      <c r="U39" s="3542">
        <v>2010</v>
      </c>
      <c r="V39" s="3542" t="s">
        <v>633</v>
      </c>
      <c r="W39" s="3542" t="s">
        <v>633</v>
      </c>
      <c r="X39" s="3542">
        <v>61881</v>
      </c>
      <c r="Y39" s="3543">
        <v>46028</v>
      </c>
      <c r="AA39" s="3174">
        <v>44893</v>
      </c>
      <c r="AB39" t="s">
        <v>3535</v>
      </c>
      <c r="AC39">
        <v>175</v>
      </c>
      <c r="AD39" t="s">
        <v>3527</v>
      </c>
      <c r="AE39" t="s">
        <v>3528</v>
      </c>
      <c r="AF39">
        <v>1520</v>
      </c>
      <c r="AG39" s="3174">
        <v>44818</v>
      </c>
      <c r="AH39">
        <v>1440</v>
      </c>
      <c r="AI39">
        <v>82075</v>
      </c>
    </row>
    <row r="40" spans="2:35" ht="43.5" thickBot="1">
      <c r="B40" s="3531">
        <v>44928</v>
      </c>
      <c r="C40" t="s">
        <v>3526</v>
      </c>
      <c r="D40">
        <v>175</v>
      </c>
      <c r="E40" t="s">
        <v>3527</v>
      </c>
      <c r="F40" t="s">
        <v>3528</v>
      </c>
      <c r="G40">
        <v>1500</v>
      </c>
      <c r="H40" s="3174">
        <v>44901</v>
      </c>
      <c r="I40" s="3530">
        <v>1445</v>
      </c>
      <c r="J40" s="3530">
        <v>82303</v>
      </c>
      <c r="M40" s="3177" t="s">
        <v>3493</v>
      </c>
      <c r="N40" s="3177" t="s">
        <v>3490</v>
      </c>
      <c r="O40" s="3177" t="s">
        <v>3491</v>
      </c>
      <c r="P40" s="3177">
        <v>209.49</v>
      </c>
      <c r="Q40" s="3177" t="s">
        <v>3402</v>
      </c>
      <c r="R40" s="3177" t="s">
        <v>3494</v>
      </c>
      <c r="S40" s="3177">
        <v>2</v>
      </c>
      <c r="T40" s="3177" t="s">
        <v>633</v>
      </c>
      <c r="U40" s="3177">
        <v>2010</v>
      </c>
      <c r="V40" s="3177" t="s">
        <v>633</v>
      </c>
      <c r="W40" s="3177" t="s">
        <v>633</v>
      </c>
      <c r="X40" s="3177">
        <v>0</v>
      </c>
      <c r="Y40" s="3178">
        <v>46020</v>
      </c>
      <c r="AA40" s="3174">
        <v>44801</v>
      </c>
      <c r="AB40" t="s">
        <v>3535</v>
      </c>
      <c r="AC40">
        <v>171</v>
      </c>
      <c r="AD40" t="s">
        <v>3545</v>
      </c>
      <c r="AE40" t="s">
        <v>3528</v>
      </c>
      <c r="AF40">
        <v>1430</v>
      </c>
      <c r="AG40" s="3174">
        <v>44660</v>
      </c>
      <c r="AH40">
        <v>1370</v>
      </c>
      <c r="AI40">
        <v>79963</v>
      </c>
    </row>
    <row r="41" spans="2:35" ht="43.5" thickBot="1">
      <c r="B41" s="3531">
        <v>44928</v>
      </c>
      <c r="C41" t="s">
        <v>3531</v>
      </c>
      <c r="D41">
        <v>95</v>
      </c>
      <c r="E41" t="s">
        <v>3536</v>
      </c>
      <c r="F41" t="s">
        <v>3533</v>
      </c>
      <c r="G41">
        <v>1030</v>
      </c>
      <c r="H41" s="3174">
        <v>44873</v>
      </c>
      <c r="I41" s="3530">
        <v>974</v>
      </c>
      <c r="J41" s="3530">
        <v>101851</v>
      </c>
      <c r="M41" s="3542" t="s">
        <v>3495</v>
      </c>
      <c r="N41" s="3542" t="s">
        <v>3490</v>
      </c>
      <c r="O41" s="3542" t="s">
        <v>3491</v>
      </c>
      <c r="P41" s="3542">
        <v>182.69</v>
      </c>
      <c r="Q41" s="3542" t="s">
        <v>3402</v>
      </c>
      <c r="R41" s="3542" t="s">
        <v>3492</v>
      </c>
      <c r="S41" s="3542">
        <v>27</v>
      </c>
      <c r="T41" s="3542">
        <v>2010</v>
      </c>
      <c r="U41" s="3542" t="s">
        <v>633</v>
      </c>
      <c r="V41" s="3542" t="s">
        <v>633</v>
      </c>
      <c r="W41" s="3542" t="s">
        <v>633</v>
      </c>
      <c r="X41" s="3542">
        <v>50632</v>
      </c>
      <c r="Y41" s="3543">
        <v>45960</v>
      </c>
      <c r="AA41" s="3174">
        <v>44786</v>
      </c>
      <c r="AB41" t="s">
        <v>3531</v>
      </c>
      <c r="AC41">
        <v>99</v>
      </c>
      <c r="AD41" t="s">
        <v>3536</v>
      </c>
      <c r="AE41" t="s">
        <v>3533</v>
      </c>
      <c r="AF41">
        <v>1146</v>
      </c>
      <c r="AG41" s="3174">
        <v>44602</v>
      </c>
      <c r="AH41">
        <v>1115</v>
      </c>
      <c r="AI41">
        <v>112275</v>
      </c>
    </row>
    <row r="42" spans="2:35" ht="57.75" thickBot="1">
      <c r="B42" s="3531">
        <v>44893</v>
      </c>
      <c r="C42" t="s">
        <v>3535</v>
      </c>
      <c r="D42">
        <v>175</v>
      </c>
      <c r="E42" t="s">
        <v>3527</v>
      </c>
      <c r="F42" t="s">
        <v>3528</v>
      </c>
      <c r="G42">
        <v>1520</v>
      </c>
      <c r="H42" s="3174">
        <v>44818</v>
      </c>
      <c r="I42" s="3530">
        <v>1440</v>
      </c>
      <c r="J42" s="3530">
        <v>82075</v>
      </c>
      <c r="M42" s="3177" t="s">
        <v>3496</v>
      </c>
      <c r="N42" s="3177" t="s">
        <v>3490</v>
      </c>
      <c r="O42" s="3177" t="s">
        <v>3491</v>
      </c>
      <c r="P42" s="3177">
        <v>98.92</v>
      </c>
      <c r="Q42" s="3177" t="s">
        <v>3402</v>
      </c>
      <c r="R42" s="3177" t="s">
        <v>3497</v>
      </c>
      <c r="S42" s="3177">
        <v>15</v>
      </c>
      <c r="T42" s="3177" t="s">
        <v>633</v>
      </c>
      <c r="U42" s="3177">
        <v>2009</v>
      </c>
      <c r="V42" s="3177" t="s">
        <v>633</v>
      </c>
      <c r="W42" s="3177" t="s">
        <v>633</v>
      </c>
      <c r="X42" s="3177">
        <v>75819</v>
      </c>
      <c r="Y42" s="3178">
        <v>45912</v>
      </c>
      <c r="AA42" s="3174">
        <v>44785</v>
      </c>
      <c r="AB42" t="s">
        <v>3529</v>
      </c>
      <c r="AC42">
        <v>229</v>
      </c>
      <c r="AD42" t="s">
        <v>3546</v>
      </c>
      <c r="AE42" t="s">
        <v>3528</v>
      </c>
      <c r="AF42">
        <v>2100</v>
      </c>
      <c r="AG42" s="3174">
        <v>44676</v>
      </c>
      <c r="AH42">
        <v>1910</v>
      </c>
      <c r="AI42">
        <v>83352</v>
      </c>
    </row>
    <row r="43" spans="2:35" ht="57.75" thickBot="1">
      <c r="B43" s="3531">
        <v>44801</v>
      </c>
      <c r="C43" t="s">
        <v>3535</v>
      </c>
      <c r="D43">
        <v>171</v>
      </c>
      <c r="E43" t="s">
        <v>3545</v>
      </c>
      <c r="F43" t="s">
        <v>3528</v>
      </c>
      <c r="G43">
        <v>1430</v>
      </c>
      <c r="H43" s="3174">
        <v>44660</v>
      </c>
      <c r="I43" s="3530">
        <v>1370</v>
      </c>
      <c r="J43" s="3530">
        <v>79963</v>
      </c>
      <c r="M43" s="3175" t="s">
        <v>3501</v>
      </c>
      <c r="N43" s="3175" t="s">
        <v>3490</v>
      </c>
      <c r="O43" s="3175" t="s">
        <v>3491</v>
      </c>
      <c r="P43" s="3175">
        <v>175.42</v>
      </c>
      <c r="Q43" s="3175" t="s">
        <v>3402</v>
      </c>
      <c r="R43" s="3175" t="s">
        <v>3494</v>
      </c>
      <c r="S43" s="3175">
        <v>24</v>
      </c>
      <c r="T43" s="3175" t="s">
        <v>633</v>
      </c>
      <c r="U43" s="3175">
        <v>2009</v>
      </c>
      <c r="V43" s="3175" t="s">
        <v>633</v>
      </c>
      <c r="W43" s="3175" t="s">
        <v>633</v>
      </c>
      <c r="X43" s="3175">
        <v>66127</v>
      </c>
      <c r="Y43" s="3176">
        <v>45826</v>
      </c>
      <c r="AA43" s="3174">
        <v>44751</v>
      </c>
      <c r="AB43" t="s">
        <v>3535</v>
      </c>
      <c r="AC43">
        <v>175</v>
      </c>
      <c r="AD43" t="s">
        <v>3536</v>
      </c>
      <c r="AE43" t="s">
        <v>3528</v>
      </c>
      <c r="AF43">
        <v>1550</v>
      </c>
      <c r="AG43" s="3174">
        <v>44629</v>
      </c>
      <c r="AH43">
        <v>1490</v>
      </c>
      <c r="AI43">
        <v>84939</v>
      </c>
    </row>
    <row r="44" spans="2:35" ht="43.5" thickBot="1">
      <c r="B44" s="3531">
        <v>44786</v>
      </c>
      <c r="C44" t="s">
        <v>3531</v>
      </c>
      <c r="D44">
        <v>99</v>
      </c>
      <c r="E44" t="s">
        <v>3536</v>
      </c>
      <c r="F44" t="s">
        <v>3533</v>
      </c>
      <c r="G44">
        <v>1146</v>
      </c>
      <c r="H44" s="3174">
        <v>44602</v>
      </c>
      <c r="I44" s="3530">
        <v>1115</v>
      </c>
      <c r="J44" s="3530">
        <v>112275</v>
      </c>
      <c r="M44" s="3542" t="s">
        <v>3505</v>
      </c>
      <c r="N44" s="3542" t="s">
        <v>3490</v>
      </c>
      <c r="O44" s="3542" t="s">
        <v>3491</v>
      </c>
      <c r="P44" s="3542">
        <v>184.46</v>
      </c>
      <c r="Q44" s="3542" t="s">
        <v>3402</v>
      </c>
      <c r="R44" s="3542" t="s">
        <v>3506</v>
      </c>
      <c r="S44" s="3542">
        <v>16</v>
      </c>
      <c r="T44" s="3542" t="s">
        <v>633</v>
      </c>
      <c r="U44" s="3542">
        <v>2010</v>
      </c>
      <c r="V44" s="3542" t="s">
        <v>633</v>
      </c>
      <c r="W44" s="3542" t="s">
        <v>633</v>
      </c>
      <c r="X44" s="3542">
        <v>68579</v>
      </c>
      <c r="Y44" s="3543">
        <v>45743</v>
      </c>
      <c r="AA44" s="3174">
        <v>44746</v>
      </c>
      <c r="AB44" t="s">
        <v>3535</v>
      </c>
      <c r="AC44">
        <v>183</v>
      </c>
      <c r="AD44" t="s">
        <v>3530</v>
      </c>
      <c r="AE44" t="s">
        <v>3528</v>
      </c>
      <c r="AF44">
        <v>1650</v>
      </c>
      <c r="AG44" s="3174">
        <v>44696</v>
      </c>
      <c r="AH44">
        <v>1610</v>
      </c>
      <c r="AI44">
        <v>87567</v>
      </c>
    </row>
    <row r="45" spans="2:35" ht="43.5" thickBot="1">
      <c r="B45" s="3531">
        <v>44785</v>
      </c>
      <c r="C45" t="s">
        <v>3529</v>
      </c>
      <c r="D45">
        <v>229</v>
      </c>
      <c r="E45" t="s">
        <v>3546</v>
      </c>
      <c r="F45" t="s">
        <v>3528</v>
      </c>
      <c r="G45">
        <v>2100</v>
      </c>
      <c r="H45" s="3174">
        <v>44676</v>
      </c>
      <c r="I45" s="3530">
        <v>1910</v>
      </c>
      <c r="J45" s="3530">
        <v>83352</v>
      </c>
      <c r="M45" s="3542" t="s">
        <v>3597</v>
      </c>
      <c r="N45" s="3542" t="s">
        <v>3490</v>
      </c>
      <c r="O45" s="3542" t="s">
        <v>3491</v>
      </c>
      <c r="P45" s="3542">
        <v>184.46</v>
      </c>
      <c r="Q45" s="3542" t="s">
        <v>3402</v>
      </c>
      <c r="R45" s="3542" t="s">
        <v>3492</v>
      </c>
      <c r="S45" s="3542">
        <v>14</v>
      </c>
      <c r="T45" s="3542" t="s">
        <v>633</v>
      </c>
      <c r="U45" s="3542">
        <v>2010</v>
      </c>
      <c r="V45" s="3542" t="s">
        <v>633</v>
      </c>
      <c r="W45" s="3542" t="s">
        <v>633</v>
      </c>
      <c r="X45" s="3542">
        <v>0</v>
      </c>
      <c r="Y45" s="3543">
        <v>45653</v>
      </c>
      <c r="AA45" s="3174">
        <v>44655</v>
      </c>
      <c r="AB45" t="s">
        <v>3529</v>
      </c>
      <c r="AC45">
        <v>197</v>
      </c>
      <c r="AD45" t="s">
        <v>3547</v>
      </c>
      <c r="AE45" t="s">
        <v>3528</v>
      </c>
      <c r="AF45">
        <v>1800</v>
      </c>
      <c r="AG45" s="3174">
        <v>44653</v>
      </c>
      <c r="AH45">
        <v>1778</v>
      </c>
      <c r="AI45">
        <v>90250</v>
      </c>
    </row>
    <row r="46" spans="2:35" ht="43.5" thickBot="1">
      <c r="B46" s="3531">
        <v>44751</v>
      </c>
      <c r="C46" t="s">
        <v>3535</v>
      </c>
      <c r="D46">
        <v>175</v>
      </c>
      <c r="E46" t="s">
        <v>3536</v>
      </c>
      <c r="F46" t="s">
        <v>3528</v>
      </c>
      <c r="G46">
        <v>1550</v>
      </c>
      <c r="H46" s="3174">
        <v>44629</v>
      </c>
      <c r="I46" s="3530">
        <v>1490</v>
      </c>
      <c r="J46" s="3530">
        <v>84939</v>
      </c>
      <c r="M46" s="3542" t="s">
        <v>3598</v>
      </c>
      <c r="N46" s="3542" t="s">
        <v>3490</v>
      </c>
      <c r="O46" s="3542" t="s">
        <v>3491</v>
      </c>
      <c r="P46" s="3542">
        <v>183.87</v>
      </c>
      <c r="Q46" s="3542" t="s">
        <v>3402</v>
      </c>
      <c r="R46" s="3542" t="s">
        <v>3506</v>
      </c>
      <c r="S46" s="3542">
        <v>13</v>
      </c>
      <c r="T46" s="3542" t="s">
        <v>633</v>
      </c>
      <c r="U46" s="3542">
        <v>2010</v>
      </c>
      <c r="V46" s="3542" t="s">
        <v>633</v>
      </c>
      <c r="W46" s="3542" t="s">
        <v>633</v>
      </c>
      <c r="X46" s="3542">
        <v>67221</v>
      </c>
      <c r="Y46" s="3543">
        <v>45517</v>
      </c>
      <c r="AA46" s="3174">
        <v>44558</v>
      </c>
      <c r="AB46" t="s">
        <v>3535</v>
      </c>
      <c r="AC46">
        <v>175</v>
      </c>
      <c r="AD46" t="s">
        <v>3548</v>
      </c>
      <c r="AE46" t="s">
        <v>3528</v>
      </c>
      <c r="AF46">
        <v>1428</v>
      </c>
      <c r="AG46" s="3174">
        <v>44516</v>
      </c>
      <c r="AH46">
        <v>1380</v>
      </c>
      <c r="AI46">
        <v>78597</v>
      </c>
    </row>
    <row r="47" spans="2:35" ht="43.5" thickBot="1">
      <c r="B47" s="3531">
        <v>44746</v>
      </c>
      <c r="C47" t="s">
        <v>3535</v>
      </c>
      <c r="D47">
        <v>183</v>
      </c>
      <c r="E47" t="s">
        <v>3530</v>
      </c>
      <c r="F47" t="s">
        <v>3528</v>
      </c>
      <c r="G47">
        <v>1650</v>
      </c>
      <c r="H47" s="3174">
        <v>44696</v>
      </c>
      <c r="I47" s="3530">
        <v>1610</v>
      </c>
      <c r="J47" s="3530">
        <v>87567</v>
      </c>
      <c r="M47" s="3175" t="s">
        <v>3599</v>
      </c>
      <c r="N47" s="3175" t="s">
        <v>3490</v>
      </c>
      <c r="O47" s="3175" t="s">
        <v>3491</v>
      </c>
      <c r="P47" s="3175">
        <v>145.21</v>
      </c>
      <c r="Q47" s="3175" t="s">
        <v>3402</v>
      </c>
      <c r="R47" s="3175">
        <v>24</v>
      </c>
      <c r="S47" s="3175">
        <v>5</v>
      </c>
      <c r="T47" s="3175" t="s">
        <v>633</v>
      </c>
      <c r="U47" s="3175">
        <v>2010</v>
      </c>
      <c r="V47" s="3175" t="s">
        <v>633</v>
      </c>
      <c r="W47" s="3175" t="s">
        <v>633</v>
      </c>
      <c r="X47" s="3175">
        <v>66800</v>
      </c>
      <c r="Y47" s="3176">
        <v>45493</v>
      </c>
      <c r="AA47" s="3174">
        <v>44555</v>
      </c>
      <c r="AB47" t="s">
        <v>3539</v>
      </c>
      <c r="AC47">
        <v>95</v>
      </c>
      <c r="AD47" t="s">
        <v>3547</v>
      </c>
      <c r="AE47" t="s">
        <v>3533</v>
      </c>
      <c r="AF47">
        <v>999</v>
      </c>
      <c r="AG47" s="3174">
        <v>44535</v>
      </c>
      <c r="AH47">
        <v>948</v>
      </c>
      <c r="AI47">
        <v>99133</v>
      </c>
    </row>
    <row r="48" spans="2:35" ht="57.75" thickBot="1">
      <c r="B48" s="3531">
        <v>44655</v>
      </c>
      <c r="C48" t="s">
        <v>3529</v>
      </c>
      <c r="D48">
        <v>197</v>
      </c>
      <c r="E48" t="s">
        <v>3547</v>
      </c>
      <c r="F48" t="s">
        <v>3528</v>
      </c>
      <c r="G48">
        <v>1800</v>
      </c>
      <c r="H48" s="3174">
        <v>44653</v>
      </c>
      <c r="I48" s="3530">
        <v>1778</v>
      </c>
      <c r="J48" s="3530">
        <v>90250</v>
      </c>
      <c r="M48" s="3177" t="s">
        <v>3600</v>
      </c>
      <c r="N48" s="3177" t="s">
        <v>3490</v>
      </c>
      <c r="O48" s="3177" t="s">
        <v>3491</v>
      </c>
      <c r="P48" s="3177">
        <v>171.84</v>
      </c>
      <c r="Q48" s="3177" t="s">
        <v>3402</v>
      </c>
      <c r="R48" s="3177" t="s">
        <v>3494</v>
      </c>
      <c r="S48" s="3177">
        <v>27</v>
      </c>
      <c r="T48" s="3177" t="s">
        <v>633</v>
      </c>
      <c r="U48" s="3177">
        <v>2009</v>
      </c>
      <c r="V48" s="3177" t="s">
        <v>633</v>
      </c>
      <c r="W48" s="3177" t="s">
        <v>633</v>
      </c>
      <c r="X48" s="3177">
        <v>65061</v>
      </c>
      <c r="Y48" s="3178">
        <v>45489</v>
      </c>
      <c r="AA48" s="3174">
        <v>44550</v>
      </c>
      <c r="AB48" t="s">
        <v>3529</v>
      </c>
      <c r="AC48">
        <v>197</v>
      </c>
      <c r="AD48" t="s">
        <v>3547</v>
      </c>
      <c r="AE48" t="s">
        <v>3528</v>
      </c>
      <c r="AF48">
        <v>1550</v>
      </c>
      <c r="AG48" s="3174">
        <v>44523</v>
      </c>
      <c r="AH48">
        <v>1540</v>
      </c>
      <c r="AI48">
        <v>78169</v>
      </c>
    </row>
    <row r="49" spans="2:35" ht="43.5" thickBot="1">
      <c r="B49" s="3531">
        <v>44558</v>
      </c>
      <c r="C49" t="s">
        <v>3535</v>
      </c>
      <c r="D49">
        <v>175</v>
      </c>
      <c r="E49" t="s">
        <v>3548</v>
      </c>
      <c r="F49" t="s">
        <v>3528</v>
      </c>
      <c r="G49">
        <v>1428</v>
      </c>
      <c r="H49" s="3174">
        <v>44516</v>
      </c>
      <c r="I49" s="3530">
        <v>1380</v>
      </c>
      <c r="J49" s="3530">
        <v>78597</v>
      </c>
      <c r="M49" s="3175" t="s">
        <v>3601</v>
      </c>
      <c r="N49" s="3175" t="s">
        <v>3490</v>
      </c>
      <c r="O49" s="3175" t="s">
        <v>3491</v>
      </c>
      <c r="P49" s="3175">
        <v>103.75</v>
      </c>
      <c r="Q49" s="3175" t="s">
        <v>3402</v>
      </c>
      <c r="R49" s="3175" t="s">
        <v>3497</v>
      </c>
      <c r="S49" s="3175">
        <v>20</v>
      </c>
      <c r="T49" s="3175">
        <v>2010</v>
      </c>
      <c r="U49" s="3175" t="s">
        <v>633</v>
      </c>
      <c r="V49" s="3175" t="s">
        <v>633</v>
      </c>
      <c r="W49" s="3175" t="s">
        <v>633</v>
      </c>
      <c r="X49" s="3175">
        <v>92048</v>
      </c>
      <c r="Y49" s="3176">
        <v>45366</v>
      </c>
      <c r="AA49" s="3174">
        <v>44514</v>
      </c>
      <c r="AB49" t="s">
        <v>3539</v>
      </c>
      <c r="AC49">
        <v>98</v>
      </c>
      <c r="AD49" t="s">
        <v>3549</v>
      </c>
      <c r="AE49" t="s">
        <v>3533</v>
      </c>
      <c r="AF49">
        <v>918</v>
      </c>
      <c r="AG49" s="3174">
        <v>44478</v>
      </c>
      <c r="AH49">
        <v>865</v>
      </c>
      <c r="AI49">
        <v>87471</v>
      </c>
    </row>
    <row r="50" spans="2:35" ht="43.5" thickBot="1">
      <c r="B50" s="3531">
        <v>44555</v>
      </c>
      <c r="C50" t="s">
        <v>3539</v>
      </c>
      <c r="D50">
        <v>95</v>
      </c>
      <c r="E50" t="s">
        <v>3547</v>
      </c>
      <c r="F50" t="s">
        <v>3533</v>
      </c>
      <c r="G50">
        <v>999</v>
      </c>
      <c r="H50" s="3174">
        <v>44535</v>
      </c>
      <c r="I50" s="3530">
        <v>948</v>
      </c>
      <c r="J50" s="3530">
        <v>99133</v>
      </c>
      <c r="M50" s="3177" t="s">
        <v>3602</v>
      </c>
      <c r="N50" s="3177" t="s">
        <v>3490</v>
      </c>
      <c r="O50" s="3177" t="s">
        <v>3491</v>
      </c>
      <c r="P50" s="3177">
        <v>175.77</v>
      </c>
      <c r="Q50" s="3177" t="s">
        <v>3402</v>
      </c>
      <c r="R50" s="3177" t="s">
        <v>3494</v>
      </c>
      <c r="S50" s="3177">
        <v>26</v>
      </c>
      <c r="T50" s="3177" t="s">
        <v>633</v>
      </c>
      <c r="U50" s="3177">
        <v>2010</v>
      </c>
      <c r="V50" s="3177" t="s">
        <v>633</v>
      </c>
      <c r="W50" s="3177" t="s">
        <v>633</v>
      </c>
      <c r="X50" s="3177">
        <v>86932</v>
      </c>
      <c r="Y50" s="3178">
        <v>45318</v>
      </c>
      <c r="AA50" s="3174">
        <v>44501</v>
      </c>
      <c r="AB50" t="s">
        <v>3539</v>
      </c>
      <c r="AC50">
        <v>94</v>
      </c>
      <c r="AD50" t="s">
        <v>3550</v>
      </c>
      <c r="AE50" t="s">
        <v>3533</v>
      </c>
      <c r="AF50">
        <v>975</v>
      </c>
      <c r="AG50" s="3174">
        <v>44401</v>
      </c>
      <c r="AH50">
        <v>925</v>
      </c>
      <c r="AI50">
        <v>98009</v>
      </c>
    </row>
    <row r="51" spans="2:35" ht="43.5" thickBot="1">
      <c r="B51" s="3531">
        <v>44550</v>
      </c>
      <c r="C51" t="s">
        <v>3529</v>
      </c>
      <c r="D51">
        <v>197</v>
      </c>
      <c r="E51" t="s">
        <v>3547</v>
      </c>
      <c r="F51" t="s">
        <v>3528</v>
      </c>
      <c r="G51">
        <v>1550</v>
      </c>
      <c r="H51" s="3174">
        <v>44523</v>
      </c>
      <c r="I51" s="3530">
        <v>1540</v>
      </c>
      <c r="J51" s="3530">
        <v>78169</v>
      </c>
      <c r="M51" s="3175" t="s">
        <v>3603</v>
      </c>
      <c r="N51" s="3175" t="s">
        <v>3490</v>
      </c>
      <c r="O51" s="3175" t="s">
        <v>3491</v>
      </c>
      <c r="P51" s="3175">
        <v>172.29</v>
      </c>
      <c r="Q51" s="3175" t="s">
        <v>3402</v>
      </c>
      <c r="R51" s="3175" t="s">
        <v>3494</v>
      </c>
      <c r="S51" s="3175">
        <v>6</v>
      </c>
      <c r="T51" s="3175" t="s">
        <v>633</v>
      </c>
      <c r="U51" s="3175">
        <v>2009</v>
      </c>
      <c r="V51" s="3175" t="s">
        <v>633</v>
      </c>
      <c r="W51" s="3175" t="s">
        <v>633</v>
      </c>
      <c r="X51" s="3175">
        <v>71856</v>
      </c>
      <c r="Y51" s="3176">
        <v>45303</v>
      </c>
      <c r="AA51" s="3174">
        <v>44436</v>
      </c>
      <c r="AB51" t="s">
        <v>3539</v>
      </c>
      <c r="AC51">
        <v>98</v>
      </c>
      <c r="AD51" t="s">
        <v>3548</v>
      </c>
      <c r="AE51" t="s">
        <v>3533</v>
      </c>
      <c r="AF51">
        <v>1008</v>
      </c>
      <c r="AG51" s="3174">
        <v>44347</v>
      </c>
      <c r="AH51">
        <v>996</v>
      </c>
      <c r="AI51">
        <v>100953</v>
      </c>
    </row>
    <row r="52" spans="2:35">
      <c r="B52" s="3531">
        <v>44514</v>
      </c>
      <c r="C52" t="s">
        <v>3539</v>
      </c>
      <c r="D52">
        <v>98</v>
      </c>
      <c r="E52" t="s">
        <v>3549</v>
      </c>
      <c r="F52" t="s">
        <v>3533</v>
      </c>
      <c r="G52">
        <v>918</v>
      </c>
      <c r="H52" s="3174">
        <v>44478</v>
      </c>
      <c r="I52" s="3530">
        <v>865</v>
      </c>
      <c r="J52" s="3530">
        <v>87471</v>
      </c>
      <c r="AA52" s="3174"/>
      <c r="AG52" s="3174"/>
    </row>
    <row r="53" spans="2:35">
      <c r="B53" s="3531">
        <v>44501</v>
      </c>
      <c r="C53" t="s">
        <v>3539</v>
      </c>
      <c r="D53">
        <v>94</v>
      </c>
      <c r="E53" t="s">
        <v>3550</v>
      </c>
      <c r="F53" t="s">
        <v>3533</v>
      </c>
      <c r="G53">
        <v>975</v>
      </c>
      <c r="H53" s="3174">
        <v>44401</v>
      </c>
      <c r="I53" s="3530">
        <v>925</v>
      </c>
      <c r="J53" s="3530">
        <v>98009</v>
      </c>
      <c r="AA53" s="3174"/>
      <c r="AG53" s="3174"/>
    </row>
    <row r="54" spans="2:35">
      <c r="B54" s="3531">
        <v>44436</v>
      </c>
      <c r="C54" t="s">
        <v>3539</v>
      </c>
      <c r="D54">
        <v>98</v>
      </c>
      <c r="E54" t="s">
        <v>3548</v>
      </c>
      <c r="F54" t="s">
        <v>3533</v>
      </c>
      <c r="G54">
        <v>1008</v>
      </c>
      <c r="H54" s="3174">
        <v>44347</v>
      </c>
      <c r="I54" s="3530">
        <v>996</v>
      </c>
      <c r="J54" s="3530">
        <v>100953</v>
      </c>
    </row>
    <row r="55" spans="2:35">
      <c r="B55" s="3531">
        <v>44434</v>
      </c>
      <c r="C55" t="s">
        <v>3537</v>
      </c>
      <c r="D55">
        <v>45</v>
      </c>
      <c r="E55" t="s">
        <v>3538</v>
      </c>
      <c r="F55" t="s">
        <v>3420</v>
      </c>
      <c r="G55">
        <v>54</v>
      </c>
      <c r="H55" s="3174">
        <v>44434</v>
      </c>
      <c r="I55" s="3530">
        <v>54</v>
      </c>
      <c r="J55" s="3530">
        <v>11757</v>
      </c>
    </row>
    <row r="56" spans="2:35">
      <c r="B56" s="3531">
        <v>44353</v>
      </c>
      <c r="C56" t="s">
        <v>3535</v>
      </c>
      <c r="D56">
        <v>175</v>
      </c>
      <c r="E56" t="s">
        <v>3536</v>
      </c>
      <c r="F56" t="s">
        <v>3528</v>
      </c>
      <c r="G56">
        <v>1550</v>
      </c>
      <c r="H56" s="3174">
        <v>44338</v>
      </c>
      <c r="I56" s="3530">
        <v>1510</v>
      </c>
      <c r="J56" s="3530">
        <v>86286</v>
      </c>
    </row>
    <row r="57" spans="2:35">
      <c r="B57" s="3531">
        <v>44353</v>
      </c>
      <c r="C57" t="s">
        <v>3537</v>
      </c>
      <c r="D57">
        <v>42</v>
      </c>
      <c r="E57" t="s">
        <v>3538</v>
      </c>
      <c r="F57" t="s">
        <v>3533</v>
      </c>
      <c r="G57">
        <v>40</v>
      </c>
      <c r="H57" s="3174">
        <v>44346</v>
      </c>
      <c r="I57" s="3530">
        <v>40</v>
      </c>
      <c r="J57" s="3530">
        <v>9344</v>
      </c>
      <c r="AA57" s="3174"/>
      <c r="AG57" s="3174"/>
    </row>
    <row r="58" spans="2:35">
      <c r="B58" s="3531">
        <v>44353</v>
      </c>
      <c r="C58" t="s">
        <v>3539</v>
      </c>
      <c r="D58">
        <v>95</v>
      </c>
      <c r="E58" t="s">
        <v>3547</v>
      </c>
      <c r="F58" t="s">
        <v>3533</v>
      </c>
      <c r="G58">
        <v>1060</v>
      </c>
      <c r="H58" s="3174">
        <v>44335</v>
      </c>
      <c r="I58" s="3530">
        <v>1032</v>
      </c>
      <c r="J58" s="3530">
        <v>107916</v>
      </c>
      <c r="AA58" s="3174"/>
      <c r="AG58" s="3174"/>
    </row>
    <row r="59" spans="2:35">
      <c r="B59" s="3531">
        <v>44322</v>
      </c>
      <c r="C59" t="s">
        <v>3539</v>
      </c>
      <c r="D59">
        <v>119</v>
      </c>
      <c r="E59" t="s">
        <v>3551</v>
      </c>
      <c r="F59" t="s">
        <v>3533</v>
      </c>
      <c r="G59">
        <v>1150</v>
      </c>
      <c r="H59" s="3174">
        <v>44277</v>
      </c>
      <c r="I59" s="3530">
        <v>1130</v>
      </c>
      <c r="J59" s="3530">
        <v>94759</v>
      </c>
      <c r="AA59" s="3174"/>
      <c r="AG59" s="3174"/>
    </row>
    <row r="60" spans="2:35">
      <c r="B60" s="3531">
        <v>44255</v>
      </c>
      <c r="C60" t="s">
        <v>3542</v>
      </c>
      <c r="D60">
        <v>74</v>
      </c>
      <c r="E60" t="s">
        <v>3552</v>
      </c>
      <c r="F60" t="s">
        <v>3533</v>
      </c>
      <c r="G60">
        <v>688</v>
      </c>
      <c r="H60" s="3174">
        <v>44249</v>
      </c>
      <c r="I60" s="3530">
        <v>678</v>
      </c>
      <c r="J60" s="3530">
        <v>91289</v>
      </c>
      <c r="AA60" s="3174"/>
      <c r="AG60" s="3174"/>
    </row>
    <row r="61" spans="2:35">
      <c r="B61" s="3531">
        <v>44255</v>
      </c>
      <c r="C61" t="s">
        <v>3526</v>
      </c>
      <c r="D61">
        <v>176</v>
      </c>
      <c r="E61" t="s">
        <v>3553</v>
      </c>
      <c r="F61" t="s">
        <v>3528</v>
      </c>
      <c r="G61">
        <v>1450</v>
      </c>
      <c r="H61" s="3174">
        <v>43729</v>
      </c>
      <c r="I61" s="3530">
        <v>1420</v>
      </c>
      <c r="J61" s="3530">
        <v>80678</v>
      </c>
      <c r="AA61" s="3174"/>
      <c r="AG61" s="3174"/>
    </row>
    <row r="62" spans="2:35">
      <c r="B62" s="3531">
        <v>44250</v>
      </c>
      <c r="C62" t="s">
        <v>3526</v>
      </c>
      <c r="D62">
        <v>174</v>
      </c>
      <c r="E62" t="s">
        <v>3554</v>
      </c>
      <c r="F62" t="s">
        <v>3528</v>
      </c>
      <c r="G62">
        <v>1430</v>
      </c>
      <c r="H62" s="3174">
        <v>44217</v>
      </c>
      <c r="I62" s="3530">
        <v>1415</v>
      </c>
      <c r="J62" s="3530">
        <v>81159</v>
      </c>
      <c r="AA62" s="3174"/>
      <c r="AG62" s="3174"/>
    </row>
    <row r="63" spans="2:35">
      <c r="B63" s="3531">
        <v>44186</v>
      </c>
      <c r="C63" t="s">
        <v>3535</v>
      </c>
      <c r="D63">
        <v>185</v>
      </c>
      <c r="E63" t="s">
        <v>3554</v>
      </c>
      <c r="F63" t="s">
        <v>3528</v>
      </c>
      <c r="G63">
        <v>1450</v>
      </c>
      <c r="H63" s="3174">
        <v>44182</v>
      </c>
      <c r="I63" s="3530">
        <v>1390</v>
      </c>
      <c r="J63" s="3530">
        <v>75136</v>
      </c>
      <c r="AA63" s="3174"/>
      <c r="AG63" s="3174"/>
    </row>
    <row r="64" spans="2:35">
      <c r="B64" s="3531">
        <v>44170</v>
      </c>
      <c r="C64" t="s">
        <v>3526</v>
      </c>
      <c r="D64">
        <v>173</v>
      </c>
      <c r="E64" t="s">
        <v>3555</v>
      </c>
      <c r="F64" t="s">
        <v>3528</v>
      </c>
      <c r="G64">
        <v>1230</v>
      </c>
      <c r="H64" s="3174">
        <v>44084</v>
      </c>
      <c r="I64" s="3530">
        <v>1195</v>
      </c>
      <c r="J64" s="3530">
        <v>69028</v>
      </c>
      <c r="AA64" s="3174"/>
      <c r="AG64" s="3174"/>
    </row>
    <row r="65" spans="2:33">
      <c r="B65" s="3531">
        <v>44121</v>
      </c>
      <c r="C65" t="s">
        <v>3556</v>
      </c>
      <c r="D65">
        <v>175</v>
      </c>
      <c r="E65" t="s">
        <v>3555</v>
      </c>
      <c r="F65" t="s">
        <v>3458</v>
      </c>
      <c r="G65">
        <v>0</v>
      </c>
      <c r="H65" t="s">
        <v>3541</v>
      </c>
      <c r="I65" s="3530">
        <v>1365</v>
      </c>
      <c r="J65" s="3530">
        <v>77800</v>
      </c>
      <c r="AA65" s="3174"/>
    </row>
    <row r="66" spans="2:33">
      <c r="B66" s="3531">
        <v>44067</v>
      </c>
      <c r="C66" t="s">
        <v>3526</v>
      </c>
      <c r="D66">
        <v>185</v>
      </c>
      <c r="E66" t="s">
        <v>3554</v>
      </c>
      <c r="F66" t="s">
        <v>3528</v>
      </c>
      <c r="G66">
        <v>1450</v>
      </c>
      <c r="H66" s="3174">
        <v>44064</v>
      </c>
      <c r="I66" s="3530">
        <v>1385</v>
      </c>
      <c r="J66" s="3530">
        <v>74519</v>
      </c>
      <c r="AA66" s="3174"/>
      <c r="AG66" s="3174"/>
    </row>
    <row r="67" spans="2:33">
      <c r="B67" s="3531">
        <v>44055</v>
      </c>
      <c r="C67" t="s">
        <v>3539</v>
      </c>
      <c r="D67">
        <v>100</v>
      </c>
      <c r="E67" t="s">
        <v>3553</v>
      </c>
      <c r="F67" t="s">
        <v>3533</v>
      </c>
      <c r="G67">
        <v>898</v>
      </c>
      <c r="H67" s="3174">
        <v>44011</v>
      </c>
      <c r="I67" s="3530">
        <v>880</v>
      </c>
      <c r="J67" s="3530">
        <v>87764</v>
      </c>
      <c r="AA67" s="3174"/>
      <c r="AG67" s="3174"/>
    </row>
    <row r="68" spans="2:33">
      <c r="B68" s="3531">
        <v>44054</v>
      </c>
      <c r="C68" t="s">
        <v>3537</v>
      </c>
      <c r="D68">
        <v>42</v>
      </c>
      <c r="E68" t="s">
        <v>3557</v>
      </c>
      <c r="F68" t="s">
        <v>3420</v>
      </c>
      <c r="G68">
        <v>50</v>
      </c>
      <c r="H68" s="3174">
        <v>44054</v>
      </c>
      <c r="I68" s="3530">
        <v>50</v>
      </c>
      <c r="J68" s="3530">
        <v>11680</v>
      </c>
      <c r="AA68" s="3174"/>
      <c r="AG68" s="3174"/>
    </row>
    <row r="69" spans="2:33">
      <c r="B69" s="3531">
        <v>44052</v>
      </c>
      <c r="C69" t="s">
        <v>3535</v>
      </c>
      <c r="D69">
        <v>174</v>
      </c>
      <c r="E69" t="s">
        <v>3555</v>
      </c>
      <c r="F69" t="s">
        <v>3528</v>
      </c>
      <c r="G69">
        <v>1360</v>
      </c>
      <c r="H69" s="3174">
        <v>44002</v>
      </c>
      <c r="I69" s="3530">
        <v>1308</v>
      </c>
      <c r="J69" s="3530">
        <v>75125</v>
      </c>
      <c r="AA69" s="3174"/>
      <c r="AG69" s="3174"/>
    </row>
    <row r="70" spans="2:33">
      <c r="B70" s="3531">
        <v>44037</v>
      </c>
      <c r="C70" t="s">
        <v>3529</v>
      </c>
      <c r="D70">
        <v>226</v>
      </c>
      <c r="E70" t="s">
        <v>3558</v>
      </c>
      <c r="F70" t="s">
        <v>3528</v>
      </c>
      <c r="G70">
        <v>1640</v>
      </c>
      <c r="H70" s="3174">
        <v>42859</v>
      </c>
      <c r="I70" s="3530">
        <v>1560</v>
      </c>
      <c r="J70" s="3530">
        <v>68741</v>
      </c>
      <c r="AA70" s="3174"/>
      <c r="AG70" s="3174"/>
    </row>
    <row r="71" spans="2:33">
      <c r="B71" s="3531">
        <v>44025</v>
      </c>
      <c r="C71" t="s">
        <v>3537</v>
      </c>
      <c r="D71">
        <v>45</v>
      </c>
      <c r="E71" t="s">
        <v>3557</v>
      </c>
      <c r="F71" t="s">
        <v>3533</v>
      </c>
      <c r="G71">
        <v>54</v>
      </c>
      <c r="H71" s="3174">
        <v>44025</v>
      </c>
      <c r="I71" s="3530">
        <v>54</v>
      </c>
      <c r="J71" s="3530">
        <v>11890</v>
      </c>
      <c r="AA71" s="3174"/>
      <c r="AG71" s="3174"/>
    </row>
    <row r="72" spans="2:33">
      <c r="B72" s="3531">
        <v>43969</v>
      </c>
      <c r="C72" t="s">
        <v>3531</v>
      </c>
      <c r="D72">
        <v>103</v>
      </c>
      <c r="E72" t="s">
        <v>3555</v>
      </c>
      <c r="F72" t="s">
        <v>3533</v>
      </c>
      <c r="G72">
        <v>980</v>
      </c>
      <c r="H72" s="3174">
        <v>43627</v>
      </c>
      <c r="I72" s="3530">
        <v>940</v>
      </c>
      <c r="J72" s="3530">
        <v>90831</v>
      </c>
      <c r="AA72" s="3174"/>
      <c r="AG72" s="3174"/>
    </row>
    <row r="73" spans="2:33">
      <c r="B73" s="3531">
        <v>43953</v>
      </c>
      <c r="C73" t="s">
        <v>3544</v>
      </c>
      <c r="D73">
        <v>200</v>
      </c>
      <c r="E73" t="s">
        <v>3554</v>
      </c>
      <c r="F73" t="s">
        <v>3559</v>
      </c>
      <c r="G73">
        <v>1450</v>
      </c>
      <c r="H73" s="3174">
        <v>43947</v>
      </c>
      <c r="I73" s="3530">
        <v>1380</v>
      </c>
      <c r="J73" s="3530">
        <v>68835</v>
      </c>
      <c r="AA73" s="3174"/>
      <c r="AG73" s="3174"/>
    </row>
    <row r="74" spans="2:33">
      <c r="B74" s="3531">
        <v>43953</v>
      </c>
      <c r="C74" t="s">
        <v>3531</v>
      </c>
      <c r="D74">
        <v>119</v>
      </c>
      <c r="E74" t="s">
        <v>3560</v>
      </c>
      <c r="F74" t="s">
        <v>3533</v>
      </c>
      <c r="G74">
        <v>922</v>
      </c>
      <c r="H74" s="3174">
        <v>43242</v>
      </c>
      <c r="I74" s="3530">
        <v>885</v>
      </c>
      <c r="J74" s="3530">
        <v>74214</v>
      </c>
      <c r="AA74" s="3174"/>
      <c r="AG74" s="3174"/>
    </row>
    <row r="75" spans="2:33">
      <c r="B75" s="3531">
        <v>43945</v>
      </c>
      <c r="C75" t="s">
        <v>3529</v>
      </c>
      <c r="D75">
        <v>209</v>
      </c>
      <c r="E75" t="s">
        <v>3555</v>
      </c>
      <c r="F75" t="s">
        <v>3561</v>
      </c>
      <c r="G75">
        <v>1490</v>
      </c>
      <c r="H75" s="3174">
        <v>43606</v>
      </c>
      <c r="I75" s="3530">
        <v>1390</v>
      </c>
      <c r="J75" s="3530">
        <v>66276</v>
      </c>
      <c r="AA75" s="3174"/>
      <c r="AG75" s="3174"/>
    </row>
    <row r="76" spans="2:33">
      <c r="B76" s="3531">
        <v>43941</v>
      </c>
      <c r="C76" t="s">
        <v>3526</v>
      </c>
      <c r="D76">
        <v>204</v>
      </c>
      <c r="E76" t="s">
        <v>3562</v>
      </c>
      <c r="F76" t="s">
        <v>3528</v>
      </c>
      <c r="G76">
        <v>1400</v>
      </c>
      <c r="H76" s="3174">
        <v>43932</v>
      </c>
      <c r="I76" s="3530">
        <v>1280</v>
      </c>
      <c r="J76" s="3530">
        <v>62458</v>
      </c>
      <c r="AA76" s="3174"/>
      <c r="AG76" s="3174"/>
    </row>
    <row r="77" spans="2:33">
      <c r="B77" s="3531">
        <v>43847</v>
      </c>
      <c r="C77" t="s">
        <v>3535</v>
      </c>
      <c r="D77">
        <v>168</v>
      </c>
      <c r="E77" t="s">
        <v>3553</v>
      </c>
      <c r="F77" t="s">
        <v>3559</v>
      </c>
      <c r="G77">
        <v>1200</v>
      </c>
      <c r="H77" s="3174">
        <v>43310</v>
      </c>
      <c r="I77" s="3530">
        <v>1150</v>
      </c>
      <c r="J77" s="3530">
        <v>68092</v>
      </c>
      <c r="AA77" s="3174"/>
      <c r="AG77" s="3174"/>
    </row>
    <row r="78" spans="2:33">
      <c r="B78" s="3531">
        <v>43789</v>
      </c>
      <c r="C78" t="s">
        <v>3529</v>
      </c>
      <c r="D78">
        <v>197</v>
      </c>
      <c r="E78" t="s">
        <v>3530</v>
      </c>
      <c r="F78" t="s">
        <v>3528</v>
      </c>
      <c r="G78">
        <v>1398</v>
      </c>
      <c r="H78" s="3174">
        <v>43535</v>
      </c>
      <c r="I78" s="3530">
        <v>1314</v>
      </c>
      <c r="J78" s="3530">
        <v>66697</v>
      </c>
      <c r="AA78" s="3174"/>
      <c r="AG78" s="3174"/>
    </row>
    <row r="79" spans="2:33">
      <c r="B79" s="3531">
        <v>43787</v>
      </c>
      <c r="C79" t="s">
        <v>3542</v>
      </c>
      <c r="D79">
        <v>75</v>
      </c>
      <c r="E79" t="s">
        <v>3552</v>
      </c>
      <c r="F79" t="s">
        <v>3533</v>
      </c>
      <c r="G79">
        <v>630</v>
      </c>
      <c r="H79" s="3174">
        <v>43512</v>
      </c>
      <c r="I79" s="3530">
        <v>605</v>
      </c>
      <c r="J79" s="3530">
        <v>80006</v>
      </c>
      <c r="AA79" s="3174"/>
      <c r="AG79" s="3174"/>
    </row>
    <row r="80" spans="2:33">
      <c r="B80" s="3531">
        <v>43777</v>
      </c>
      <c r="C80" t="s">
        <v>3535</v>
      </c>
      <c r="D80">
        <v>177</v>
      </c>
      <c r="E80" t="s">
        <v>3554</v>
      </c>
      <c r="F80" t="s">
        <v>3528</v>
      </c>
      <c r="G80">
        <v>1320</v>
      </c>
      <c r="H80" s="3174">
        <v>43685</v>
      </c>
      <c r="I80" s="3530">
        <v>1235</v>
      </c>
      <c r="J80" s="3530">
        <v>69747</v>
      </c>
      <c r="AA80" s="3174"/>
      <c r="AG80" s="3174"/>
    </row>
    <row r="81" spans="2:33">
      <c r="B81" s="3531">
        <v>43767</v>
      </c>
      <c r="C81" t="s">
        <v>3563</v>
      </c>
      <c r="D81">
        <v>74</v>
      </c>
      <c r="E81" t="s">
        <v>3552</v>
      </c>
      <c r="F81" t="s">
        <v>3533</v>
      </c>
      <c r="G81">
        <v>620</v>
      </c>
      <c r="H81" s="3174">
        <v>43562</v>
      </c>
      <c r="I81" s="3530">
        <v>585</v>
      </c>
      <c r="J81" s="3530">
        <v>78577</v>
      </c>
      <c r="AA81" s="3174"/>
      <c r="AG81" s="3174"/>
    </row>
    <row r="82" spans="2:33">
      <c r="B82" s="3531">
        <v>43764</v>
      </c>
      <c r="C82" t="s">
        <v>3529</v>
      </c>
      <c r="D82">
        <v>229</v>
      </c>
      <c r="E82" t="s">
        <v>3554</v>
      </c>
      <c r="F82" t="s">
        <v>3528</v>
      </c>
      <c r="G82">
        <v>1530</v>
      </c>
      <c r="H82" s="3174">
        <v>43328</v>
      </c>
      <c r="I82" s="3530">
        <v>1430</v>
      </c>
      <c r="J82" s="3530">
        <v>62212</v>
      </c>
      <c r="AA82" s="3174"/>
      <c r="AG82" s="3174"/>
    </row>
    <row r="83" spans="2:33">
      <c r="B83" s="3531">
        <v>43757</v>
      </c>
      <c r="C83" t="s">
        <v>3531</v>
      </c>
      <c r="D83">
        <v>103</v>
      </c>
      <c r="E83" t="s">
        <v>3527</v>
      </c>
      <c r="F83" t="s">
        <v>3533</v>
      </c>
      <c r="G83">
        <v>850</v>
      </c>
      <c r="H83" s="3174">
        <v>43418</v>
      </c>
      <c r="I83" s="3530">
        <v>835</v>
      </c>
      <c r="J83" s="3530">
        <v>80731</v>
      </c>
      <c r="AA83" s="3174"/>
      <c r="AG83" s="3174"/>
    </row>
    <row r="84" spans="2:33">
      <c r="B84" s="3531">
        <v>43752</v>
      </c>
      <c r="C84" t="s">
        <v>3529</v>
      </c>
      <c r="D84">
        <v>231</v>
      </c>
      <c r="E84" t="s">
        <v>3564</v>
      </c>
      <c r="F84" t="s">
        <v>3528</v>
      </c>
      <c r="G84">
        <v>1880</v>
      </c>
      <c r="H84" s="3174">
        <v>43724</v>
      </c>
      <c r="I84" s="3530">
        <v>1500</v>
      </c>
      <c r="J84" s="3530">
        <v>64930</v>
      </c>
      <c r="AA84" s="3174"/>
      <c r="AG84" s="3174"/>
    </row>
    <row r="85" spans="2:33">
      <c r="B85" s="3531">
        <v>43700</v>
      </c>
      <c r="C85" t="s">
        <v>3531</v>
      </c>
      <c r="D85">
        <v>95</v>
      </c>
      <c r="E85" t="s">
        <v>3553</v>
      </c>
      <c r="F85" t="s">
        <v>3533</v>
      </c>
      <c r="G85">
        <v>860</v>
      </c>
      <c r="H85" s="3174">
        <v>43413</v>
      </c>
      <c r="I85" s="3530">
        <v>832</v>
      </c>
      <c r="J85" s="3530">
        <v>87002</v>
      </c>
      <c r="AA85" s="3174"/>
      <c r="AG85" s="3174"/>
    </row>
    <row r="86" spans="2:33">
      <c r="B86" s="3531">
        <v>43690</v>
      </c>
      <c r="C86" t="s">
        <v>3565</v>
      </c>
      <c r="D86">
        <v>177</v>
      </c>
      <c r="E86" t="s">
        <v>3553</v>
      </c>
      <c r="F86" t="s">
        <v>3458</v>
      </c>
      <c r="G86">
        <v>0</v>
      </c>
      <c r="I86" s="3530">
        <v>1310</v>
      </c>
      <c r="J86" s="3530">
        <v>73982</v>
      </c>
      <c r="AA86" s="3174"/>
    </row>
    <row r="87" spans="2:33">
      <c r="B87" s="3531">
        <v>43583</v>
      </c>
      <c r="C87" t="s">
        <v>3535</v>
      </c>
      <c r="D87">
        <v>174</v>
      </c>
      <c r="E87" t="s">
        <v>3555</v>
      </c>
      <c r="F87" t="s">
        <v>3528</v>
      </c>
      <c r="G87">
        <v>1300</v>
      </c>
      <c r="H87" s="3174">
        <v>43576</v>
      </c>
      <c r="I87" s="3530">
        <v>1195</v>
      </c>
      <c r="J87" s="3530">
        <v>68290</v>
      </c>
      <c r="AA87" s="3174"/>
      <c r="AG87" s="3174"/>
    </row>
    <row r="88" spans="2:33">
      <c r="B88" s="3531">
        <v>43579</v>
      </c>
      <c r="C88" t="s">
        <v>3529</v>
      </c>
      <c r="D88">
        <v>196</v>
      </c>
      <c r="E88" t="s">
        <v>3554</v>
      </c>
      <c r="F88" t="s">
        <v>3533</v>
      </c>
      <c r="G88">
        <v>1430</v>
      </c>
      <c r="H88" s="3174">
        <v>43180</v>
      </c>
      <c r="I88" s="3530">
        <v>1390</v>
      </c>
      <c r="J88" s="3530">
        <v>70631</v>
      </c>
      <c r="AA88" s="3174"/>
      <c r="AG88" s="3174"/>
    </row>
    <row r="89" spans="2:33">
      <c r="B89" s="3531">
        <v>43542</v>
      </c>
      <c r="C89" t="s">
        <v>3539</v>
      </c>
      <c r="D89">
        <v>94</v>
      </c>
      <c r="E89" t="s">
        <v>3553</v>
      </c>
      <c r="F89" t="s">
        <v>3533</v>
      </c>
      <c r="G89">
        <v>890</v>
      </c>
      <c r="H89" s="3174">
        <v>43538</v>
      </c>
      <c r="I89" s="3530">
        <v>856</v>
      </c>
      <c r="J89" s="3530">
        <v>90881</v>
      </c>
      <c r="AA89" s="3174"/>
      <c r="AG89" s="3174"/>
    </row>
    <row r="90" spans="2:33">
      <c r="B90" s="3531">
        <v>43540</v>
      </c>
      <c r="C90" t="s">
        <v>3529</v>
      </c>
      <c r="D90">
        <v>196</v>
      </c>
      <c r="E90" t="s">
        <v>3553</v>
      </c>
      <c r="F90" t="s">
        <v>3528</v>
      </c>
      <c r="G90">
        <v>1500</v>
      </c>
      <c r="H90" s="3174">
        <v>43442</v>
      </c>
      <c r="I90" s="3530">
        <v>1435</v>
      </c>
      <c r="J90" s="3530">
        <v>72876</v>
      </c>
      <c r="AA90" s="3174"/>
      <c r="AG90" s="3174"/>
    </row>
    <row r="91" spans="2:33">
      <c r="B91" s="3531">
        <v>43521</v>
      </c>
      <c r="C91" t="s">
        <v>3539</v>
      </c>
      <c r="D91">
        <v>98</v>
      </c>
      <c r="E91" t="s">
        <v>3554</v>
      </c>
      <c r="F91" t="s">
        <v>3533</v>
      </c>
      <c r="G91">
        <v>880</v>
      </c>
      <c r="H91" s="3174">
        <v>43514</v>
      </c>
      <c r="I91" s="3530">
        <v>838</v>
      </c>
      <c r="J91" s="3530">
        <v>84939</v>
      </c>
      <c r="AA91" s="3174"/>
      <c r="AG91" s="3174"/>
    </row>
    <row r="92" spans="2:33">
      <c r="B92" s="3531">
        <v>43515</v>
      </c>
      <c r="C92" t="s">
        <v>3539</v>
      </c>
      <c r="D92">
        <v>103</v>
      </c>
      <c r="E92" t="s">
        <v>3554</v>
      </c>
      <c r="F92" t="s">
        <v>3533</v>
      </c>
      <c r="G92">
        <v>950</v>
      </c>
      <c r="H92" s="3174">
        <v>43387</v>
      </c>
      <c r="I92" s="3530">
        <v>927</v>
      </c>
      <c r="J92" s="3530">
        <v>89574</v>
      </c>
      <c r="AA92" s="3174"/>
      <c r="AG92" s="3174"/>
    </row>
    <row r="93" spans="2:33">
      <c r="B93" s="3531">
        <v>43488</v>
      </c>
      <c r="C93" t="s">
        <v>3539</v>
      </c>
      <c r="D93">
        <v>95</v>
      </c>
      <c r="E93" t="s">
        <v>3554</v>
      </c>
      <c r="F93" t="s">
        <v>3533</v>
      </c>
      <c r="G93">
        <v>860</v>
      </c>
      <c r="H93" s="3174">
        <v>43357</v>
      </c>
      <c r="I93" s="3530">
        <v>785</v>
      </c>
      <c r="J93" s="3530">
        <v>82311</v>
      </c>
      <c r="AA93" s="3174"/>
      <c r="AG93" s="3174"/>
    </row>
    <row r="94" spans="2:33">
      <c r="B94" s="3531">
        <v>43460</v>
      </c>
      <c r="C94" t="s">
        <v>3535</v>
      </c>
      <c r="D94">
        <v>172</v>
      </c>
      <c r="E94" t="s">
        <v>3555</v>
      </c>
      <c r="F94" t="s">
        <v>3528</v>
      </c>
      <c r="G94">
        <v>1310</v>
      </c>
      <c r="H94" s="3174">
        <v>43376</v>
      </c>
      <c r="I94" s="3530">
        <v>1280</v>
      </c>
      <c r="J94" s="3530">
        <v>74294</v>
      </c>
      <c r="AA94" s="3174"/>
      <c r="AG94" s="3174"/>
    </row>
    <row r="95" spans="2:33">
      <c r="B95" s="3531">
        <v>43398</v>
      </c>
      <c r="C95" t="s">
        <v>3535</v>
      </c>
      <c r="D95">
        <v>185</v>
      </c>
      <c r="E95" t="s">
        <v>3555</v>
      </c>
      <c r="F95" t="s">
        <v>3528</v>
      </c>
      <c r="G95">
        <v>420</v>
      </c>
      <c r="H95" s="3174">
        <v>43395</v>
      </c>
      <c r="I95" s="3530">
        <v>420</v>
      </c>
      <c r="J95" s="3530">
        <v>22601</v>
      </c>
      <c r="AA95" s="3174"/>
      <c r="AG95" s="3174"/>
    </row>
    <row r="96" spans="2:33">
      <c r="B96" s="3531">
        <v>43361</v>
      </c>
      <c r="C96" t="s">
        <v>3539</v>
      </c>
      <c r="D96">
        <v>108</v>
      </c>
      <c r="E96" t="s">
        <v>3553</v>
      </c>
      <c r="F96" t="s">
        <v>3533</v>
      </c>
      <c r="G96">
        <v>1050</v>
      </c>
      <c r="H96" s="3174">
        <v>43219</v>
      </c>
      <c r="I96" s="3530">
        <v>950</v>
      </c>
      <c r="J96" s="3530">
        <v>87381</v>
      </c>
      <c r="AA96" s="3174"/>
      <c r="AG96" s="3174"/>
    </row>
    <row r="97" spans="2:33">
      <c r="B97" s="3531">
        <v>43346</v>
      </c>
      <c r="C97" t="s">
        <v>3529</v>
      </c>
      <c r="D97">
        <v>227</v>
      </c>
      <c r="E97" t="s">
        <v>3555</v>
      </c>
      <c r="F97" t="s">
        <v>3528</v>
      </c>
      <c r="G97">
        <v>2000</v>
      </c>
      <c r="H97" s="3174">
        <v>43301</v>
      </c>
      <c r="I97" s="3530">
        <v>1860</v>
      </c>
      <c r="J97" s="3530">
        <v>81917</v>
      </c>
      <c r="AA97" s="3174"/>
      <c r="AG97" s="3174"/>
    </row>
    <row r="98" spans="2:33">
      <c r="B98" s="3531">
        <v>43286</v>
      </c>
      <c r="C98" t="s">
        <v>3539</v>
      </c>
      <c r="D98">
        <v>98</v>
      </c>
      <c r="E98" t="s">
        <v>3553</v>
      </c>
      <c r="F98" t="s">
        <v>3533</v>
      </c>
      <c r="G98">
        <v>980</v>
      </c>
      <c r="H98" s="3174">
        <v>43260</v>
      </c>
      <c r="I98" s="3530">
        <v>950</v>
      </c>
      <c r="J98" s="3530">
        <v>96067</v>
      </c>
      <c r="AA98" s="3174"/>
      <c r="AG98" s="3174"/>
    </row>
    <row r="99" spans="2:33">
      <c r="B99" s="3531">
        <v>43262</v>
      </c>
      <c r="C99" t="s">
        <v>3539</v>
      </c>
      <c r="D99">
        <v>95</v>
      </c>
      <c r="E99" t="s">
        <v>3554</v>
      </c>
      <c r="F99" t="s">
        <v>3533</v>
      </c>
      <c r="G99">
        <v>900</v>
      </c>
      <c r="H99" s="3174">
        <v>43190</v>
      </c>
      <c r="I99" s="3530">
        <v>845</v>
      </c>
      <c r="J99" s="3530">
        <v>88362</v>
      </c>
      <c r="AA99" s="3174"/>
      <c r="AG99" s="3174"/>
    </row>
    <row r="100" spans="2:33">
      <c r="B100" s="3531">
        <v>43235</v>
      </c>
      <c r="C100" t="s">
        <v>3539</v>
      </c>
      <c r="D100">
        <v>94</v>
      </c>
      <c r="E100" t="s">
        <v>3554</v>
      </c>
      <c r="F100" t="s">
        <v>3533</v>
      </c>
      <c r="G100">
        <v>900</v>
      </c>
      <c r="H100" s="3174">
        <v>43153</v>
      </c>
      <c r="I100" s="3530">
        <v>828</v>
      </c>
      <c r="J100" s="3530">
        <v>87490</v>
      </c>
      <c r="AA100" s="3174"/>
      <c r="AG100" s="3174"/>
    </row>
    <row r="101" spans="2:33">
      <c r="B101" s="3531">
        <v>43226</v>
      </c>
      <c r="C101" t="s">
        <v>3535</v>
      </c>
      <c r="D101">
        <v>172</v>
      </c>
      <c r="E101" t="s">
        <v>3555</v>
      </c>
      <c r="F101" t="s">
        <v>3528</v>
      </c>
      <c r="G101">
        <v>1398</v>
      </c>
      <c r="H101" s="3174">
        <v>43207</v>
      </c>
      <c r="I101" s="3530">
        <v>1320</v>
      </c>
      <c r="J101" s="3530">
        <v>76616</v>
      </c>
      <c r="AA101" s="3174"/>
      <c r="AG101" s="3174"/>
    </row>
    <row r="102" spans="2:33">
      <c r="B102" s="3531">
        <v>43208</v>
      </c>
      <c r="C102" t="s">
        <v>3542</v>
      </c>
      <c r="D102">
        <v>73</v>
      </c>
      <c r="E102" t="s">
        <v>3552</v>
      </c>
      <c r="F102" t="s">
        <v>3533</v>
      </c>
      <c r="G102">
        <v>660</v>
      </c>
      <c r="H102" s="3174">
        <v>43176</v>
      </c>
      <c r="I102" s="3530">
        <v>600</v>
      </c>
      <c r="J102" s="3530">
        <v>81633</v>
      </c>
      <c r="AA102" s="3174"/>
      <c r="AG102" s="3174"/>
    </row>
    <row r="103" spans="2:33">
      <c r="B103" s="3531">
        <v>43188</v>
      </c>
      <c r="C103" t="s">
        <v>3566</v>
      </c>
      <c r="D103">
        <v>231</v>
      </c>
      <c r="E103" t="s">
        <v>3554</v>
      </c>
      <c r="F103" t="s">
        <v>3458</v>
      </c>
      <c r="G103">
        <v>0</v>
      </c>
      <c r="I103" s="3530">
        <v>1865</v>
      </c>
      <c r="J103" s="3530">
        <v>80544</v>
      </c>
      <c r="AA103" s="3174"/>
    </row>
    <row r="104" spans="2:33">
      <c r="B104" s="3531">
        <v>43181</v>
      </c>
      <c r="C104" t="s">
        <v>3539</v>
      </c>
      <c r="D104">
        <v>94</v>
      </c>
      <c r="E104" t="s">
        <v>3553</v>
      </c>
      <c r="F104" t="s">
        <v>3533</v>
      </c>
      <c r="G104">
        <v>860</v>
      </c>
      <c r="H104" s="3174">
        <v>43085</v>
      </c>
      <c r="I104" s="3530">
        <v>852</v>
      </c>
      <c r="J104" s="3530">
        <v>90456</v>
      </c>
      <c r="AA104" s="3174"/>
      <c r="AG104" s="3174"/>
    </row>
    <row r="105" spans="2:33">
      <c r="B105" s="3531">
        <v>43174</v>
      </c>
      <c r="C105" t="s">
        <v>3539</v>
      </c>
      <c r="D105">
        <v>103</v>
      </c>
      <c r="E105" t="s">
        <v>3553</v>
      </c>
      <c r="F105" t="s">
        <v>3533</v>
      </c>
      <c r="G105">
        <v>980</v>
      </c>
      <c r="H105" s="3174">
        <v>43129</v>
      </c>
      <c r="I105" s="3530">
        <v>920</v>
      </c>
      <c r="J105" s="3530">
        <v>88675</v>
      </c>
      <c r="AA105" s="3174"/>
      <c r="AG105" s="3174"/>
    </row>
    <row r="106" spans="2:33">
      <c r="B106" s="3531">
        <v>43125</v>
      </c>
      <c r="C106" t="s">
        <v>3539</v>
      </c>
      <c r="D106">
        <v>95</v>
      </c>
      <c r="E106" t="s">
        <v>3553</v>
      </c>
      <c r="F106" t="s">
        <v>3533</v>
      </c>
      <c r="G106">
        <v>940</v>
      </c>
      <c r="H106" s="3174">
        <v>43092</v>
      </c>
      <c r="I106" s="3530">
        <v>895</v>
      </c>
      <c r="J106" s="3530">
        <v>93590</v>
      </c>
      <c r="AA106" s="3174"/>
      <c r="AG106" s="3174"/>
    </row>
    <row r="107" spans="2:33">
      <c r="B107" s="3531">
        <v>43092</v>
      </c>
      <c r="C107" t="s">
        <v>3537</v>
      </c>
      <c r="D107">
        <v>42</v>
      </c>
      <c r="E107" t="s">
        <v>3557</v>
      </c>
      <c r="F107" t="s">
        <v>3533</v>
      </c>
      <c r="G107">
        <v>45</v>
      </c>
      <c r="H107" s="3174">
        <v>43092</v>
      </c>
      <c r="I107" s="3530">
        <v>42</v>
      </c>
      <c r="J107" s="3530">
        <v>9811</v>
      </c>
      <c r="AA107" s="3174"/>
      <c r="AG107" s="3174"/>
    </row>
    <row r="108" spans="2:33">
      <c r="B108" s="3531">
        <v>43080</v>
      </c>
      <c r="C108" t="s">
        <v>3531</v>
      </c>
      <c r="D108">
        <v>103</v>
      </c>
      <c r="E108" t="s">
        <v>3554</v>
      </c>
      <c r="F108" t="s">
        <v>3533</v>
      </c>
      <c r="G108">
        <v>950</v>
      </c>
      <c r="H108" s="3174">
        <v>43041</v>
      </c>
      <c r="I108" s="3530">
        <v>920</v>
      </c>
      <c r="J108" s="3530">
        <v>88675</v>
      </c>
      <c r="AA108" s="3174"/>
      <c r="AG108" s="3174"/>
    </row>
    <row r="109" spans="2:33">
      <c r="B109" s="3531">
        <v>43079</v>
      </c>
      <c r="C109" t="s">
        <v>3531</v>
      </c>
      <c r="D109">
        <v>99</v>
      </c>
      <c r="E109" t="s">
        <v>3553</v>
      </c>
      <c r="F109" t="s">
        <v>3533</v>
      </c>
      <c r="G109">
        <v>950</v>
      </c>
      <c r="H109" s="3174">
        <v>42902</v>
      </c>
      <c r="I109" s="3530">
        <v>916</v>
      </c>
      <c r="J109" s="3530">
        <v>92237</v>
      </c>
      <c r="AA109" s="3174"/>
      <c r="AG109" s="3174"/>
    </row>
    <row r="110" spans="2:33">
      <c r="B110" s="3531">
        <v>43070</v>
      </c>
      <c r="C110" t="s">
        <v>3535</v>
      </c>
      <c r="D110">
        <v>174</v>
      </c>
      <c r="E110" t="s">
        <v>3555</v>
      </c>
      <c r="F110" t="s">
        <v>3528</v>
      </c>
      <c r="G110">
        <v>1300</v>
      </c>
      <c r="H110" s="3174">
        <v>42994</v>
      </c>
      <c r="I110" s="3530">
        <v>1216</v>
      </c>
      <c r="J110" s="3530">
        <v>69841</v>
      </c>
      <c r="AA110" s="3174"/>
      <c r="AG110" s="3174"/>
    </row>
    <row r="111" spans="2:33">
      <c r="B111" s="3531">
        <v>42988</v>
      </c>
      <c r="C111" t="s">
        <v>3539</v>
      </c>
      <c r="D111">
        <v>95</v>
      </c>
      <c r="E111" t="s">
        <v>3555</v>
      </c>
      <c r="F111" t="s">
        <v>3533</v>
      </c>
      <c r="G111">
        <v>900</v>
      </c>
      <c r="H111" s="3174">
        <v>42956</v>
      </c>
      <c r="I111" s="3530">
        <v>853</v>
      </c>
      <c r="J111" s="3530">
        <v>89442</v>
      </c>
      <c r="AA111" s="3174"/>
      <c r="AG111" s="3174"/>
    </row>
    <row r="112" spans="2:33">
      <c r="B112" s="3531">
        <v>42978</v>
      </c>
      <c r="C112" t="s">
        <v>3537</v>
      </c>
      <c r="D112">
        <v>45</v>
      </c>
      <c r="E112" t="s">
        <v>3557</v>
      </c>
      <c r="F112" t="s">
        <v>3533</v>
      </c>
      <c r="G112">
        <v>50</v>
      </c>
      <c r="H112" s="3174">
        <v>42970</v>
      </c>
      <c r="I112" s="3530">
        <v>45</v>
      </c>
      <c r="J112" s="3530">
        <v>9908</v>
      </c>
      <c r="AA112" s="3174"/>
      <c r="AG112" s="3174"/>
    </row>
    <row r="113" spans="2:33">
      <c r="B113" s="3531">
        <v>42922</v>
      </c>
      <c r="C113" t="s">
        <v>3535</v>
      </c>
      <c r="D113">
        <v>191</v>
      </c>
      <c r="E113" t="s">
        <v>3552</v>
      </c>
      <c r="F113" t="s">
        <v>3528</v>
      </c>
      <c r="G113">
        <v>1480</v>
      </c>
      <c r="H113" s="3174">
        <v>42871</v>
      </c>
      <c r="I113" s="3530">
        <v>1220</v>
      </c>
      <c r="J113" s="3530">
        <v>63592</v>
      </c>
      <c r="AA113" s="3174"/>
      <c r="AG113" s="3174"/>
    </row>
    <row r="114" spans="2:33">
      <c r="B114" s="3531">
        <v>42825</v>
      </c>
      <c r="C114" t="s">
        <v>3529</v>
      </c>
      <c r="D114">
        <v>231</v>
      </c>
      <c r="E114" t="s">
        <v>3554</v>
      </c>
      <c r="F114" t="s">
        <v>3528</v>
      </c>
      <c r="G114">
        <v>2290</v>
      </c>
      <c r="H114" s="3174">
        <v>42757</v>
      </c>
      <c r="I114" s="3530">
        <v>1998</v>
      </c>
      <c r="J114" s="3530">
        <v>86289</v>
      </c>
      <c r="AA114" s="3174"/>
      <c r="AG114" s="3174"/>
    </row>
    <row r="115" spans="2:33">
      <c r="B115" s="3531">
        <v>42807</v>
      </c>
      <c r="C115" t="s">
        <v>3529</v>
      </c>
      <c r="D115">
        <v>195</v>
      </c>
      <c r="E115" t="s">
        <v>3553</v>
      </c>
      <c r="F115" t="s">
        <v>3528</v>
      </c>
      <c r="G115">
        <v>1700</v>
      </c>
      <c r="H115" s="3174">
        <v>42782</v>
      </c>
      <c r="I115" s="3530">
        <v>1677</v>
      </c>
      <c r="J115" s="3530">
        <v>85784</v>
      </c>
      <c r="AA115" s="3174"/>
      <c r="AG115" s="3174"/>
    </row>
    <row r="116" spans="2:33">
      <c r="B116" s="3531">
        <v>42807</v>
      </c>
      <c r="C116" t="s">
        <v>3539</v>
      </c>
      <c r="D116">
        <v>98</v>
      </c>
      <c r="E116" t="s">
        <v>3553</v>
      </c>
      <c r="F116" t="s">
        <v>3533</v>
      </c>
      <c r="G116">
        <v>980</v>
      </c>
      <c r="H116" s="3174">
        <v>42785</v>
      </c>
      <c r="I116" s="3530">
        <v>973</v>
      </c>
      <c r="J116" s="3530">
        <v>98444</v>
      </c>
      <c r="AA116" s="3174"/>
      <c r="AG116" s="3174"/>
    </row>
    <row r="117" spans="2:33">
      <c r="B117" s="3531">
        <v>42807</v>
      </c>
      <c r="C117" t="s">
        <v>3535</v>
      </c>
      <c r="D117">
        <v>174</v>
      </c>
      <c r="E117" t="s">
        <v>3555</v>
      </c>
      <c r="F117" t="s">
        <v>3528</v>
      </c>
      <c r="G117">
        <v>1530</v>
      </c>
      <c r="H117" s="3174">
        <v>42757</v>
      </c>
      <c r="I117" s="3530">
        <v>1498</v>
      </c>
      <c r="J117" s="3530">
        <v>86018</v>
      </c>
      <c r="AA117" s="3174"/>
      <c r="AG117" s="3174"/>
    </row>
    <row r="118" spans="2:33">
      <c r="B118" s="3531">
        <v>42784</v>
      </c>
      <c r="C118" t="s">
        <v>3526</v>
      </c>
      <c r="D118">
        <v>176</v>
      </c>
      <c r="E118" t="s">
        <v>3553</v>
      </c>
      <c r="F118" t="s">
        <v>3528</v>
      </c>
      <c r="G118">
        <v>1500</v>
      </c>
      <c r="H118" s="3174">
        <v>42746</v>
      </c>
      <c r="I118" s="3530">
        <v>1480</v>
      </c>
      <c r="J118" s="3530">
        <v>84082</v>
      </c>
      <c r="AA118" s="3174"/>
      <c r="AG118" s="3174"/>
    </row>
    <row r="119" spans="2:33">
      <c r="B119" s="3531">
        <v>42783</v>
      </c>
      <c r="C119" t="s">
        <v>3535</v>
      </c>
      <c r="D119">
        <v>176</v>
      </c>
      <c r="E119" t="s">
        <v>3554</v>
      </c>
      <c r="F119" t="s">
        <v>3528</v>
      </c>
      <c r="G119">
        <v>1469</v>
      </c>
      <c r="H119" s="3174">
        <v>42771</v>
      </c>
      <c r="I119" s="3530">
        <v>1435</v>
      </c>
      <c r="J119" s="3530">
        <v>81530</v>
      </c>
      <c r="AA119" s="3174"/>
      <c r="AG119" s="3174"/>
    </row>
    <row r="120" spans="2:33">
      <c r="B120" s="3531">
        <v>42750</v>
      </c>
      <c r="C120" t="s">
        <v>3531</v>
      </c>
      <c r="D120">
        <v>95</v>
      </c>
      <c r="E120" t="s">
        <v>3555</v>
      </c>
      <c r="F120" t="s">
        <v>3533</v>
      </c>
      <c r="G120">
        <v>950</v>
      </c>
      <c r="H120" s="3174">
        <v>42648</v>
      </c>
      <c r="I120" s="3530">
        <v>910</v>
      </c>
      <c r="J120" s="3530">
        <v>95418</v>
      </c>
      <c r="AA120" s="3174"/>
      <c r="AG120" s="3174"/>
    </row>
    <row r="121" spans="2:33">
      <c r="B121" s="3531">
        <v>42714</v>
      </c>
      <c r="C121" t="s">
        <v>3531</v>
      </c>
      <c r="D121">
        <v>98</v>
      </c>
      <c r="E121" t="s">
        <v>3554</v>
      </c>
      <c r="F121" t="s">
        <v>3533</v>
      </c>
      <c r="G121">
        <v>940</v>
      </c>
      <c r="H121" s="3174">
        <v>42668</v>
      </c>
      <c r="I121" s="3530">
        <v>875</v>
      </c>
      <c r="J121" s="3530">
        <v>88456</v>
      </c>
      <c r="AA121" s="3174"/>
      <c r="AG121" s="3174"/>
    </row>
    <row r="122" spans="2:33">
      <c r="B122" s="3531">
        <v>42703</v>
      </c>
      <c r="C122" t="s">
        <v>3529</v>
      </c>
      <c r="D122">
        <v>199</v>
      </c>
      <c r="E122" t="s">
        <v>3567</v>
      </c>
      <c r="F122" t="s">
        <v>3528</v>
      </c>
      <c r="G122">
        <v>1400</v>
      </c>
      <c r="H122" s="3174">
        <v>42679</v>
      </c>
      <c r="I122" s="3530">
        <v>1350</v>
      </c>
      <c r="J122" s="3530">
        <v>67582</v>
      </c>
      <c r="AA122" s="3174"/>
      <c r="AG122" s="3174"/>
    </row>
    <row r="123" spans="2:33">
      <c r="B123" s="3531">
        <v>42653</v>
      </c>
      <c r="C123" t="s">
        <v>3529</v>
      </c>
      <c r="D123">
        <v>230</v>
      </c>
      <c r="E123" t="s">
        <v>3553</v>
      </c>
      <c r="F123" t="s">
        <v>3528</v>
      </c>
      <c r="G123">
        <v>1680</v>
      </c>
      <c r="H123" s="3174">
        <v>42636</v>
      </c>
      <c r="I123" s="3530">
        <v>1655</v>
      </c>
      <c r="J123" s="3530">
        <v>71957</v>
      </c>
      <c r="AA123" s="3174"/>
      <c r="AG123" s="3174"/>
    </row>
    <row r="124" spans="2:33">
      <c r="B124" s="3531">
        <v>42635</v>
      </c>
      <c r="C124" t="s">
        <v>3535</v>
      </c>
      <c r="D124">
        <v>175</v>
      </c>
      <c r="E124" t="s">
        <v>3553</v>
      </c>
      <c r="F124" t="s">
        <v>3528</v>
      </c>
      <c r="G124">
        <v>1260</v>
      </c>
      <c r="H124" s="3174">
        <v>42601</v>
      </c>
      <c r="I124" s="3530">
        <v>1240</v>
      </c>
      <c r="J124" s="3530">
        <v>70858</v>
      </c>
      <c r="AA124" s="3174"/>
      <c r="AG124" s="3174"/>
    </row>
    <row r="125" spans="2:33">
      <c r="B125" s="3531">
        <v>42618</v>
      </c>
      <c r="C125" t="s">
        <v>3529</v>
      </c>
      <c r="D125">
        <v>205</v>
      </c>
      <c r="E125" t="s">
        <v>3554</v>
      </c>
      <c r="F125" t="s">
        <v>3533</v>
      </c>
      <c r="G125">
        <v>1300</v>
      </c>
      <c r="H125" s="3174">
        <v>42545</v>
      </c>
      <c r="I125" s="3530">
        <v>1305</v>
      </c>
      <c r="J125" s="3530">
        <v>63659</v>
      </c>
      <c r="AA125" s="3174"/>
      <c r="AG125" s="3174"/>
    </row>
    <row r="126" spans="2:33">
      <c r="B126" s="3531">
        <v>42605</v>
      </c>
      <c r="C126" t="s">
        <v>3531</v>
      </c>
      <c r="D126">
        <v>95</v>
      </c>
      <c r="E126" t="s">
        <v>3554</v>
      </c>
      <c r="F126" t="s">
        <v>3533</v>
      </c>
      <c r="G126">
        <v>765</v>
      </c>
      <c r="H126" s="3174">
        <v>42593</v>
      </c>
      <c r="I126" s="3530">
        <v>760</v>
      </c>
      <c r="J126" s="3530">
        <v>79690</v>
      </c>
      <c r="AA126" s="3174"/>
      <c r="AG126" s="3174"/>
    </row>
    <row r="127" spans="2:33">
      <c r="B127" s="3531">
        <v>42558</v>
      </c>
      <c r="C127" t="s">
        <v>3539</v>
      </c>
      <c r="D127">
        <v>94</v>
      </c>
      <c r="E127" t="s">
        <v>3554</v>
      </c>
      <c r="F127" t="s">
        <v>3533</v>
      </c>
      <c r="G127">
        <v>710</v>
      </c>
      <c r="H127" s="3174">
        <v>42415</v>
      </c>
      <c r="I127" s="3530">
        <v>700</v>
      </c>
      <c r="J127" s="3530">
        <v>73965</v>
      </c>
      <c r="AA127" s="3174"/>
      <c r="AG127" s="3174"/>
    </row>
    <row r="128" spans="2:33">
      <c r="B128" s="3531">
        <v>42470</v>
      </c>
      <c r="C128" t="s">
        <v>3544</v>
      </c>
      <c r="D128">
        <v>206</v>
      </c>
      <c r="E128" t="s">
        <v>3553</v>
      </c>
      <c r="F128" t="s">
        <v>3533</v>
      </c>
      <c r="G128">
        <v>1250</v>
      </c>
      <c r="H128" s="3174">
        <v>42471</v>
      </c>
      <c r="I128" s="3530">
        <v>1135</v>
      </c>
      <c r="J128" s="3530">
        <v>54972</v>
      </c>
      <c r="AA128" s="3174"/>
      <c r="AG128" s="3174"/>
    </row>
    <row r="129" spans="2:33">
      <c r="B129" s="3531">
        <v>42465</v>
      </c>
      <c r="C129" t="s">
        <v>3531</v>
      </c>
      <c r="D129">
        <v>119</v>
      </c>
      <c r="E129" t="s">
        <v>3568</v>
      </c>
      <c r="F129" t="s">
        <v>3533</v>
      </c>
      <c r="G129">
        <v>750</v>
      </c>
      <c r="H129" s="3174">
        <v>42466</v>
      </c>
      <c r="I129" s="3530">
        <v>750</v>
      </c>
      <c r="J129" s="3530">
        <v>62894</v>
      </c>
      <c r="AA129" s="3174"/>
      <c r="AG129" s="3174"/>
    </row>
    <row r="130" spans="2:33">
      <c r="B130" s="3531">
        <v>42454</v>
      </c>
      <c r="C130" t="s">
        <v>3531</v>
      </c>
      <c r="D130">
        <v>98</v>
      </c>
      <c r="E130" t="s">
        <v>3554</v>
      </c>
      <c r="F130" t="s">
        <v>3533</v>
      </c>
      <c r="G130">
        <v>710</v>
      </c>
      <c r="H130" s="3174">
        <v>42454</v>
      </c>
      <c r="I130" s="3530">
        <v>700</v>
      </c>
      <c r="J130" s="3530">
        <v>70765</v>
      </c>
      <c r="AA130" s="3174"/>
      <c r="AG130" s="3174"/>
    </row>
    <row r="131" spans="2:33">
      <c r="B131" s="3531">
        <v>42445</v>
      </c>
      <c r="C131" t="s">
        <v>3531</v>
      </c>
      <c r="D131">
        <v>103</v>
      </c>
      <c r="E131" t="s">
        <v>3555</v>
      </c>
      <c r="F131" t="s">
        <v>3533</v>
      </c>
      <c r="G131">
        <v>710</v>
      </c>
      <c r="H131" s="3174">
        <v>42446</v>
      </c>
      <c r="I131" s="3530">
        <v>700</v>
      </c>
      <c r="J131" s="3530">
        <v>67614</v>
      </c>
      <c r="AA131" s="3174"/>
      <c r="AG131" s="3174"/>
    </row>
    <row r="132" spans="2:33">
      <c r="B132" s="3531">
        <v>42434</v>
      </c>
      <c r="C132" t="s">
        <v>3539</v>
      </c>
      <c r="D132">
        <v>94</v>
      </c>
      <c r="E132" t="s">
        <v>3554</v>
      </c>
      <c r="F132" t="s">
        <v>3533</v>
      </c>
      <c r="G132">
        <v>680</v>
      </c>
      <c r="H132" s="3174">
        <v>42435</v>
      </c>
      <c r="I132" s="3530">
        <v>677</v>
      </c>
      <c r="J132" s="3530">
        <v>71535</v>
      </c>
      <c r="AA132" s="3174"/>
      <c r="AG132" s="3174"/>
    </row>
    <row r="133" spans="2:33">
      <c r="B133" s="3531">
        <v>42428</v>
      </c>
      <c r="C133" t="s">
        <v>3531</v>
      </c>
      <c r="D133">
        <v>98</v>
      </c>
      <c r="E133" t="s">
        <v>3553</v>
      </c>
      <c r="F133" t="s">
        <v>3533</v>
      </c>
      <c r="G133">
        <v>680</v>
      </c>
      <c r="H133" s="3174">
        <v>42428</v>
      </c>
      <c r="I133" s="3530">
        <v>657</v>
      </c>
      <c r="J133" s="3530">
        <v>66418</v>
      </c>
      <c r="AA133" s="3174"/>
      <c r="AG133" s="3174"/>
    </row>
    <row r="134" spans="2:33">
      <c r="B134" s="3531">
        <v>42400</v>
      </c>
      <c r="C134" t="s">
        <v>3531</v>
      </c>
      <c r="D134">
        <v>98</v>
      </c>
      <c r="E134" t="s">
        <v>3553</v>
      </c>
      <c r="F134" t="s">
        <v>3533</v>
      </c>
      <c r="G134">
        <v>680</v>
      </c>
      <c r="H134" s="3174">
        <v>42401</v>
      </c>
      <c r="I134" s="3530">
        <v>655</v>
      </c>
      <c r="J134" s="3530">
        <v>66276</v>
      </c>
      <c r="AA134" s="3174"/>
      <c r="AG134" s="3174"/>
    </row>
    <row r="135" spans="2:33">
      <c r="B135" s="3531">
        <v>42386</v>
      </c>
      <c r="C135" t="s">
        <v>3535</v>
      </c>
      <c r="D135">
        <v>175</v>
      </c>
      <c r="E135" t="s">
        <v>3555</v>
      </c>
      <c r="F135" t="s">
        <v>3528</v>
      </c>
      <c r="G135">
        <v>905</v>
      </c>
      <c r="H135" s="3174">
        <v>42387</v>
      </c>
      <c r="I135" s="3530">
        <v>900</v>
      </c>
      <c r="J135" s="3530">
        <v>51262</v>
      </c>
      <c r="AA135" s="3174"/>
      <c r="AG135" s="3174"/>
    </row>
    <row r="136" spans="2:33">
      <c r="B136" s="3531">
        <v>42372</v>
      </c>
      <c r="C136" t="s">
        <v>3531</v>
      </c>
      <c r="D136">
        <v>98</v>
      </c>
      <c r="E136" t="s">
        <v>3553</v>
      </c>
      <c r="F136" t="s">
        <v>3533</v>
      </c>
      <c r="G136">
        <v>620</v>
      </c>
      <c r="H136" s="3174">
        <v>42373</v>
      </c>
      <c r="I136" s="3530">
        <v>618</v>
      </c>
      <c r="J136" s="3530">
        <v>62475</v>
      </c>
      <c r="AA136" s="3174"/>
      <c r="AG136" s="3174"/>
    </row>
    <row r="137" spans="2:33">
      <c r="B137" s="3531">
        <v>42365</v>
      </c>
      <c r="C137" t="s">
        <v>3535</v>
      </c>
      <c r="D137">
        <v>177</v>
      </c>
      <c r="E137" t="s">
        <v>3553</v>
      </c>
      <c r="F137" t="s">
        <v>3528</v>
      </c>
      <c r="G137">
        <v>950</v>
      </c>
      <c r="H137" s="3174">
        <v>42366</v>
      </c>
      <c r="I137" s="3530">
        <v>930</v>
      </c>
      <c r="J137" s="3530">
        <v>52522</v>
      </c>
      <c r="AA137" s="3174"/>
      <c r="AG137" s="3174"/>
    </row>
    <row r="138" spans="2:33">
      <c r="B138" s="3531">
        <v>42364</v>
      </c>
      <c r="C138" t="s">
        <v>3531</v>
      </c>
      <c r="D138">
        <v>98</v>
      </c>
      <c r="E138" t="s">
        <v>3553</v>
      </c>
      <c r="F138" t="s">
        <v>3533</v>
      </c>
      <c r="G138">
        <v>585</v>
      </c>
      <c r="H138" s="3174">
        <v>42365</v>
      </c>
      <c r="I138" s="3530">
        <v>575</v>
      </c>
      <c r="J138" s="3530">
        <v>58128</v>
      </c>
      <c r="AA138" s="3174"/>
      <c r="AG138" s="3174"/>
    </row>
    <row r="139" spans="2:33">
      <c r="B139" s="3531">
        <v>42363</v>
      </c>
      <c r="C139" t="s">
        <v>3529</v>
      </c>
      <c r="D139">
        <v>196</v>
      </c>
      <c r="E139" t="s">
        <v>3553</v>
      </c>
      <c r="F139" t="s">
        <v>3528</v>
      </c>
      <c r="G139">
        <v>1050</v>
      </c>
      <c r="H139" s="3174">
        <v>42364</v>
      </c>
      <c r="I139" s="3530">
        <v>1000</v>
      </c>
      <c r="J139" s="3530">
        <v>50785</v>
      </c>
      <c r="AA139" s="3174"/>
      <c r="AG139" s="3174"/>
    </row>
    <row r="140" spans="2:33">
      <c r="B140" s="3531">
        <v>42353</v>
      </c>
      <c r="C140" t="s">
        <v>3535</v>
      </c>
      <c r="D140">
        <v>175</v>
      </c>
      <c r="E140" t="s">
        <v>3553</v>
      </c>
      <c r="F140" t="s">
        <v>3528</v>
      </c>
      <c r="G140">
        <v>900</v>
      </c>
      <c r="H140" s="3174">
        <v>42353</v>
      </c>
      <c r="I140" s="3530">
        <v>895</v>
      </c>
      <c r="J140" s="3530">
        <v>50885</v>
      </c>
      <c r="AA140" s="3174"/>
      <c r="AG140" s="3174"/>
    </row>
    <row r="141" spans="2:33">
      <c r="B141" s="3531">
        <v>42331</v>
      </c>
      <c r="C141" t="s">
        <v>3535</v>
      </c>
      <c r="D141">
        <v>170</v>
      </c>
      <c r="E141" t="s">
        <v>3552</v>
      </c>
      <c r="F141" t="s">
        <v>3528</v>
      </c>
      <c r="G141">
        <v>700</v>
      </c>
      <c r="H141" s="3174">
        <v>42331</v>
      </c>
      <c r="I141" s="3530">
        <v>675</v>
      </c>
      <c r="J141" s="3530">
        <v>39636</v>
      </c>
      <c r="AA141" s="3174"/>
      <c r="AG141" s="3174"/>
    </row>
    <row r="142" spans="2:33">
      <c r="B142" s="3531">
        <v>42317</v>
      </c>
      <c r="C142" t="s">
        <v>3531</v>
      </c>
      <c r="D142">
        <v>94</v>
      </c>
      <c r="E142" t="s">
        <v>3553</v>
      </c>
      <c r="F142" t="s">
        <v>3533</v>
      </c>
      <c r="G142">
        <v>510</v>
      </c>
      <c r="H142" s="3174">
        <v>42318</v>
      </c>
      <c r="I142" s="3530">
        <v>498</v>
      </c>
      <c r="J142" s="3530">
        <v>52872</v>
      </c>
      <c r="AA142" s="3174"/>
      <c r="AG142" s="3174"/>
    </row>
    <row r="143" spans="2:33">
      <c r="B143" s="3531">
        <v>42316</v>
      </c>
      <c r="C143" t="s">
        <v>3531</v>
      </c>
      <c r="D143">
        <v>94</v>
      </c>
      <c r="E143" t="s">
        <v>3555</v>
      </c>
      <c r="F143" t="s">
        <v>3533</v>
      </c>
      <c r="G143">
        <v>530</v>
      </c>
      <c r="H143" s="3174">
        <v>42316</v>
      </c>
      <c r="I143" s="3530">
        <v>515</v>
      </c>
      <c r="J143" s="3530">
        <v>54567</v>
      </c>
      <c r="AA143" s="3174"/>
      <c r="AG143" s="3174"/>
    </row>
    <row r="144" spans="2:33">
      <c r="B144" s="3531">
        <v>42308</v>
      </c>
      <c r="C144" t="s">
        <v>3539</v>
      </c>
      <c r="D144">
        <v>94</v>
      </c>
      <c r="E144" t="s">
        <v>3555</v>
      </c>
      <c r="F144" t="s">
        <v>3533</v>
      </c>
      <c r="G144">
        <v>560</v>
      </c>
      <c r="H144" s="3174">
        <v>42308</v>
      </c>
      <c r="I144" s="3530">
        <v>553</v>
      </c>
      <c r="J144" s="3530">
        <v>58593</v>
      </c>
      <c r="AA144" s="3174"/>
      <c r="AG144" s="3174"/>
    </row>
    <row r="145" spans="2:33">
      <c r="B145" s="3531">
        <v>42283</v>
      </c>
      <c r="C145" t="s">
        <v>3539</v>
      </c>
      <c r="D145">
        <v>94</v>
      </c>
      <c r="E145" t="s">
        <v>3555</v>
      </c>
      <c r="F145" t="s">
        <v>3533</v>
      </c>
      <c r="G145">
        <v>520</v>
      </c>
      <c r="H145" s="3174">
        <v>42284</v>
      </c>
      <c r="I145" s="3530">
        <v>505</v>
      </c>
      <c r="J145" s="3530">
        <v>53508</v>
      </c>
      <c r="AA145" s="3174"/>
      <c r="AG145" s="3174"/>
    </row>
    <row r="146" spans="2:33">
      <c r="B146" s="3531">
        <v>42269</v>
      </c>
      <c r="C146" t="s">
        <v>3542</v>
      </c>
      <c r="D146">
        <v>42</v>
      </c>
      <c r="E146" t="s">
        <v>3557</v>
      </c>
      <c r="F146" t="s">
        <v>3420</v>
      </c>
      <c r="G146">
        <v>36</v>
      </c>
      <c r="H146" s="3174">
        <v>42269</v>
      </c>
      <c r="I146" s="3530">
        <v>35</v>
      </c>
      <c r="J146" s="3530">
        <v>8293</v>
      </c>
      <c r="AA146" s="3174"/>
      <c r="AG146" s="3174"/>
    </row>
    <row r="147" spans="2:33">
      <c r="B147" s="3531">
        <v>42264</v>
      </c>
      <c r="C147" t="s">
        <v>3529</v>
      </c>
      <c r="D147">
        <v>206</v>
      </c>
      <c r="E147" t="s">
        <v>3553</v>
      </c>
      <c r="F147" t="s">
        <v>3533</v>
      </c>
      <c r="G147">
        <v>955</v>
      </c>
      <c r="H147" s="3174">
        <v>42265</v>
      </c>
      <c r="I147" s="3530">
        <v>930</v>
      </c>
      <c r="J147" s="3530">
        <v>45043</v>
      </c>
      <c r="AA147" s="3174"/>
      <c r="AG147" s="3174"/>
    </row>
    <row r="148" spans="2:33">
      <c r="B148" s="3531">
        <v>42256</v>
      </c>
      <c r="C148" t="s">
        <v>3529</v>
      </c>
      <c r="D148">
        <v>225</v>
      </c>
      <c r="E148" t="s">
        <v>3569</v>
      </c>
      <c r="F148" t="s">
        <v>3528</v>
      </c>
      <c r="G148">
        <v>1100</v>
      </c>
      <c r="H148" s="3174">
        <v>42256</v>
      </c>
      <c r="I148" s="3530">
        <v>1030</v>
      </c>
      <c r="J148" s="3530">
        <v>45671</v>
      </c>
      <c r="AA148" s="3174"/>
      <c r="AG148" s="3174"/>
    </row>
    <row r="149" spans="2:33">
      <c r="B149" s="3531">
        <v>42252</v>
      </c>
      <c r="C149" t="s">
        <v>3531</v>
      </c>
      <c r="D149">
        <v>98</v>
      </c>
      <c r="E149" t="s">
        <v>3554</v>
      </c>
      <c r="F149" t="s">
        <v>3533</v>
      </c>
      <c r="G149">
        <v>520</v>
      </c>
      <c r="H149" s="3174">
        <v>42253</v>
      </c>
      <c r="I149" s="3530">
        <v>519</v>
      </c>
      <c r="J149" s="3530">
        <v>52467</v>
      </c>
      <c r="AA149" s="3174"/>
      <c r="AG149" s="3174"/>
    </row>
    <row r="150" spans="2:33">
      <c r="B150" s="3531">
        <v>42246</v>
      </c>
      <c r="C150" t="s">
        <v>3539</v>
      </c>
      <c r="D150">
        <v>94</v>
      </c>
      <c r="E150" t="s">
        <v>3555</v>
      </c>
      <c r="F150" t="s">
        <v>3533</v>
      </c>
      <c r="G150">
        <v>455</v>
      </c>
      <c r="H150" s="3174">
        <v>42246</v>
      </c>
      <c r="I150" s="3530">
        <v>455</v>
      </c>
      <c r="J150" s="3530">
        <v>48210</v>
      </c>
      <c r="AA150" s="3174"/>
      <c r="AG150" s="3174"/>
    </row>
    <row r="151" spans="2:33">
      <c r="B151" s="3531">
        <v>42245</v>
      </c>
      <c r="C151" t="s">
        <v>3535</v>
      </c>
      <c r="D151">
        <v>168</v>
      </c>
      <c r="E151" t="s">
        <v>3555</v>
      </c>
      <c r="F151" t="s">
        <v>3559</v>
      </c>
      <c r="G151">
        <v>755</v>
      </c>
      <c r="H151" s="3174">
        <v>42245</v>
      </c>
      <c r="I151" s="3530">
        <v>745</v>
      </c>
      <c r="J151" s="3530">
        <v>44206</v>
      </c>
      <c r="AA151" s="3174"/>
      <c r="AG151" s="3174"/>
    </row>
    <row r="152" spans="2:33">
      <c r="B152" s="3531">
        <v>42215</v>
      </c>
      <c r="C152" t="s">
        <v>3535</v>
      </c>
      <c r="D152">
        <v>168</v>
      </c>
      <c r="E152" t="s">
        <v>3555</v>
      </c>
      <c r="F152" t="s">
        <v>3570</v>
      </c>
      <c r="G152">
        <v>730</v>
      </c>
      <c r="H152" s="3174">
        <v>42215</v>
      </c>
      <c r="I152" s="3530">
        <v>720</v>
      </c>
      <c r="J152" s="3530">
        <v>42723</v>
      </c>
      <c r="AA152" s="3174"/>
      <c r="AG152" s="3174"/>
    </row>
    <row r="153" spans="2:33">
      <c r="B153" s="3531">
        <v>42176</v>
      </c>
      <c r="C153" t="s">
        <v>3535</v>
      </c>
      <c r="D153">
        <v>168</v>
      </c>
      <c r="E153" t="s">
        <v>3555</v>
      </c>
      <c r="F153" t="s">
        <v>3528</v>
      </c>
      <c r="G153">
        <v>700</v>
      </c>
      <c r="H153" s="3174">
        <v>42177</v>
      </c>
      <c r="I153" s="3530">
        <v>680</v>
      </c>
      <c r="J153" s="3530">
        <v>40349</v>
      </c>
      <c r="AA153" s="3174"/>
      <c r="AG153" s="3174"/>
    </row>
    <row r="154" spans="2:33">
      <c r="B154" s="3531">
        <v>42176</v>
      </c>
      <c r="C154" t="s">
        <v>3531</v>
      </c>
      <c r="D154">
        <v>94</v>
      </c>
      <c r="E154" t="s">
        <v>3553</v>
      </c>
      <c r="F154" t="s">
        <v>3533</v>
      </c>
      <c r="G154">
        <v>490</v>
      </c>
      <c r="H154" s="3174">
        <v>42176</v>
      </c>
      <c r="I154" s="3530">
        <v>480</v>
      </c>
      <c r="J154" s="3530">
        <v>50961</v>
      </c>
      <c r="AA154" s="3174"/>
      <c r="AG154" s="3174"/>
    </row>
    <row r="155" spans="2:33">
      <c r="B155" s="3531">
        <v>42169</v>
      </c>
      <c r="C155" t="s">
        <v>3531</v>
      </c>
      <c r="D155">
        <v>95</v>
      </c>
      <c r="E155" t="s">
        <v>3555</v>
      </c>
      <c r="F155" t="s">
        <v>3533</v>
      </c>
      <c r="G155">
        <v>475</v>
      </c>
      <c r="H155" s="3174">
        <v>42169</v>
      </c>
      <c r="I155" s="3530">
        <v>466</v>
      </c>
      <c r="J155" s="3530">
        <v>48863</v>
      </c>
      <c r="AA155" s="3174"/>
      <c r="AG155" s="3174"/>
    </row>
    <row r="156" spans="2:33">
      <c r="B156" s="3531">
        <v>42154</v>
      </c>
      <c r="C156" t="s">
        <v>3529</v>
      </c>
      <c r="D156">
        <v>225</v>
      </c>
      <c r="E156" t="s">
        <v>3564</v>
      </c>
      <c r="F156" t="s">
        <v>3528</v>
      </c>
      <c r="G156">
        <v>1050</v>
      </c>
      <c r="H156" s="3174">
        <v>42155</v>
      </c>
      <c r="I156" s="3530">
        <v>980</v>
      </c>
      <c r="J156" s="3530">
        <v>43384</v>
      </c>
      <c r="AA156" s="3174"/>
      <c r="AG156" s="3174"/>
    </row>
    <row r="157" spans="2:33">
      <c r="B157" s="3531">
        <v>42154</v>
      </c>
      <c r="C157" t="s">
        <v>3535</v>
      </c>
      <c r="D157">
        <v>187</v>
      </c>
      <c r="E157" t="s">
        <v>3560</v>
      </c>
      <c r="F157" t="s">
        <v>3528</v>
      </c>
      <c r="G157">
        <v>865</v>
      </c>
      <c r="H157" s="3174">
        <v>42155</v>
      </c>
      <c r="I157" s="3530">
        <v>833</v>
      </c>
      <c r="J157" s="3530">
        <v>44342</v>
      </c>
      <c r="AA157" s="3174"/>
      <c r="AG157" s="3174"/>
    </row>
    <row r="158" spans="2:33">
      <c r="B158" s="3531">
        <v>42143</v>
      </c>
      <c r="C158" t="s">
        <v>3535</v>
      </c>
      <c r="D158">
        <v>196</v>
      </c>
      <c r="E158" t="s">
        <v>3554</v>
      </c>
      <c r="F158" t="s">
        <v>3528</v>
      </c>
      <c r="G158">
        <v>830</v>
      </c>
      <c r="H158" s="3174">
        <v>42144</v>
      </c>
      <c r="I158" s="3530">
        <v>820</v>
      </c>
      <c r="J158" s="3530">
        <v>41773</v>
      </c>
      <c r="AA158" s="3174"/>
      <c r="AG158" s="3174"/>
    </row>
    <row r="159" spans="2:33">
      <c r="B159" s="3531">
        <v>42124</v>
      </c>
      <c r="C159" t="s">
        <v>3535</v>
      </c>
      <c r="D159">
        <v>173</v>
      </c>
      <c r="E159" t="s">
        <v>3554</v>
      </c>
      <c r="F159" t="s">
        <v>3528</v>
      </c>
      <c r="G159">
        <v>760</v>
      </c>
      <c r="H159" s="3174">
        <v>42124</v>
      </c>
      <c r="I159" s="3530">
        <v>750</v>
      </c>
      <c r="J159" s="3530">
        <v>43226</v>
      </c>
      <c r="AA159" s="3174"/>
      <c r="AG159" s="3174"/>
    </row>
    <row r="160" spans="2:33">
      <c r="B160" s="3531">
        <v>42120</v>
      </c>
      <c r="C160" t="s">
        <v>3529</v>
      </c>
      <c r="D160">
        <v>196</v>
      </c>
      <c r="E160" t="s">
        <v>3555</v>
      </c>
      <c r="F160" t="s">
        <v>3528</v>
      </c>
      <c r="G160">
        <v>900</v>
      </c>
      <c r="H160" s="3174">
        <v>42120</v>
      </c>
      <c r="I160" s="3530">
        <v>880</v>
      </c>
      <c r="J160" s="3530">
        <v>44761</v>
      </c>
      <c r="AA160" s="3174"/>
      <c r="AG160" s="3174"/>
    </row>
    <row r="161" spans="2:33">
      <c r="B161" s="3531">
        <v>42120</v>
      </c>
      <c r="C161" t="s">
        <v>3529</v>
      </c>
      <c r="D161">
        <v>227</v>
      </c>
      <c r="E161" t="s">
        <v>3555</v>
      </c>
      <c r="F161" t="s">
        <v>3528</v>
      </c>
      <c r="G161">
        <v>1150</v>
      </c>
      <c r="H161" s="3174">
        <v>42120</v>
      </c>
      <c r="I161" s="3530">
        <v>1000</v>
      </c>
      <c r="J161" s="3530">
        <v>44042</v>
      </c>
      <c r="AA161" s="3174"/>
      <c r="AG161" s="3174"/>
    </row>
    <row r="162" spans="2:33">
      <c r="B162" s="3531">
        <v>42112</v>
      </c>
      <c r="C162" t="s">
        <v>3531</v>
      </c>
      <c r="D162">
        <v>103</v>
      </c>
      <c r="E162" t="s">
        <v>3554</v>
      </c>
      <c r="F162" t="s">
        <v>3533</v>
      </c>
      <c r="G162">
        <v>540</v>
      </c>
      <c r="H162" s="3174">
        <v>42113</v>
      </c>
      <c r="I162" s="3530">
        <v>532</v>
      </c>
      <c r="J162" s="3530">
        <v>51406</v>
      </c>
      <c r="AA162" s="3174"/>
      <c r="AG162" s="3174"/>
    </row>
    <row r="163" spans="2:33">
      <c r="B163" s="3531">
        <v>42071</v>
      </c>
      <c r="C163" t="s">
        <v>3535</v>
      </c>
      <c r="D163">
        <v>177</v>
      </c>
      <c r="E163" t="s">
        <v>3554</v>
      </c>
      <c r="F163" t="s">
        <v>3528</v>
      </c>
      <c r="G163">
        <v>780</v>
      </c>
      <c r="H163" s="3174">
        <v>42072</v>
      </c>
      <c r="I163" s="3530">
        <v>745</v>
      </c>
      <c r="J163" s="3530">
        <v>42086</v>
      </c>
      <c r="AA163" s="3174"/>
      <c r="AG163" s="3174"/>
    </row>
    <row r="164" spans="2:33">
      <c r="B164" s="3531">
        <v>42048</v>
      </c>
      <c r="C164" t="s">
        <v>3535</v>
      </c>
      <c r="D164">
        <v>175</v>
      </c>
      <c r="E164" t="s">
        <v>3553</v>
      </c>
      <c r="F164" t="s">
        <v>3528</v>
      </c>
      <c r="G164">
        <v>650</v>
      </c>
      <c r="H164" s="3174">
        <v>42048</v>
      </c>
      <c r="I164" s="3530">
        <v>600</v>
      </c>
      <c r="J164" s="3530">
        <v>34113</v>
      </c>
      <c r="AA164" s="3174"/>
      <c r="AG164" s="3174"/>
    </row>
    <row r="165" spans="2:33">
      <c r="B165" s="3531">
        <v>42027</v>
      </c>
      <c r="C165" t="s">
        <v>3529</v>
      </c>
      <c r="D165">
        <v>227</v>
      </c>
      <c r="E165" t="s">
        <v>3554</v>
      </c>
      <c r="F165" t="s">
        <v>3528</v>
      </c>
      <c r="G165">
        <v>950</v>
      </c>
      <c r="H165" s="3174">
        <v>42027</v>
      </c>
      <c r="I165" s="3530">
        <v>932</v>
      </c>
      <c r="J165" s="3530">
        <v>40939</v>
      </c>
      <c r="AA165" s="3174"/>
      <c r="AG165" s="3174"/>
    </row>
    <row r="166" spans="2:33">
      <c r="B166" s="3531">
        <v>42026</v>
      </c>
      <c r="C166" t="s">
        <v>3531</v>
      </c>
      <c r="D166">
        <v>103</v>
      </c>
      <c r="E166" t="s">
        <v>3571</v>
      </c>
      <c r="F166" t="s">
        <v>3533</v>
      </c>
      <c r="G166">
        <v>470</v>
      </c>
      <c r="H166" s="3174">
        <v>42026</v>
      </c>
      <c r="I166" s="3530">
        <v>454</v>
      </c>
      <c r="J166" s="3530">
        <v>43892</v>
      </c>
      <c r="AA166" s="3174"/>
      <c r="AG166" s="3174"/>
    </row>
    <row r="167" spans="2:33">
      <c r="B167" s="3531">
        <v>41996</v>
      </c>
      <c r="C167" t="s">
        <v>3539</v>
      </c>
      <c r="D167">
        <v>103</v>
      </c>
      <c r="E167" t="s">
        <v>3553</v>
      </c>
      <c r="F167" t="s">
        <v>3533</v>
      </c>
      <c r="G167">
        <v>480</v>
      </c>
      <c r="H167" s="3174">
        <v>41997</v>
      </c>
      <c r="I167" s="3530">
        <v>452</v>
      </c>
      <c r="J167" s="3530">
        <v>43638</v>
      </c>
      <c r="AA167" s="3174"/>
      <c r="AG167" s="3174"/>
    </row>
    <row r="168" spans="2:33">
      <c r="B168" s="3531">
        <v>41989</v>
      </c>
      <c r="C168" t="s">
        <v>3531</v>
      </c>
      <c r="D168">
        <v>98</v>
      </c>
      <c r="E168" t="s">
        <v>3554</v>
      </c>
      <c r="F168" t="s">
        <v>3533</v>
      </c>
      <c r="G168">
        <v>480</v>
      </c>
      <c r="H168" s="3174">
        <v>41990</v>
      </c>
      <c r="I168" s="3530">
        <v>510</v>
      </c>
      <c r="J168" s="3530">
        <v>51693</v>
      </c>
      <c r="AA168" s="3174"/>
      <c r="AG168" s="3174"/>
    </row>
    <row r="169" spans="2:33">
      <c r="B169" s="3531">
        <v>41980</v>
      </c>
      <c r="C169" t="s">
        <v>3535</v>
      </c>
      <c r="D169">
        <v>176</v>
      </c>
      <c r="E169" t="s">
        <v>3554</v>
      </c>
      <c r="F169" t="s">
        <v>3528</v>
      </c>
      <c r="G169">
        <v>730</v>
      </c>
      <c r="H169" s="3174">
        <v>41980</v>
      </c>
      <c r="I169" s="3530">
        <v>698</v>
      </c>
      <c r="J169" s="3530">
        <v>39657</v>
      </c>
      <c r="AA169" s="3174"/>
      <c r="AG169" s="3174"/>
    </row>
    <row r="170" spans="2:33">
      <c r="B170" s="3531">
        <v>41957</v>
      </c>
      <c r="C170" t="s">
        <v>3535</v>
      </c>
      <c r="D170">
        <v>172</v>
      </c>
      <c r="E170" t="s">
        <v>3554</v>
      </c>
      <c r="F170" t="s">
        <v>3528</v>
      </c>
      <c r="G170">
        <v>700</v>
      </c>
      <c r="H170" s="3174">
        <v>41967</v>
      </c>
      <c r="I170" s="3530">
        <v>690</v>
      </c>
      <c r="J170" s="3530">
        <v>40049</v>
      </c>
      <c r="AA170" s="3174"/>
      <c r="AG170" s="3174"/>
    </row>
    <row r="171" spans="2:33">
      <c r="B171" s="3531">
        <v>41955</v>
      </c>
      <c r="C171" t="s">
        <v>3529</v>
      </c>
      <c r="D171">
        <v>229</v>
      </c>
      <c r="E171" t="s">
        <v>3553</v>
      </c>
      <c r="F171" t="s">
        <v>3528</v>
      </c>
      <c r="G171">
        <v>1050</v>
      </c>
      <c r="H171" s="3174">
        <v>41956</v>
      </c>
      <c r="I171" s="3530">
        <v>1010</v>
      </c>
      <c r="J171" s="3530">
        <v>43940</v>
      </c>
      <c r="AA171" s="3174"/>
      <c r="AG171" s="3174"/>
    </row>
    <row r="172" spans="2:33">
      <c r="B172" s="3531">
        <v>41825</v>
      </c>
      <c r="C172" t="s">
        <v>3531</v>
      </c>
      <c r="D172">
        <v>108</v>
      </c>
      <c r="E172" t="s">
        <v>3553</v>
      </c>
      <c r="F172" t="s">
        <v>3533</v>
      </c>
      <c r="G172">
        <v>530</v>
      </c>
      <c r="H172" s="3174">
        <v>41837</v>
      </c>
      <c r="I172" s="3530">
        <v>482</v>
      </c>
      <c r="J172" s="3530">
        <v>44302</v>
      </c>
      <c r="AA172" s="3174"/>
      <c r="AG172" s="3174"/>
    </row>
    <row r="173" spans="2:33">
      <c r="B173" s="3531">
        <v>41690</v>
      </c>
      <c r="C173" t="s">
        <v>3529</v>
      </c>
      <c r="D173">
        <v>227</v>
      </c>
      <c r="E173" t="s">
        <v>3553</v>
      </c>
      <c r="F173" t="s">
        <v>3528</v>
      </c>
      <c r="G173">
        <v>950</v>
      </c>
      <c r="H173" s="3174">
        <v>41692</v>
      </c>
      <c r="I173" s="3530">
        <v>900</v>
      </c>
      <c r="J173" s="3530">
        <v>39492</v>
      </c>
      <c r="AA173" s="3174"/>
      <c r="AG173" s="3174"/>
    </row>
    <row r="174" spans="2:33">
      <c r="B174" s="3531">
        <v>41618</v>
      </c>
      <c r="C174" t="s">
        <v>3529</v>
      </c>
      <c r="D174">
        <v>224</v>
      </c>
      <c r="E174" t="s">
        <v>3553</v>
      </c>
      <c r="F174" t="s">
        <v>3528</v>
      </c>
      <c r="G174">
        <v>980</v>
      </c>
      <c r="H174" s="3174">
        <v>41626</v>
      </c>
      <c r="I174" s="3530">
        <v>910</v>
      </c>
      <c r="J174" s="3530">
        <v>40624</v>
      </c>
      <c r="AA174" s="3174"/>
      <c r="AG174" s="3174"/>
    </row>
    <row r="175" spans="2:33">
      <c r="B175" s="3531">
        <v>41536</v>
      </c>
      <c r="C175" t="s">
        <v>3529</v>
      </c>
      <c r="D175">
        <v>200</v>
      </c>
      <c r="E175" t="s">
        <v>3555</v>
      </c>
      <c r="F175" t="s">
        <v>3528</v>
      </c>
      <c r="G175">
        <v>840</v>
      </c>
      <c r="H175" s="3174">
        <v>41535</v>
      </c>
      <c r="I175" s="3530">
        <v>823</v>
      </c>
      <c r="J175" s="3530">
        <v>41052</v>
      </c>
      <c r="AA175" s="3174"/>
      <c r="AG175" s="3174"/>
    </row>
    <row r="176" spans="2:33">
      <c r="B176" s="3531">
        <v>41407</v>
      </c>
      <c r="C176" t="s">
        <v>3529</v>
      </c>
      <c r="D176">
        <v>175</v>
      </c>
      <c r="E176" t="s">
        <v>3555</v>
      </c>
      <c r="F176" t="s">
        <v>3528</v>
      </c>
      <c r="G176">
        <v>695</v>
      </c>
      <c r="H176" s="3174">
        <v>41407</v>
      </c>
      <c r="I176" s="3530">
        <v>683</v>
      </c>
      <c r="J176" s="3530">
        <v>38902</v>
      </c>
      <c r="AA176" s="3174"/>
      <c r="AG176" s="3174"/>
    </row>
    <row r="177" spans="2:33">
      <c r="B177" s="3531">
        <v>41390</v>
      </c>
      <c r="C177" t="s">
        <v>3535</v>
      </c>
      <c r="D177">
        <v>184</v>
      </c>
      <c r="E177" t="s">
        <v>3553</v>
      </c>
      <c r="F177" t="s">
        <v>3528</v>
      </c>
      <c r="G177">
        <v>730</v>
      </c>
      <c r="H177" s="3174">
        <v>41391</v>
      </c>
      <c r="I177" s="3530">
        <v>720</v>
      </c>
      <c r="J177" s="3530">
        <v>39040</v>
      </c>
      <c r="AA177" s="3174"/>
      <c r="AG177" s="3174"/>
    </row>
    <row r="178" spans="2:33">
      <c r="B178" s="3531">
        <v>41343</v>
      </c>
      <c r="C178" t="s">
        <v>3542</v>
      </c>
      <c r="D178">
        <v>74</v>
      </c>
      <c r="E178" t="s">
        <v>3552</v>
      </c>
      <c r="F178" t="s">
        <v>3533</v>
      </c>
      <c r="G178">
        <v>270</v>
      </c>
      <c r="H178" s="3174">
        <v>41344</v>
      </c>
      <c r="I178" s="3530">
        <v>267</v>
      </c>
      <c r="J178" s="3530">
        <v>35863</v>
      </c>
      <c r="AA178" s="3174"/>
      <c r="AG178" s="3174"/>
    </row>
    <row r="179" spans="2:33">
      <c r="B179" s="3531">
        <v>41341</v>
      </c>
      <c r="C179" t="s">
        <v>3535</v>
      </c>
      <c r="D179">
        <v>187</v>
      </c>
      <c r="E179" t="s">
        <v>3560</v>
      </c>
      <c r="F179" t="s">
        <v>3528</v>
      </c>
      <c r="G179">
        <v>800</v>
      </c>
      <c r="H179" s="3174">
        <v>41347</v>
      </c>
      <c r="I179" s="3530">
        <v>790</v>
      </c>
      <c r="J179" s="3530">
        <v>42067</v>
      </c>
      <c r="AA179" s="3174"/>
      <c r="AG179" s="3174"/>
    </row>
    <row r="180" spans="2:33">
      <c r="B180" s="3531">
        <v>41161</v>
      </c>
      <c r="C180" t="s">
        <v>3535</v>
      </c>
      <c r="D180">
        <v>175</v>
      </c>
      <c r="E180" t="s">
        <v>3553</v>
      </c>
      <c r="F180" t="s">
        <v>3559</v>
      </c>
      <c r="G180">
        <v>580</v>
      </c>
      <c r="H180" s="3174">
        <v>41176</v>
      </c>
      <c r="I180" s="3530">
        <v>525</v>
      </c>
      <c r="J180" s="3530">
        <v>29849</v>
      </c>
      <c r="AA180" s="3174"/>
      <c r="AG180" s="3174"/>
    </row>
    <row r="181" spans="2:33">
      <c r="B181" s="3531">
        <v>40979</v>
      </c>
      <c r="C181" t="s">
        <v>3531</v>
      </c>
      <c r="D181">
        <v>94</v>
      </c>
      <c r="E181" t="s">
        <v>3553</v>
      </c>
      <c r="F181" t="s">
        <v>3528</v>
      </c>
      <c r="G181">
        <v>320</v>
      </c>
      <c r="H181" s="3174">
        <v>40981</v>
      </c>
      <c r="I181" s="3530">
        <v>308</v>
      </c>
      <c r="J181" s="3530">
        <v>32545</v>
      </c>
      <c r="AA181" s="3174"/>
      <c r="AG181" s="3174"/>
    </row>
    <row r="182" spans="2:33">
      <c r="B182" s="3531">
        <v>40948</v>
      </c>
      <c r="C182" t="s">
        <v>3529</v>
      </c>
      <c r="D182">
        <v>210</v>
      </c>
      <c r="E182" t="s">
        <v>3553</v>
      </c>
      <c r="F182" t="s">
        <v>3528</v>
      </c>
      <c r="G182">
        <v>570</v>
      </c>
      <c r="H182" s="3174">
        <v>40956</v>
      </c>
      <c r="I182" s="3530">
        <v>570</v>
      </c>
      <c r="J182" s="3530">
        <v>27093</v>
      </c>
      <c r="AA182" s="3174"/>
      <c r="AG182" s="3174"/>
    </row>
    <row r="183" spans="2:33">
      <c r="B183" s="3531">
        <v>40812</v>
      </c>
      <c r="C183" t="s">
        <v>3539</v>
      </c>
      <c r="D183">
        <v>98</v>
      </c>
      <c r="E183" t="s">
        <v>3555</v>
      </c>
      <c r="F183" t="s">
        <v>3533</v>
      </c>
      <c r="G183">
        <v>320</v>
      </c>
      <c r="H183" s="3174">
        <v>40813</v>
      </c>
      <c r="I183" s="3530">
        <v>315</v>
      </c>
      <c r="J183" s="3530">
        <v>31928</v>
      </c>
      <c r="AA183" s="3174"/>
      <c r="AG183" s="3174"/>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27" t="s">
        <v>2839</v>
      </c>
      <c r="B1" s="3527"/>
      <c r="C1" s="3527"/>
      <c r="D1" s="3527"/>
      <c r="E1" s="3527"/>
      <c r="F1" s="3527"/>
      <c r="G1" s="3528"/>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25"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26"/>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46014</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09" t="str">
        <f>IF(项目基本情况!B9="房地产市场价值","估价结果一览表","结果表-2")</f>
        <v>估价结果一览表</v>
      </c>
      <c r="B1" s="3209"/>
      <c r="C1" s="3209"/>
      <c r="D1" s="3209"/>
      <c r="E1" s="3209"/>
      <c r="F1" s="3209"/>
      <c r="G1" s="3209"/>
      <c r="H1" s="3209"/>
      <c r="I1" s="3209"/>
    </row>
    <row r="2" spans="1:9" ht="30" customHeight="1" thickTop="1">
      <c r="A2" s="3210" t="s">
        <v>928</v>
      </c>
      <c r="B2" s="3210" t="s">
        <v>929</v>
      </c>
      <c r="C2" s="3210" t="s">
        <v>930</v>
      </c>
      <c r="D2" s="3210" t="str">
        <f>结果表!D116</f>
        <v>出让国有建设用地使用权价值</v>
      </c>
      <c r="E2" s="3210"/>
      <c r="F2" s="3210" t="str">
        <f>结果表!F116</f>
        <v>在建建筑物价值</v>
      </c>
      <c r="G2" s="3210"/>
      <c r="H2" s="3210" t="str">
        <f>IF(项目基本情况!B9="房地产市场价值","房地产市场价值","房地产价值")</f>
        <v>房地产市场价值</v>
      </c>
      <c r="I2" s="3210"/>
    </row>
    <row r="3" spans="1:9" ht="15">
      <c r="A3" s="3205"/>
      <c r="B3" s="3205"/>
      <c r="C3" s="3205"/>
      <c r="D3" s="801" t="s">
        <v>925</v>
      </c>
      <c r="E3" s="801" t="s">
        <v>931</v>
      </c>
      <c r="F3" s="801" t="s">
        <v>925</v>
      </c>
      <c r="G3" s="801" t="s">
        <v>926</v>
      </c>
      <c r="H3" s="801" t="s">
        <v>925</v>
      </c>
      <c r="I3" s="801" t="s">
        <v>926</v>
      </c>
    </row>
    <row r="4" spans="1:9" ht="15">
      <c r="A4" s="1403" t="str">
        <f>项目基本情况!S2</f>
        <v>北京市房地产</v>
      </c>
      <c r="B4" s="801">
        <f>项目基本情况!C17</f>
        <v>184.46</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05" t="s">
        <v>927</v>
      </c>
      <c r="B5" s="3205"/>
      <c r="C5" s="3205"/>
      <c r="D5" s="3205" t="e">
        <f ca="1">结果表!D119</f>
        <v>#REF!</v>
      </c>
      <c r="E5" s="3205"/>
      <c r="F5" s="3205" t="e">
        <f ca="1">结果表!F119</f>
        <v>#REF!</v>
      </c>
      <c r="G5" s="3205"/>
      <c r="H5" s="3205" t="e">
        <f ca="1">结果表!H119</f>
        <v>#REF!</v>
      </c>
      <c r="I5" s="3205"/>
    </row>
    <row r="6" spans="1:9" ht="15.75">
      <c r="A6" s="3204" t="str">
        <f>结果表!A120</f>
        <v/>
      </c>
      <c r="B6" s="3204"/>
      <c r="C6" s="3204"/>
      <c r="D6" s="3204">
        <f>结果表!D120</f>
        <v>0</v>
      </c>
      <c r="E6" s="3204"/>
      <c r="F6" s="3204"/>
      <c r="G6" s="3204"/>
      <c r="H6" s="3204"/>
      <c r="I6" s="3204"/>
    </row>
    <row r="7" spans="1:9" ht="15">
      <c r="A7" s="3205" t="s">
        <v>927</v>
      </c>
      <c r="B7" s="3205"/>
      <c r="C7" s="3205"/>
      <c r="D7" s="3206" t="str">
        <f>结果表!D121</f>
        <v>零元整</v>
      </c>
      <c r="E7" s="3207"/>
      <c r="F7" s="3207"/>
      <c r="G7" s="3207"/>
      <c r="H7" s="3207"/>
      <c r="I7" s="3208"/>
    </row>
    <row r="8" spans="1:9" ht="15.75">
      <c r="A8" s="3204" t="str">
        <f>结果表!A122</f>
        <v/>
      </c>
      <c r="B8" s="3204"/>
      <c r="C8" s="3204"/>
      <c r="D8" s="3204" t="e">
        <f ca="1">结果表!D122</f>
        <v>#REF!</v>
      </c>
      <c r="E8" s="3204"/>
      <c r="F8" s="3204"/>
      <c r="G8" s="3204"/>
      <c r="H8" s="3204"/>
      <c r="I8" s="3204"/>
    </row>
    <row r="9" spans="1:9" ht="15">
      <c r="A9" s="3205" t="s">
        <v>927</v>
      </c>
      <c r="B9" s="3205"/>
      <c r="C9" s="3205"/>
      <c r="D9" s="3205" t="e">
        <f ca="1">结果表!D123</f>
        <v>#REF!</v>
      </c>
      <c r="E9" s="3205"/>
      <c r="F9" s="3205"/>
      <c r="G9" s="3205"/>
      <c r="H9" s="3205"/>
      <c r="I9" s="3205"/>
    </row>
    <row r="10" spans="1:9" ht="15.75">
      <c r="A10" s="3204" t="str">
        <f>结果表!A124</f>
        <v/>
      </c>
      <c r="B10" s="3204"/>
      <c r="C10" s="3204"/>
      <c r="D10" s="3204" t="str">
        <f>结果表!D124</f>
        <v>——</v>
      </c>
      <c r="E10" s="3204"/>
      <c r="F10" s="3204"/>
      <c r="G10" s="3204"/>
      <c r="H10" s="3204"/>
      <c r="I10" s="3204"/>
    </row>
    <row r="11" spans="1:9" ht="15">
      <c r="A11" s="3205" t="s">
        <v>927</v>
      </c>
      <c r="B11" s="3205"/>
      <c r="C11" s="3205"/>
      <c r="D11" s="3205" t="e">
        <f>结果表!D125</f>
        <v>#VALUE!</v>
      </c>
      <c r="E11" s="3205"/>
      <c r="F11" s="3205"/>
      <c r="G11" s="3205"/>
      <c r="H11" s="3205"/>
      <c r="I11" s="3205"/>
    </row>
    <row r="12" spans="1:9" ht="15.75">
      <c r="A12" s="3204" t="str">
        <f>结果表!A126</f>
        <v/>
      </c>
      <c r="B12" s="3204"/>
      <c r="C12" s="3204"/>
      <c r="D12" s="3204" t="str">
        <f>结果表!D126</f>
        <v>——</v>
      </c>
      <c r="E12" s="3204"/>
      <c r="F12" s="3204"/>
      <c r="G12" s="3204"/>
      <c r="H12" s="3204"/>
      <c r="I12" s="3204"/>
    </row>
    <row r="13" spans="1:9" ht="15.75" thickBot="1">
      <c r="A13" s="3202" t="s">
        <v>927</v>
      </c>
      <c r="B13" s="3202"/>
      <c r="C13" s="3202"/>
      <c r="D13" s="3202" t="e">
        <f>结果表!D127</f>
        <v>#VALUE!</v>
      </c>
      <c r="E13" s="3202"/>
      <c r="F13" s="3202"/>
      <c r="G13" s="3202"/>
      <c r="H13" s="3202"/>
      <c r="I13" s="3202"/>
    </row>
    <row r="14" spans="1:9" ht="15" thickTop="1">
      <c r="A14" s="3203" t="s">
        <v>932</v>
      </c>
      <c r="B14" s="3203"/>
      <c r="C14" s="3203"/>
      <c r="D14" s="3203"/>
      <c r="E14" s="3203"/>
      <c r="F14" s="3203"/>
      <c r="G14" s="3203"/>
      <c r="H14" s="3203"/>
      <c r="I14" s="3203"/>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17" t="s">
        <v>949</v>
      </c>
      <c r="B1" s="3217"/>
      <c r="C1" s="3217"/>
      <c r="D1" s="3217"/>
    </row>
    <row r="2" spans="1:4" ht="18">
      <c r="A2" s="3218" t="s">
        <v>933</v>
      </c>
      <c r="B2" s="3218"/>
      <c r="C2" s="3218"/>
      <c r="D2" s="3218"/>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18" t="s">
        <v>939</v>
      </c>
      <c r="B6" s="3218"/>
      <c r="C6" s="3218"/>
      <c r="D6" s="3218"/>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19" t="s">
        <v>942</v>
      </c>
      <c r="B11" s="3211"/>
      <c r="C11" s="3211"/>
      <c r="D11" s="3211"/>
    </row>
    <row r="12" spans="1:4" ht="15.75">
      <c r="A12" s="321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16"/>
      <c r="C12" s="3216"/>
      <c r="D12" s="3216"/>
    </row>
    <row r="13" spans="1:4" ht="30" customHeight="1">
      <c r="A13" s="3211" t="str">
        <f>IF(项目基本情况!B8="抵押","3.抵押双方在办理抵押登记手续时，应使用本公司出具的正式《房地产评估报告》，特提醒报告使用者注意。","——")</f>
        <v>——</v>
      </c>
      <c r="B13" s="3216"/>
      <c r="C13" s="3216"/>
      <c r="D13" s="3216"/>
    </row>
    <row r="14" spans="1:4" ht="15.75" customHeight="1">
      <c r="A14" s="3211" t="str">
        <f>IF(项目基本情况!B8="抵押","4.本次评估估价师所知悉的法定优先受偿款情况说明如下：","——")</f>
        <v>——</v>
      </c>
      <c r="B14" s="3216"/>
      <c r="C14" s="3216"/>
      <c r="D14" s="3216"/>
    </row>
    <row r="15" spans="1:4" ht="42" customHeight="1">
      <c r="A15" s="3211" t="str">
        <f>IF(项目基本情况!B8="抵押","（1）"&amp;CONCATENATE(项目基本情况!L20,项目基本情况!L21,项目基本情况!L22),"——")</f>
        <v>——</v>
      </c>
      <c r="B15" s="3211"/>
      <c r="C15" s="3211"/>
      <c r="D15" s="3211"/>
    </row>
    <row r="16" spans="1:4" ht="30" customHeight="1">
      <c r="A16" s="3213" t="s">
        <v>943</v>
      </c>
      <c r="B16" s="3213"/>
      <c r="C16" s="3213"/>
      <c r="D16" s="3213"/>
    </row>
    <row r="17" spans="1:4" ht="144" customHeight="1">
      <c r="A17" s="3213" t="s">
        <v>944</v>
      </c>
      <c r="B17" s="3213"/>
      <c r="C17" s="3213"/>
      <c r="D17" s="3213"/>
    </row>
    <row r="18" spans="1:4" ht="15.75" customHeight="1">
      <c r="A18" s="3211" t="str">
        <f>IF(项目基本情况!B8="抵押",结果表!K120,"——")</f>
        <v>——</v>
      </c>
      <c r="B18" s="3211"/>
      <c r="C18" s="3211"/>
      <c r="D18" s="3211"/>
    </row>
    <row r="19" spans="1:4" ht="46.5" customHeight="1">
      <c r="A19" s="321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11"/>
      <c r="C19" s="3211"/>
      <c r="D19" s="3211"/>
    </row>
    <row r="20" spans="1:4" ht="57.75" customHeight="1">
      <c r="A20" s="321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1"/>
      <c r="C20" s="3211"/>
      <c r="D20" s="3211"/>
    </row>
    <row r="21" spans="1:4" ht="57.75" customHeight="1">
      <c r="A21" s="32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4"/>
      <c r="C21" s="3214"/>
      <c r="D21" s="3214"/>
    </row>
    <row r="22" spans="1:4" ht="18.75" customHeight="1">
      <c r="A22" s="3215" t="s">
        <v>945</v>
      </c>
      <c r="B22" s="3215"/>
      <c r="C22" s="3215"/>
      <c r="D22" s="3215"/>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12">
        <v>42551</v>
      </c>
      <c r="D31" s="321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25" t="s">
        <v>956</v>
      </c>
      <c r="B15" s="3220" t="s">
        <v>109</v>
      </c>
      <c r="C15" s="3221"/>
    </row>
    <row r="16" spans="1:7" ht="13.5">
      <c r="A16" s="3226"/>
      <c r="B16" s="3220" t="s">
        <v>42</v>
      </c>
      <c r="C16" s="3221"/>
    </row>
    <row r="17" spans="1:3" ht="13.5">
      <c r="A17" s="3226"/>
      <c r="B17" s="3223" t="s">
        <v>957</v>
      </c>
      <c r="C17" s="1429" t="s">
        <v>956</v>
      </c>
    </row>
    <row r="18" spans="1:3" ht="13.5">
      <c r="A18" s="3226"/>
      <c r="B18" s="3223"/>
      <c r="C18" s="1429" t="s">
        <v>958</v>
      </c>
    </row>
    <row r="19" spans="1:3" ht="13.5">
      <c r="A19" s="3226"/>
      <c r="B19" s="3223"/>
      <c r="C19" s="1429" t="s">
        <v>959</v>
      </c>
    </row>
    <row r="20" spans="1:3" ht="13.5">
      <c r="A20" s="3227"/>
      <c r="B20" s="3222" t="s">
        <v>960</v>
      </c>
      <c r="C20" s="3221"/>
    </row>
    <row r="21" spans="1:3" ht="13.5">
      <c r="A21" s="1430" t="s">
        <v>961</v>
      </c>
      <c r="B21" s="1431"/>
      <c r="C21" s="1432"/>
    </row>
    <row r="22" spans="1:3" ht="13.5">
      <c r="A22" s="3224" t="s">
        <v>962</v>
      </c>
      <c r="B22" s="3222" t="s">
        <v>963</v>
      </c>
      <c r="C22" s="3221"/>
    </row>
    <row r="23" spans="1:3" ht="13.5">
      <c r="A23" s="3224"/>
      <c r="B23" s="3222" t="s">
        <v>964</v>
      </c>
      <c r="C23" s="3221"/>
    </row>
    <row r="24" spans="1:3" ht="13.5">
      <c r="A24" s="3224"/>
      <c r="B24" s="3222" t="s">
        <v>965</v>
      </c>
      <c r="C24" s="3221"/>
    </row>
    <row r="25" spans="1:3" ht="13.5">
      <c r="A25" s="3224"/>
      <c r="B25" s="3223" t="s">
        <v>966</v>
      </c>
      <c r="C25" s="1429" t="s">
        <v>967</v>
      </c>
    </row>
    <row r="26" spans="1:3" ht="13.5">
      <c r="A26" s="3224"/>
      <c r="B26" s="3223"/>
      <c r="C26" s="1429" t="s">
        <v>968</v>
      </c>
    </row>
    <row r="27" spans="1:3" ht="13.5">
      <c r="A27" s="3224"/>
      <c r="B27" s="3223"/>
      <c r="C27" s="1429" t="s">
        <v>969</v>
      </c>
    </row>
    <row r="28" spans="1:3" ht="13.5">
      <c r="A28" s="3224"/>
      <c r="B28" s="3223"/>
      <c r="C28" s="1429" t="s">
        <v>970</v>
      </c>
    </row>
    <row r="29" spans="1:3" ht="13.5">
      <c r="A29" s="3224"/>
      <c r="B29" s="3223"/>
      <c r="C29" s="1429" t="s">
        <v>971</v>
      </c>
    </row>
    <row r="30" spans="1:3" ht="13.5">
      <c r="A30" s="3224"/>
      <c r="B30" s="3223"/>
      <c r="C30" s="1429" t="s">
        <v>972</v>
      </c>
    </row>
    <row r="31" spans="1:3" ht="13.5">
      <c r="A31" s="3224"/>
      <c r="B31" s="3223"/>
      <c r="C31" s="1429" t="s">
        <v>973</v>
      </c>
    </row>
    <row r="32" spans="1:3" ht="13.5">
      <c r="A32" s="3224"/>
      <c r="B32" s="3223"/>
      <c r="C32" s="1429" t="s">
        <v>974</v>
      </c>
    </row>
    <row r="33" spans="1:3" ht="13.5">
      <c r="A33" s="3224"/>
      <c r="B33" s="3223"/>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46036</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28" t="s">
        <v>2160</v>
      </c>
      <c r="B17" s="3228"/>
      <c r="C17" s="3228"/>
      <c r="D17" s="3228"/>
      <c r="E17" s="3228"/>
      <c r="F17" s="3228"/>
      <c r="G17" s="3228"/>
      <c r="H17" s="3228"/>
    </row>
    <row r="18" spans="1:8" ht="24" customHeight="1">
      <c r="A18" s="3229" t="s">
        <v>2161</v>
      </c>
      <c r="B18" s="3229"/>
      <c r="C18" s="3229"/>
      <c r="D18" s="2158"/>
      <c r="E18" s="3230" t="s">
        <v>2162</v>
      </c>
      <c r="F18" s="3229"/>
      <c r="G18" s="3229"/>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171</vt:i4>
      </vt:variant>
    </vt:vector>
  </HeadingPairs>
  <TitlesOfParts>
    <vt:vector size="21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成交案例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2026-01-14T02:57:55Z</dcterms:modified>
</cp:coreProperties>
</file>