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480" yWindow="345" windowWidth="17280" windowHeight="882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r:id="rId19"/>
    <sheet name="剩余法住宅" sheetId="12" state="hidden" r:id="rId20"/>
    <sheet name="剩余法商业" sheetId="70" r:id="rId21"/>
    <sheet name="剩余法办公" sheetId="69" r:id="rId22"/>
    <sheet name="剩余法-现房" sheetId="43" state="hidden" r:id="rId23"/>
    <sheet name="比较法-住宅" sheetId="39" state="hidden" r:id="rId24"/>
    <sheet name="比较法-工业" sheetId="40" state="hidden" r:id="rId25"/>
    <sheet name="基准地价住宅" sheetId="46" state="hidden" r:id="rId26"/>
    <sheet name="修正" sheetId="49" state="hidden" r:id="rId27"/>
    <sheet name="区片价" sheetId="48" state="hidden" r:id="rId28"/>
    <sheet name="容积率修正" sheetId="45" state="hidden" r:id="rId29"/>
    <sheet name="因素修正幅度" sheetId="56" state="hidden" r:id="rId30"/>
    <sheet name="基准地价商业" sheetId="71" r:id="rId31"/>
    <sheet name="基准地价办公" sheetId="72"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不动产比较法-住宅" sheetId="21" state="hidden" r:id="rId38"/>
    <sheet name="住宅案例截图及地图" sheetId="74" state="hidden" r:id="rId39"/>
    <sheet name="不动产比较法-商业" sheetId="33" r:id="rId40"/>
    <sheet name="商业案例截图及地图" sheetId="75" r:id="rId41"/>
    <sheet name="不动产比较法-办公" sheetId="34" r:id="rId42"/>
    <sheet name="办公案例截图及地图" sheetId="76" r:id="rId43"/>
    <sheet name="不动产收益法商业" sheetId="15" r:id="rId44"/>
    <sheet name="不动产收益法办公" sheetId="77" r:id="rId45"/>
    <sheet name="土地级别" sheetId="78"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s>
  <externalReferences>
    <externalReference r:id="rId52"/>
  </externalReferences>
  <definedNames>
    <definedName name="_xlnm._FilterDatabase" localSheetId="24" hidden="1">'比较法-工业'!$A$1:$L$45</definedName>
    <definedName name="_xlnm._FilterDatabase" localSheetId="23" hidden="1">'比较法-住宅'!$A$1:$L$50</definedName>
    <definedName name="_xlnm._FilterDatabase" localSheetId="41"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39"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3">'比较法-住宅'!$A$1:$K$67,'比较法-住宅'!$A$71:$N$134</definedName>
    <definedName name="_xlnm.Print_Area" localSheetId="41">'不动产比较法-办公'!$A$1:$K$55,'不动产比较法-办公'!$A$58:$M$132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39">'不动产比较法-商业'!$A$1:$K$54,'不动产比较法-商业'!$A$57:$M$131</definedName>
    <definedName name="_xlnm.Print_Area" localSheetId="37">'不动产比较法-住宅'!$A$1:$K$54,'不动产比较法-住宅'!$A$57:$M$131</definedName>
    <definedName name="_xlnm.Print_Area" localSheetId="44">不动产收益法办公!$A$1:$F$43,不动产收益法办公!$H$3:$M$29,不动产收益法办公!$A$46:$F$70,不动产收益法办公!$I$46:$M$60</definedName>
    <definedName name="_xlnm.Print_Area" localSheetId="4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31">基准地价办公!$A$1:$J$41,基准地价办公!$A$44:$N$87,基准地价办公!$R$1:$V$16</definedName>
    <definedName name="_xlnm.Print_Area" localSheetId="30">基准地价商业!$A$1:$J$41,基准地价商业!$A$44:$N$87,基准地价商业!$R$1:$V$16</definedName>
    <definedName name="_xlnm.Print_Area" localSheetId="25">基准地价住宅!$A$1:$J$41,基准地价住宅!$A$44:$N$87,基准地价住宅!$R$1:$V$16</definedName>
    <definedName name="_xlnm.Print_Area" localSheetId="18">结果表!$A$1:$I$46,结果表!$K$25:$O$44,结果表!$A$62:$I$115,结果表!$K$64:$P$81</definedName>
    <definedName name="_xlnm.Print_Area" localSheetId="21">剩余法办公!$A$1:$K$36</definedName>
    <definedName name="_xlnm.Print_Area" localSheetId="20">剩余法商业!$A$1:$K$36</definedName>
    <definedName name="_xlnm.Print_Area" localSheetId="22">'剩余法-现房'!$A$1:$K$32</definedName>
    <definedName name="_xlnm.Print_Area" localSheetId="19">剩余法住宅!$A$1:$K$36</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5">'[1]不动产比较法-办公'!$B$119:$M$119</definedName>
    <definedName name="办公层高">'不动产比较法-办公'!$B$119:$M$119</definedName>
    <definedName name="办公朝向" localSheetId="45">'[1]不动产比较法-办公'!$B$91:$M$91</definedName>
    <definedName name="办公朝向">'不动产比较法-办公'!$B$91:$M$91</definedName>
    <definedName name="办公道路级别" localSheetId="45">'[1]不动产比较法-办公'!$B$87:$M$87</definedName>
    <definedName name="办公道路级别">'不动产比较法-办公'!$B$87:$M$87</definedName>
    <definedName name="办公公共部分装修" localSheetId="45">'[1]不动产比较法-办公'!$B$108:$M$108</definedName>
    <definedName name="办公公共部分装修">'不动产比较法-办公'!$B$108:$M$108</definedName>
    <definedName name="办公基础设施水平" localSheetId="45">'[1]不动产比较法-办公'!$B$117:$M$117</definedName>
    <definedName name="办公基础设施水平">'不动产比较法-办公'!$B$117:$M$117</definedName>
    <definedName name="办公集聚程度" localSheetId="45">[1]定义!$M$1:$M$6</definedName>
    <definedName name="办公集聚程度">定义!$M$1:$M$6</definedName>
    <definedName name="办公建筑结构" localSheetId="45">'[1]不动产比较法-办公'!$B$106:$M$106</definedName>
    <definedName name="办公建筑结构">'不动产比较法-办公'!$B$106:$M$106</definedName>
    <definedName name="办公建筑类型" localSheetId="45">'[1]不动产比较法-办公'!$B$101:$M$101</definedName>
    <definedName name="办公建筑类型">'不动产比较法-办公'!$B$101:$M$101</definedName>
    <definedName name="办公交易情况" localSheetId="45">'[1]不动产比较法-办公'!$A$62:$M$62</definedName>
    <definedName name="办公交易情况">'不动产比较法-办公'!$A$62:$M$62</definedName>
    <definedName name="办公楼层" localSheetId="45">'[1]不动产比较法-办公'!$B$89:$M$89</definedName>
    <definedName name="办公楼层">'不动产比较法-办公'!$B$89:$M$89</definedName>
    <definedName name="办公内部装修" localSheetId="45">'[1]不动产比较法-办公'!$B$123:$M$123</definedName>
    <definedName name="办公内部装修">'不动产比较法-办公'!$B$123:$M$123</definedName>
    <definedName name="办公物业管理" localSheetId="45">'[1]不动产比较法-办公'!$B$115:$M$115</definedName>
    <definedName name="办公物业管理">'不动产比较法-办公'!$B$115:$M$115</definedName>
    <definedName name="办公用途" localSheetId="45">'[1]不动产比较法-办公'!$B$64:$M$64</definedName>
    <definedName name="办公用途">'不动产比较法-办公'!$B$64:$M$64</definedName>
    <definedName name="仓储公共部分装修" localSheetId="45">'[1]不动产比较法-仓储'!$B$77:$M$77</definedName>
    <definedName name="仓储公共部分装修">'不动产比较法-仓储'!$B$77:$M$77</definedName>
    <definedName name="仓储交易情况" localSheetId="45">'[1]不动产比较法-仓储'!$A$49:$M$49</definedName>
    <definedName name="仓储交易情况">'不动产比较法-仓储'!$A$49:$M$49</definedName>
    <definedName name="仓储楼层" localSheetId="45">'[1]不动产比较法-仓储'!$B$69:$M$69</definedName>
    <definedName name="仓储楼层">'不动产比较法-仓储'!$B$69:$M$69</definedName>
    <definedName name="仓储物业等级" localSheetId="45">'[1]不动产比较法-仓储'!$B$82:$M$82</definedName>
    <definedName name="仓储物业等级">'不动产比较法-仓储'!$B$82:$M$82</definedName>
    <definedName name="仓储用途" localSheetId="45">'[1]不动产比较法-仓储'!$B$51:$M$51</definedName>
    <definedName name="仓储用途">'不动产比较法-仓储'!$B$51:$M$51</definedName>
    <definedName name="产业集聚程度" localSheetId="45">[1]定义!$N$1:$N$6</definedName>
    <definedName name="产业集聚程度">定义!$N$1:$N$6</definedName>
    <definedName name="车位公共部分装修" localSheetId="45">'[1]不动产比较法-车位'!$B$83:$M$83</definedName>
    <definedName name="车位公共部分装修">'不动产比较法-车位'!$B$83:$M$83</definedName>
    <definedName name="车位交易情况" localSheetId="45">'[1]不动产比较法-车位'!$A$51:$M$51</definedName>
    <definedName name="车位交易情况">'不动产比较法-车位'!$A$51:$M$51</definedName>
    <definedName name="车位类型" localSheetId="45">'[1]不动产比较法-车位'!$B$93:$M$93</definedName>
    <definedName name="车位类型">'不动产比较法-车位'!$B$93:$M$93</definedName>
    <definedName name="车位楼层" localSheetId="45">'[1]不动产比较法-车位'!$B$71:$M$71</definedName>
    <definedName name="车位楼层">'不动产比较法-车位'!$B$71:$M$71</definedName>
    <definedName name="车位配套类型" localSheetId="45">'[1]不动产比较法-车位'!$B$79:$M$79</definedName>
    <definedName name="车位配套类型">'不动产比较法-车位'!$B$79:$M$79</definedName>
    <definedName name="车位物业等级" localSheetId="45">'[1]不动产比较法-车位'!$B$88:$M$88</definedName>
    <definedName name="车位物业等级">'不动产比较法-车位'!$B$88:$M$88</definedName>
    <definedName name="车位用途" localSheetId="45">'[1]不动产比较法-车位'!$B$53:$M$53</definedName>
    <definedName name="车位用途">'不动产比较法-车位'!$B$53:$M$53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区片价!$J$1:$J$20</definedName>
    <definedName name="二级分类" localSheetId="45">[1]修正!$C$17:$C$39</definedName>
    <definedName name="二级分类">修正!$C$17:$C$39</definedName>
    <definedName name="法定最高年限" localSheetId="45">[1]定义!$G$2:$G$4</definedName>
    <definedName name="法定最高年限">定义!$G$2:$G$4</definedName>
    <definedName name="工业公共部分装修" localSheetId="45">'[1]不动产比较法-工业'!$B$95:$M$95</definedName>
    <definedName name="工业公共部分装修">'不动产比较法-工业'!$B$95:$M$95</definedName>
    <definedName name="工业基础设施水平" localSheetId="45">'[1]不动产比较法-工业'!$B$102:$M$102</definedName>
    <definedName name="工业基础设施水平">'不动产比较法-工业'!$B$102:$M$102</definedName>
    <definedName name="工业建筑结构" localSheetId="45">'[1]不动产比较法-工业'!$B$93:$M$93</definedName>
    <definedName name="工业建筑结构">'不动产比较法-工业'!$B$93:$M$93</definedName>
    <definedName name="工业建筑类型" localSheetId="45">'[1]不动产比较法-工业'!$B$88:$M$88</definedName>
    <definedName name="工业建筑类型">'不动产比较法-工业'!$B$88:$M$88</definedName>
    <definedName name="工业交易情况" localSheetId="45">'[1]不动产比较法-工业'!$A$55:$M$55</definedName>
    <definedName name="工业交易情况">'不动产比较法-工业'!$A$55:$M$55</definedName>
    <definedName name="工业内部装修" localSheetId="45">'[1]不动产比较法-工业'!$B$104:$M$104</definedName>
    <definedName name="工业内部装修">'不动产比较法-工业'!$B$104:$M$104</definedName>
    <definedName name="工业物业管理" localSheetId="45">'[1]不动产比较法-工业'!$B$100:$M$100</definedName>
    <definedName name="工业物业管理">'不动产比较法-工业'!$B$100:$M$100</definedName>
    <definedName name="工业用途" localSheetId="45">'[1]不动产比较法-工业'!$B$57:$M$57</definedName>
    <definedName name="工业用途">'不动产比较法-工业'!$B$57:$M$57</definedName>
    <definedName name="公共配套设施" localSheetId="45">[1]定义!$Q$1:$Q$6</definedName>
    <definedName name="公共配套设施">定义!$Q$1:$Q$6</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31">基准地价办公!$N$19:$AB$19</definedName>
    <definedName name="季度" localSheetId="30">基准地价商业!$N$19:$AB$19</definedName>
    <definedName name="季度">基准地价住宅!$N$19:$AB$19</definedName>
    <definedName name="季度2014">地价!$A$2:$A$34</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区片价!$Q$1:$Q$46</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区片价!$N$1:$N$49</definedName>
    <definedName name="内部装修维护情况" localSheetId="45">[1]定义!$U$1:$U$6</definedName>
    <definedName name="内部装修维护情况">定义!$U$1:$U$6</definedName>
    <definedName name="判定" localSheetId="45">[1]定义!$D$1:$D$4</definedName>
    <definedName name="判定">定义!$D$1:$D$4</definedName>
    <definedName name="七级">区片价!$O$1:$O$49</definedName>
    <definedName name="七通一平" localSheetId="45">[1]修正!$A$6:$A$14</definedName>
    <definedName name="七通一平">修正!$A$6:$A$14</definedName>
    <definedName name="区域土地利用方向" localSheetId="45">[1]定义!$P$1:$P$6</definedName>
    <definedName name="区域土地利用方向">定义!$P$1:$P$6</definedName>
    <definedName name="三级">区片价!$K$1:$K$21</definedName>
    <definedName name="商业层高" localSheetId="45">'[1]不动产比较法-商业'!$B$116:$M$116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定义!$L$1:$L$6</definedName>
    <definedName name="商业公共部分装修" localSheetId="45">'[1]不动产比较法-商业'!$B$107:$M$107</definedName>
    <definedName name="商业公共部分装修">'不动产比较法-商业'!$B$107:$M$107</definedName>
    <definedName name="商业基础设施水平" localSheetId="45">'[1]不动产比较法-商业'!$B$112:$M$112</definedName>
    <definedName name="商业基础设施水平">'不动产比较法-商业'!$B$112:$M$112</definedName>
    <definedName name="商业建筑结构" localSheetId="45">'[1]不动产比较法-商业'!$B$105:$M$105</definedName>
    <definedName name="商业建筑结构">'不动产比较法-商业'!$B$105:$M$105</definedName>
    <definedName name="商业交易情况" localSheetId="45">'[1]不动产比较法-商业'!$A$61:$M$61</definedName>
    <definedName name="商业交易情况">'不动产比较法-商业'!$A$61:$M$61</definedName>
    <definedName name="商业街名称" localSheetId="45">[1]修正!$C$59:$C$119</definedName>
    <definedName name="商业街名称">修正!$C$59:$C$119</definedName>
    <definedName name="商业进深比" localSheetId="45">'[1]不动产比较法-商业'!$B$120:$M$120</definedName>
    <definedName name="商业进深比">'不动产比较法-商业'!$B$120:$M$120</definedName>
    <definedName name="商业类型" localSheetId="45">'[1]不动产比较法-商业'!$B$100:$M$100</definedName>
    <definedName name="商业类型">'不动产比较法-商业'!$B$100:$M$100</definedName>
    <definedName name="商业临街状况" localSheetId="45">'[1]不动产比较法-商业'!$B$86:$M$86</definedName>
    <definedName name="商业临街状况">'不动产比较法-商业'!$B$86:$M$86</definedName>
    <definedName name="商业楼层" localSheetId="45">'[1]不动产比较法-商业'!$B$92:$M$92</definedName>
    <definedName name="商业楼层">'不动产比较法-商业'!$B$92:$M$92</definedName>
    <definedName name="商业内部装修" localSheetId="45">'[1]不动产比较法-商业'!$B$122:$M$122</definedName>
    <definedName name="商业内部装修">'不动产比较法-商业'!$B$122:$M$122</definedName>
    <definedName name="商业人流量" localSheetId="45">'[1]不动产比较法-商业'!$B$90:$M$90</definedName>
    <definedName name="商业人流量">'不动产比较法-商业'!$B$90:$M$90</definedName>
    <definedName name="商业业态" localSheetId="45">'[1]不动产比较法-商业'!$B$114:$M$114</definedName>
    <definedName name="商业业态">'不动产比较法-商业'!$B$114:$M$114</definedName>
    <definedName name="商业用途" localSheetId="4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'不动产比较法-仓储'!$B$89:$M$89</definedName>
    <definedName name="是否直接入户" localSheetId="45">'[1]不动产比较法-车位'!$B$95:$M$95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'比较法-工业'!$B$116:$M$116</definedName>
    <definedName name="套工交易情况" localSheetId="45">'[1]比较法-住宅'!$A$75:$M$75</definedName>
    <definedName name="套工交易情况">'比较法-住宅'!$A$75:$M$75</definedName>
    <definedName name="套工开发程度" localSheetId="45">'[1]比较法-工业'!$B$114:$M$114</definedName>
    <definedName name="套工开发程度">'比较法-工业'!$B$114:$M$114</definedName>
    <definedName name="套工临街等级" localSheetId="45">'[1]比较法-工业'!$B$99:$M$99</definedName>
    <definedName name="套工临街等级">'比较法-工业'!$B$99:$M$99</definedName>
    <definedName name="套工土地级别" localSheetId="45">'[1]比较法-工业'!$B$101:$M$101</definedName>
    <definedName name="套工土地级别">'比较法-工业'!$B$101:$M$101</definedName>
    <definedName name="套工用途" localSheetId="45">'[1]比较法-工业'!$B$72:$M$72</definedName>
    <definedName name="套工用途">'比较法-工业'!$B$72:$M$72</definedName>
    <definedName name="套工宗地形状" localSheetId="45">'[1]比较法-工业'!$B$112:$M$112</definedName>
    <definedName name="套工宗地形状">'比较法-工业'!$B$112:$M$112</definedName>
    <definedName name="套综道路等级" localSheetId="45">'[1]比较法-住宅'!$B$108:$M$108</definedName>
    <definedName name="套综道路等级">'比较法-住宅'!$B$108:$M$108</definedName>
    <definedName name="套综工程地质条件" localSheetId="45">'[1]比较法-住宅'!$B$127:$M$127</definedName>
    <definedName name="套综工程地质条件">'比较法-住宅'!$B$127:$M$127</definedName>
    <definedName name="套综交易情况" localSheetId="45">'[1]比较法-住宅'!$A$75:$M$75</definedName>
    <definedName name="套综交易情况">'比较法-住宅'!$A$75:$M$75</definedName>
    <definedName name="套综临街宽度及深度" localSheetId="45">'[1]比较法-住宅'!$B$123:$M$123</definedName>
    <definedName name="套综临街宽度及深度">'比较法-住宅'!$B$123:$M$123</definedName>
    <definedName name="套综土地级别" localSheetId="45">'[1]比较法-住宅'!$B$110:$M$110</definedName>
    <definedName name="套综土地级别">'比较法-住宅'!$B$110:$M$110</definedName>
    <definedName name="套综用途" localSheetId="45">'[1]比较法-住宅'!$B$77:$M$77</definedName>
    <definedName name="套综用途">'比较法-住宅'!$B$77:$M$77</definedName>
    <definedName name="套综宗地内开发程度" localSheetId="45">'[1]比较法-住宅'!$B$125:$M$125</definedName>
    <definedName name="套综宗地内开发程度">'比较法-住宅'!$B$125:$M$125</definedName>
    <definedName name="套综宗地形状" localSheetId="45">'[1]比较法-住宅'!$B$121:$M$121</definedName>
    <definedName name="套综宗地形状">'比较法-住宅'!$B$121:$M$121</definedName>
    <definedName name="土地估价师" localSheetId="45">[1]估价师及机构信息!$D$3:$D$16</definedName>
    <definedName name="土地估价师">估价师及机构信息!$D$3:$D$16</definedName>
    <definedName name="土地级别" localSheetId="45">[1]定义!$C$1:$C$14</definedName>
    <definedName name="土地级别">定义!$C$1:$C$14</definedName>
    <definedName name="土地利用方向">定义!$P$1:$P$6</definedName>
    <definedName name="土地年限区间" localSheetId="45">[1]定义!$I$1:$I$8</definedName>
    <definedName name="土地年限区间">定义!$I$1:$I$8</definedName>
    <definedName name="位置" localSheetId="45">[1]定义!$E$2:$E$4</definedName>
    <definedName name="位置">定义!$E$2:$E$4</definedName>
    <definedName name="五等判定" localSheetId="45">[1]定义!$W$1:$W$6</definedName>
    <definedName name="五等判定">定义!$W$1:$W$6</definedName>
    <definedName name="五级">区片价!$M$1:$M$35</definedName>
    <definedName name="项目类型" localSheetId="45">'[1]数据-汇总表'!$C$17:$C$26</definedName>
    <definedName name="项目类型">'数据-汇总表'!$C$17:$C$26</definedName>
    <definedName name="写字楼等级" localSheetId="45">'[1]不动产比较法-办公'!$B$113:$M$113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类型" localSheetId="45">[1]定义!$A$1:$A$50</definedName>
    <definedName name="用途类型">定义!$A$1:$A$50</definedName>
    <definedName name="有无电梯" localSheetId="45">'[1]不动产比较法-仓储'!$B$84:$M$84</definedName>
    <definedName name="有无电梯">'不动产比较法-仓储'!$B$84:$M$84</definedName>
    <definedName name="主用途" localSheetId="45">[1]定义!$F$1:$F$10</definedName>
    <definedName name="主用途">定义!$F$1:$F$10</definedName>
    <definedName name="住宅朝向" localSheetId="45">'[1]不动产比较法-住宅'!$B$88:$M$88</definedName>
    <definedName name="住宅朝向">'不动产比较法-住宅'!$B$88:$M$88</definedName>
    <definedName name="住宅房型" localSheetId="45">'[1]不动产比较法-住宅'!$B$118:$M$118</definedName>
    <definedName name="住宅房型">'不动产比较法-住宅'!$B$118:$M$118</definedName>
    <definedName name="住宅公共部分装修" localSheetId="45">'[1]不动产比较法-住宅'!$B$109:$M$109</definedName>
    <definedName name="住宅公共部分装修">'不动产比较法-住宅'!$B$109:$M$109</definedName>
    <definedName name="住宅基础设施水平" localSheetId="45">'[1]不动产比较法-住宅'!$B$116:$M$116</definedName>
    <definedName name="住宅基础设施水平">'不动产比较法-住宅'!$B$116:$M$116</definedName>
    <definedName name="住宅建筑结构" localSheetId="45">'[1]不动产比较法-住宅'!$B$105:$M$105</definedName>
    <definedName name="住宅建筑结构">'不动产比较法-住宅'!$B$105:$M$105</definedName>
    <definedName name="住宅建筑类型" localSheetId="45">'[1]不动产比较法-住宅'!$B$100:$M$100</definedName>
    <definedName name="住宅建筑类型">'不动产比较法-住宅'!$B$100:$M$100</definedName>
    <definedName name="住宅建筑品质" localSheetId="45">'[1]不动产比较法-住宅'!$B$107:$M$107</definedName>
    <definedName name="住宅建筑品质">'不动产比较法-住宅'!$B$107:$M$107</definedName>
    <definedName name="住宅交易情况" localSheetId="45">'[1]不动产比较法-住宅'!$A$61:$M$61</definedName>
    <definedName name="住宅交易情况">'不动产比较法-住宅'!$A$61:$M$61</definedName>
    <definedName name="住宅楼层" localSheetId="45">'[1]不动产比较法-住宅'!$B$86:$M$86</definedName>
    <definedName name="住宅楼层">'不动产比较法-住宅'!$B$86:$M$86</definedName>
    <definedName name="住宅内部装修" localSheetId="45">'[1]不动产比较法-住宅'!$B$122:$M$122</definedName>
    <definedName name="住宅内部装修">'不动产比较法-住宅'!$B$122:$M$122</definedName>
    <definedName name="住宅物业管理" localSheetId="45">'[1]不动产比较法-住宅'!$B$114:$M$114</definedName>
    <definedName name="住宅物业管理">'不动产比较法-住宅'!$B$114:$M$114</definedName>
    <definedName name="住宅用途" localSheetId="45">'[1]不动产比较法-住宅'!$B$63:$M$63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2" i="68" l="1"/>
  <c r="M13" i="3" l="1"/>
  <c r="F23" i="69"/>
  <c r="F20" i="77"/>
  <c r="F24" i="69"/>
  <c r="F21" i="77" s="1"/>
  <c r="C19" i="72"/>
  <c r="F35" i="77"/>
  <c r="F35" i="15"/>
  <c r="E5" i="33"/>
  <c r="D29" i="72"/>
  <c r="E5" i="34"/>
  <c r="G5" i="33"/>
  <c r="E89" i="33"/>
  <c r="F89" i="33"/>
  <c r="G89" i="33"/>
  <c r="D89" i="33"/>
  <c r="Q73" i="77"/>
  <c r="Q60" i="77"/>
  <c r="D60" i="77"/>
  <c r="Q59" i="77"/>
  <c r="K59" i="77"/>
  <c r="P75" i="77"/>
  <c r="Q52" i="77"/>
  <c r="J50" i="77"/>
  <c r="M47" i="77"/>
  <c r="F33" i="77"/>
  <c r="F60" i="77"/>
  <c r="F23" i="77"/>
  <c r="D24" i="77"/>
  <c r="M19" i="77"/>
  <c r="F18" i="77"/>
  <c r="F17" i="77"/>
  <c r="F15" i="77"/>
  <c r="D22" i="77"/>
  <c r="P62" i="77"/>
  <c r="D23" i="77"/>
  <c r="J51" i="77"/>
  <c r="E11" i="68"/>
  <c r="E12" i="68"/>
  <c r="M14" i="3"/>
  <c r="K15" i="3"/>
  <c r="M15" i="3"/>
  <c r="D8" i="73"/>
  <c r="C8" i="73"/>
  <c r="F19" i="6"/>
  <c r="F113" i="72"/>
  <c r="N99" i="72"/>
  <c r="N108" i="72"/>
  <c r="M99" i="72"/>
  <c r="L99" i="72"/>
  <c r="L108" i="72"/>
  <c r="K99" i="72"/>
  <c r="J99" i="72"/>
  <c r="J108" i="72"/>
  <c r="I99" i="72"/>
  <c r="H99" i="72"/>
  <c r="H108" i="72"/>
  <c r="G99" i="72"/>
  <c r="F99" i="72"/>
  <c r="F108" i="72"/>
  <c r="E99" i="72"/>
  <c r="D99" i="72"/>
  <c r="D108" i="72"/>
  <c r="C99" i="72"/>
  <c r="M87" i="72"/>
  <c r="N87" i="72"/>
  <c r="K87" i="72"/>
  <c r="J87" i="72"/>
  <c r="D87" i="72"/>
  <c r="M86" i="72"/>
  <c r="N86" i="72"/>
  <c r="K86" i="72"/>
  <c r="J86" i="72"/>
  <c r="D86" i="72"/>
  <c r="M85" i="72"/>
  <c r="N85" i="72"/>
  <c r="K85" i="72"/>
  <c r="J85" i="72"/>
  <c r="D85" i="72"/>
  <c r="M84" i="72"/>
  <c r="N84" i="72"/>
  <c r="K84" i="72"/>
  <c r="J84" i="72"/>
  <c r="D84" i="72"/>
  <c r="M83" i="72"/>
  <c r="N83" i="72"/>
  <c r="K83" i="72"/>
  <c r="J83" i="72"/>
  <c r="D83" i="72"/>
  <c r="B83" i="72"/>
  <c r="N82" i="72"/>
  <c r="M82" i="72"/>
  <c r="K82" i="72"/>
  <c r="J82" i="72"/>
  <c r="D82" i="72"/>
  <c r="B82" i="72"/>
  <c r="M81" i="72"/>
  <c r="N81" i="72"/>
  <c r="K81" i="72"/>
  <c r="J81" i="72"/>
  <c r="D81" i="72"/>
  <c r="M80" i="72"/>
  <c r="N80" i="72"/>
  <c r="K80" i="72"/>
  <c r="J80" i="72"/>
  <c r="F80" i="72"/>
  <c r="H87" i="72"/>
  <c r="D80" i="72"/>
  <c r="E80" i="72"/>
  <c r="B78" i="72"/>
  <c r="N77" i="72"/>
  <c r="M77" i="72"/>
  <c r="K77" i="72"/>
  <c r="J77" i="72"/>
  <c r="D77" i="72"/>
  <c r="M76" i="72"/>
  <c r="N76" i="72"/>
  <c r="K76" i="72"/>
  <c r="J76" i="72"/>
  <c r="D76" i="72"/>
  <c r="M75" i="72"/>
  <c r="N75" i="72"/>
  <c r="K75" i="72"/>
  <c r="J75" i="72"/>
  <c r="D75" i="72"/>
  <c r="M74" i="72"/>
  <c r="N74" i="72"/>
  <c r="K74" i="72"/>
  <c r="J74" i="72"/>
  <c r="D74" i="72"/>
  <c r="M73" i="72"/>
  <c r="N73" i="72"/>
  <c r="K73" i="72"/>
  <c r="J73" i="72"/>
  <c r="D73" i="72"/>
  <c r="M72" i="72"/>
  <c r="N72" i="72"/>
  <c r="K72" i="72"/>
  <c r="J72" i="72"/>
  <c r="D72" i="72"/>
  <c r="N71" i="72"/>
  <c r="M71" i="72"/>
  <c r="K71" i="72"/>
  <c r="J71" i="72"/>
  <c r="D71" i="72"/>
  <c r="B71" i="72"/>
  <c r="M70" i="72"/>
  <c r="N70" i="72"/>
  <c r="K70" i="72"/>
  <c r="J70" i="72"/>
  <c r="D70" i="72"/>
  <c r="M69" i="72"/>
  <c r="N69" i="72"/>
  <c r="K69" i="72"/>
  <c r="J69" i="72"/>
  <c r="F69" i="72"/>
  <c r="H75" i="72"/>
  <c r="D69" i="72"/>
  <c r="E69" i="72"/>
  <c r="B67" i="72"/>
  <c r="B60" i="72"/>
  <c r="N55" i="72"/>
  <c r="M55" i="72"/>
  <c r="K55" i="72"/>
  <c r="J55" i="72"/>
  <c r="D55" i="72"/>
  <c r="M54" i="72"/>
  <c r="N54" i="72"/>
  <c r="K54" i="72"/>
  <c r="J54" i="72"/>
  <c r="D54" i="72"/>
  <c r="M53" i="72"/>
  <c r="N53" i="72"/>
  <c r="K53" i="72"/>
  <c r="J53" i="72"/>
  <c r="D53" i="72"/>
  <c r="M52" i="72"/>
  <c r="N52" i="72"/>
  <c r="K52" i="72"/>
  <c r="J52" i="72"/>
  <c r="D52" i="72"/>
  <c r="M51" i="72"/>
  <c r="N51" i="72"/>
  <c r="K51" i="72"/>
  <c r="J51" i="72"/>
  <c r="D51" i="72"/>
  <c r="M50" i="72"/>
  <c r="N50" i="72"/>
  <c r="K50" i="72"/>
  <c r="J50" i="72"/>
  <c r="D50" i="72"/>
  <c r="M49" i="72"/>
  <c r="N49" i="72"/>
  <c r="K49" i="72"/>
  <c r="J49" i="72"/>
  <c r="D49" i="72"/>
  <c r="B49" i="72"/>
  <c r="M48" i="72"/>
  <c r="N48" i="72"/>
  <c r="K48" i="72"/>
  <c r="J48" i="72"/>
  <c r="D48" i="72"/>
  <c r="M47" i="72"/>
  <c r="N47" i="72"/>
  <c r="K47" i="72"/>
  <c r="J47" i="72"/>
  <c r="F47" i="72"/>
  <c r="H54" i="72"/>
  <c r="D47" i="72"/>
  <c r="H39" i="72"/>
  <c r="H38" i="72"/>
  <c r="H37" i="72"/>
  <c r="H36" i="72"/>
  <c r="H35" i="72"/>
  <c r="H34" i="72"/>
  <c r="H33" i="72"/>
  <c r="J20" i="72"/>
  <c r="I19" i="72"/>
  <c r="C18" i="72"/>
  <c r="E4" i="68"/>
  <c r="F15" i="72"/>
  <c r="E15" i="72"/>
  <c r="D15" i="72"/>
  <c r="C15" i="72"/>
  <c r="Y12" i="72"/>
  <c r="Y10" i="72"/>
  <c r="C10" i="72"/>
  <c r="C11" i="72"/>
  <c r="E8" i="72"/>
  <c r="AJ9" i="72"/>
  <c r="AJ12" i="72"/>
  <c r="AI9" i="72"/>
  <c r="AI10" i="72"/>
  <c r="AH9" i="72"/>
  <c r="AH12" i="72"/>
  <c r="AG9" i="72"/>
  <c r="AG10" i="72"/>
  <c r="AF9" i="72"/>
  <c r="AF12" i="72"/>
  <c r="AE9" i="72"/>
  <c r="AE10" i="72"/>
  <c r="AD9" i="72"/>
  <c r="AD12" i="72"/>
  <c r="AC9" i="72"/>
  <c r="AC10" i="72"/>
  <c r="AB9" i="72"/>
  <c r="AB12" i="72"/>
  <c r="AA9" i="72"/>
  <c r="AA10" i="72"/>
  <c r="Z9" i="72"/>
  <c r="Z12" i="72"/>
  <c r="C9" i="72"/>
  <c r="A7" i="72"/>
  <c r="I2" i="72"/>
  <c r="M9" i="72"/>
  <c r="G2" i="72"/>
  <c r="D1" i="72"/>
  <c r="F113" i="71"/>
  <c r="L108" i="71"/>
  <c r="H100" i="71"/>
  <c r="N99" i="71"/>
  <c r="N108" i="71"/>
  <c r="M99" i="71"/>
  <c r="L99" i="71"/>
  <c r="L100" i="71"/>
  <c r="K99" i="71"/>
  <c r="J99" i="71"/>
  <c r="J108" i="71"/>
  <c r="I99" i="71"/>
  <c r="H99" i="71"/>
  <c r="H108" i="71"/>
  <c r="G99" i="71"/>
  <c r="F99" i="71"/>
  <c r="F108" i="71"/>
  <c r="E99" i="71"/>
  <c r="D99" i="71"/>
  <c r="D100" i="71"/>
  <c r="C99" i="71"/>
  <c r="M87" i="71"/>
  <c r="N87" i="71"/>
  <c r="K87" i="71"/>
  <c r="J87" i="71"/>
  <c r="D87" i="71"/>
  <c r="M86" i="71"/>
  <c r="N86" i="71"/>
  <c r="K86" i="71"/>
  <c r="J86" i="71"/>
  <c r="D86" i="71"/>
  <c r="M85" i="71"/>
  <c r="N85" i="71"/>
  <c r="K85" i="71"/>
  <c r="J85" i="71"/>
  <c r="D85" i="71"/>
  <c r="M84" i="71"/>
  <c r="N84" i="71"/>
  <c r="K84" i="71"/>
  <c r="J84" i="71"/>
  <c r="D84" i="71"/>
  <c r="M83" i="71"/>
  <c r="N83" i="71"/>
  <c r="K83" i="71"/>
  <c r="J83" i="71"/>
  <c r="D83" i="71"/>
  <c r="B83" i="71"/>
  <c r="M82" i="71"/>
  <c r="N82" i="71"/>
  <c r="K82" i="71"/>
  <c r="J82" i="71"/>
  <c r="D82" i="71"/>
  <c r="B82" i="71"/>
  <c r="M81" i="71"/>
  <c r="N81" i="71"/>
  <c r="K81" i="71"/>
  <c r="J81" i="71"/>
  <c r="D81" i="71"/>
  <c r="N80" i="71"/>
  <c r="M80" i="71"/>
  <c r="K80" i="71"/>
  <c r="J80" i="71"/>
  <c r="F80" i="71"/>
  <c r="H86" i="71"/>
  <c r="D80" i="71"/>
  <c r="M77" i="71"/>
  <c r="N77" i="71"/>
  <c r="K77" i="71"/>
  <c r="J77" i="71"/>
  <c r="D77" i="71"/>
  <c r="M76" i="71"/>
  <c r="N76" i="71"/>
  <c r="K76" i="71"/>
  <c r="J76" i="71"/>
  <c r="D76" i="71"/>
  <c r="M75" i="71"/>
  <c r="N75" i="71"/>
  <c r="K75" i="71"/>
  <c r="J75" i="71"/>
  <c r="D75" i="71"/>
  <c r="N74" i="71"/>
  <c r="M74" i="71"/>
  <c r="K74" i="71"/>
  <c r="J74" i="71"/>
  <c r="D74" i="71"/>
  <c r="M73" i="71"/>
  <c r="N73" i="71"/>
  <c r="K73" i="71"/>
  <c r="J73" i="71"/>
  <c r="D73" i="71"/>
  <c r="M72" i="71"/>
  <c r="N72" i="71"/>
  <c r="K72" i="71"/>
  <c r="J72" i="71"/>
  <c r="D72" i="71"/>
  <c r="M71" i="71"/>
  <c r="N71" i="71"/>
  <c r="K71" i="71"/>
  <c r="J71" i="71"/>
  <c r="D71" i="71"/>
  <c r="B71" i="71"/>
  <c r="M70" i="71"/>
  <c r="N70" i="71"/>
  <c r="K70" i="71"/>
  <c r="J70" i="71"/>
  <c r="D70" i="71"/>
  <c r="M69" i="71"/>
  <c r="N69" i="71"/>
  <c r="K69" i="71"/>
  <c r="J69" i="71"/>
  <c r="F69" i="71"/>
  <c r="H75" i="71"/>
  <c r="D69" i="71"/>
  <c r="M66" i="71"/>
  <c r="N66" i="71"/>
  <c r="K66" i="71"/>
  <c r="J66" i="71"/>
  <c r="D66" i="71"/>
  <c r="N65" i="71"/>
  <c r="M65" i="71"/>
  <c r="K65" i="71"/>
  <c r="J65" i="71"/>
  <c r="D65" i="71"/>
  <c r="M64" i="71"/>
  <c r="N64" i="71"/>
  <c r="K64" i="71"/>
  <c r="J64" i="71"/>
  <c r="D64" i="71"/>
  <c r="M63" i="71"/>
  <c r="N63" i="71"/>
  <c r="K63" i="71"/>
  <c r="J63" i="71"/>
  <c r="D63" i="71"/>
  <c r="M62" i="71"/>
  <c r="N62" i="71"/>
  <c r="K62" i="71"/>
  <c r="J62" i="71"/>
  <c r="D62" i="71"/>
  <c r="M61" i="71"/>
  <c r="N61" i="71"/>
  <c r="K61" i="71"/>
  <c r="J61" i="71"/>
  <c r="D61" i="71"/>
  <c r="M60" i="71"/>
  <c r="N60" i="71"/>
  <c r="K60" i="71"/>
  <c r="J60" i="71"/>
  <c r="D60" i="71"/>
  <c r="B60" i="71"/>
  <c r="N59" i="71"/>
  <c r="M59" i="71"/>
  <c r="K59" i="71"/>
  <c r="J59" i="71"/>
  <c r="D59" i="71"/>
  <c r="M58" i="71"/>
  <c r="N58" i="71"/>
  <c r="K58" i="71"/>
  <c r="J58" i="71"/>
  <c r="F58" i="71"/>
  <c r="H65" i="71"/>
  <c r="D58" i="71"/>
  <c r="B49" i="71"/>
  <c r="H39" i="71"/>
  <c r="H38" i="71"/>
  <c r="H37" i="71"/>
  <c r="H36" i="71"/>
  <c r="H35" i="71"/>
  <c r="H34" i="71"/>
  <c r="H33" i="71"/>
  <c r="J20" i="71"/>
  <c r="I19" i="71"/>
  <c r="C18" i="71"/>
  <c r="E3" i="68"/>
  <c r="F15" i="71"/>
  <c r="E15" i="71"/>
  <c r="D15" i="71"/>
  <c r="C15" i="71"/>
  <c r="C12" i="71"/>
  <c r="AB12" i="71"/>
  <c r="Y12" i="71"/>
  <c r="Y10" i="71"/>
  <c r="C10" i="71"/>
  <c r="C11" i="71"/>
  <c r="AJ9" i="71"/>
  <c r="AJ10" i="71"/>
  <c r="AI9" i="71"/>
  <c r="AI12" i="71"/>
  <c r="AH9" i="71"/>
  <c r="AH10" i="71"/>
  <c r="AG9" i="71"/>
  <c r="AG12" i="71"/>
  <c r="AF9" i="71"/>
  <c r="AF10" i="71"/>
  <c r="AE9" i="71"/>
  <c r="AE12" i="71"/>
  <c r="AD9" i="71"/>
  <c r="AD10" i="71"/>
  <c r="AC9" i="71"/>
  <c r="AC12" i="71"/>
  <c r="AB9" i="71"/>
  <c r="AB10" i="71"/>
  <c r="AA9" i="71"/>
  <c r="AA12" i="71"/>
  <c r="Z9" i="71"/>
  <c r="Z10" i="71"/>
  <c r="C9" i="71"/>
  <c r="A7" i="71"/>
  <c r="I2" i="71"/>
  <c r="M12" i="71"/>
  <c r="G2" i="71"/>
  <c r="N17" i="71"/>
  <c r="D1" i="71"/>
  <c r="F25" i="70"/>
  <c r="C25" i="70"/>
  <c r="E22" i="70"/>
  <c r="E21" i="70"/>
  <c r="F17" i="70"/>
  <c r="E16" i="70"/>
  <c r="F15" i="70"/>
  <c r="F14" i="70"/>
  <c r="K9" i="70"/>
  <c r="J9" i="70"/>
  <c r="I9" i="70"/>
  <c r="H9" i="70"/>
  <c r="G9" i="70"/>
  <c r="F9" i="70"/>
  <c r="E9" i="70"/>
  <c r="D9" i="70"/>
  <c r="F25" i="69"/>
  <c r="C25" i="69"/>
  <c r="E22" i="69"/>
  <c r="E21" i="69"/>
  <c r="F17" i="69"/>
  <c r="E16" i="69"/>
  <c r="F15" i="69"/>
  <c r="F14" i="69"/>
  <c r="K9" i="69"/>
  <c r="J9" i="69"/>
  <c r="I9" i="69"/>
  <c r="H9" i="69"/>
  <c r="G9" i="69"/>
  <c r="F9" i="69"/>
  <c r="E9" i="69"/>
  <c r="D9" i="69"/>
  <c r="K7" i="68"/>
  <c r="Z12" i="71"/>
  <c r="AH12" i="71"/>
  <c r="N1" i="72"/>
  <c r="E47" i="72"/>
  <c r="B45" i="72"/>
  <c r="E9" i="72"/>
  <c r="D108" i="71"/>
  <c r="E10" i="72"/>
  <c r="E58" i="71"/>
  <c r="B56" i="71"/>
  <c r="E11" i="72"/>
  <c r="E69" i="71"/>
  <c r="B67" i="71"/>
  <c r="AA12" i="72"/>
  <c r="AE12" i="72"/>
  <c r="AD12" i="71"/>
  <c r="AF12" i="71"/>
  <c r="E80" i="71"/>
  <c r="B78" i="7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c r="B3" i="68"/>
  <c r="C7" i="72"/>
  <c r="C6" i="72"/>
  <c r="B4" i="68"/>
  <c r="H65" i="72"/>
  <c r="G65" i="72"/>
  <c r="H64" i="72"/>
  <c r="G64" i="72"/>
  <c r="H60" i="72"/>
  <c r="G60" i="72"/>
  <c r="H66" i="72"/>
  <c r="G66" i="72"/>
  <c r="H61" i="72"/>
  <c r="G61" i="72"/>
  <c r="H58" i="72"/>
  <c r="G58" i="72"/>
  <c r="H59" i="72"/>
  <c r="G59" i="72"/>
  <c r="H63" i="72"/>
  <c r="G63" i="72"/>
  <c r="H62" i="72"/>
  <c r="G62" i="72"/>
  <c r="G17" i="72"/>
  <c r="H54" i="71"/>
  <c r="G54" i="71"/>
  <c r="H49" i="71"/>
  <c r="G49" i="71"/>
  <c r="H53" i="71"/>
  <c r="G53" i="71"/>
  <c r="H48" i="71"/>
  <c r="G48" i="71"/>
  <c r="H52" i="71"/>
  <c r="G52" i="71"/>
  <c r="H47" i="71"/>
  <c r="G47" i="71"/>
  <c r="H50" i="71"/>
  <c r="G50" i="71"/>
  <c r="H55" i="71"/>
  <c r="G55" i="71"/>
  <c r="H51" i="71"/>
  <c r="G51" i="71"/>
  <c r="G17" i="71"/>
  <c r="C7" i="71"/>
  <c r="C3" i="68"/>
  <c r="AH5" i="59"/>
  <c r="AG5" i="59"/>
  <c r="AE5" i="59"/>
  <c r="AF5" i="59"/>
  <c r="AD5" i="59"/>
  <c r="Q5" i="59"/>
  <c r="P5" i="59"/>
  <c r="O5" i="59"/>
  <c r="N5" i="59"/>
  <c r="K52" i="71"/>
  <c r="J52" i="71"/>
  <c r="M52" i="71"/>
  <c r="K55" i="71"/>
  <c r="J55" i="71"/>
  <c r="D55" i="71"/>
  <c r="M55" i="71"/>
  <c r="N55" i="71"/>
  <c r="M47" i="71"/>
  <c r="N47" i="71"/>
  <c r="K47" i="71"/>
  <c r="M48" i="71"/>
  <c r="N48" i="71"/>
  <c r="K48" i="71"/>
  <c r="M49" i="71"/>
  <c r="N49" i="71"/>
  <c r="K49" i="71"/>
  <c r="K63" i="72"/>
  <c r="J63" i="72"/>
  <c r="M63" i="72"/>
  <c r="M58" i="72"/>
  <c r="N58" i="72"/>
  <c r="K58" i="72"/>
  <c r="K66" i="72"/>
  <c r="J66" i="72"/>
  <c r="D66" i="72"/>
  <c r="M66" i="72"/>
  <c r="N66" i="72"/>
  <c r="K64" i="72"/>
  <c r="M64" i="72"/>
  <c r="N64" i="72"/>
  <c r="M51" i="71"/>
  <c r="N51" i="71"/>
  <c r="K51" i="71"/>
  <c r="M50" i="71"/>
  <c r="N50" i="71"/>
  <c r="K50" i="71"/>
  <c r="K53" i="71"/>
  <c r="M53" i="71"/>
  <c r="N53" i="71"/>
  <c r="K54" i="71"/>
  <c r="M54" i="71"/>
  <c r="N54" i="71"/>
  <c r="K62" i="72"/>
  <c r="M62" i="72"/>
  <c r="N62" i="72"/>
  <c r="M59" i="72"/>
  <c r="N59" i="72"/>
  <c r="K59" i="72"/>
  <c r="M61" i="72"/>
  <c r="N61" i="72"/>
  <c r="K61" i="72"/>
  <c r="M60" i="72"/>
  <c r="N60" i="72"/>
  <c r="K60" i="72"/>
  <c r="K65" i="72"/>
  <c r="M65" i="72"/>
  <c r="N65" i="72"/>
  <c r="AH6" i="59"/>
  <c r="AG6" i="59"/>
  <c r="AE6" i="59"/>
  <c r="AF6" i="59"/>
  <c r="AD6" i="59"/>
  <c r="Q6" i="59"/>
  <c r="P6" i="59"/>
  <c r="O6" i="59"/>
  <c r="N6" i="59"/>
  <c r="J60" i="72"/>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7" i="59"/>
  <c r="AG7" i="59"/>
  <c r="AE7" i="59"/>
  <c r="AF7" i="59"/>
  <c r="AD7" i="59"/>
  <c r="Q7" i="59"/>
  <c r="P7" i="59"/>
  <c r="O7" i="59"/>
  <c r="N7" i="59"/>
  <c r="E47" i="71"/>
  <c r="B45" i="71"/>
  <c r="C24" i="71"/>
  <c r="I3" i="68"/>
  <c r="E58" i="72"/>
  <c r="B56" i="72"/>
  <c r="C24" i="72"/>
  <c r="I4" i="68"/>
  <c r="F25" i="12"/>
  <c r="C25" i="12"/>
  <c r="C16" i="11"/>
  <c r="C15" i="11"/>
  <c r="C14" i="11"/>
  <c r="C9" i="11"/>
  <c r="C8" i="11"/>
  <c r="K36" i="36"/>
  <c r="K38" i="35"/>
  <c r="K42" i="37"/>
  <c r="K49" i="34"/>
  <c r="K48" i="33"/>
  <c r="K48" i="21"/>
  <c r="K44" i="40"/>
  <c r="K49" i="39"/>
  <c r="E77" i="9"/>
  <c r="F77" i="9"/>
  <c r="AH8" i="59"/>
  <c r="AG8" i="59"/>
  <c r="AE8" i="59"/>
  <c r="AF8" i="59"/>
  <c r="AD8" i="59"/>
  <c r="Q8" i="59"/>
  <c r="P8" i="59"/>
  <c r="O8" i="59"/>
  <c r="N8" i="59"/>
  <c r="A21" i="31"/>
  <c r="C109" i="9"/>
  <c r="AH9" i="59"/>
  <c r="AG9" i="59"/>
  <c r="AE9" i="59"/>
  <c r="AF9" i="59"/>
  <c r="AD9" i="59"/>
  <c r="Q9" i="59"/>
  <c r="P9" i="59"/>
  <c r="O9" i="59"/>
  <c r="N9" i="59"/>
  <c r="Q11" i="59"/>
  <c r="P11" i="59"/>
  <c r="O11" i="59"/>
  <c r="N11" i="59"/>
  <c r="AH10" i="59"/>
  <c r="AG10" i="59"/>
  <c r="AE10" i="59"/>
  <c r="AF10" i="59"/>
  <c r="AD10" i="59"/>
  <c r="Q10" i="59"/>
  <c r="P10" i="59"/>
  <c r="O10" i="59"/>
  <c r="N10" i="59"/>
  <c r="AH11" i="59"/>
  <c r="AG11" i="59"/>
  <c r="AE11" i="59"/>
  <c r="AF11" i="59"/>
  <c r="AD11" i="59"/>
  <c r="Q12" i="59"/>
  <c r="Q13" i="59"/>
  <c r="P12" i="59"/>
  <c r="P13" i="59"/>
  <c r="O12" i="59"/>
  <c r="O13" i="59"/>
  <c r="N12" i="59"/>
  <c r="N13" i="59"/>
  <c r="AH12" i="59"/>
  <c r="AG12" i="59"/>
  <c r="AE12" i="59"/>
  <c r="AF12" i="59"/>
  <c r="AD12" i="59"/>
  <c r="AH13" i="59"/>
  <c r="AG13" i="59"/>
  <c r="AE13" i="59"/>
  <c r="AF13" i="59"/>
  <c r="AD13" i="59"/>
  <c r="M15" i="49"/>
  <c r="L15" i="49"/>
  <c r="K15" i="49"/>
  <c r="J15" i="49"/>
  <c r="I15" i="49"/>
  <c r="H15" i="49"/>
  <c r="G15" i="49"/>
  <c r="F15" i="49"/>
  <c r="E15" i="49"/>
  <c r="D15" i="49"/>
  <c r="C15" i="49"/>
  <c r="B15" i="49"/>
  <c r="AH14" i="59"/>
  <c r="AG14" i="59"/>
  <c r="AE14" i="59"/>
  <c r="AF14" i="59"/>
  <c r="AD14" i="59"/>
  <c r="Q14" i="59"/>
  <c r="P14" i="59"/>
  <c r="O14" i="59"/>
  <c r="N14" i="59"/>
  <c r="L3" i="59"/>
  <c r="AH3" i="59"/>
  <c r="K3" i="59"/>
  <c r="AG3" i="59"/>
  <c r="J3" i="59"/>
  <c r="AE3" i="59"/>
  <c r="AF3" i="59"/>
  <c r="I3" i="59"/>
  <c r="AD3" i="59"/>
  <c r="AH15" i="59"/>
  <c r="AG15" i="59"/>
  <c r="AE15" i="59"/>
  <c r="AF15" i="59"/>
  <c r="AD15" i="59"/>
  <c r="Q15" i="59"/>
  <c r="Q16" i="59"/>
  <c r="P15" i="59"/>
  <c r="P16" i="59"/>
  <c r="O15" i="59"/>
  <c r="O16" i="59"/>
  <c r="N15" i="59"/>
  <c r="N16" i="59"/>
  <c r="AH16" i="59"/>
  <c r="AG16" i="59"/>
  <c r="AE16" i="59"/>
  <c r="AF16" i="59"/>
  <c r="AD16" i="59"/>
  <c r="Q17" i="59"/>
  <c r="P17" i="59"/>
  <c r="O17" i="59"/>
  <c r="N17" i="59"/>
  <c r="J50" i="15"/>
  <c r="J51" i="15"/>
  <c r="D19" i="59"/>
  <c r="AH17" i="59"/>
  <c r="AG17" i="59"/>
  <c r="AE17" i="59"/>
  <c r="AF17" i="59"/>
  <c r="AD17" i="59"/>
  <c r="AE18" i="59"/>
  <c r="AF18" i="59"/>
  <c r="AG18" i="59"/>
  <c r="AH18" i="59"/>
  <c r="AD18" i="59"/>
  <c r="Q18" i="59"/>
  <c r="P18" i="59"/>
  <c r="O18" i="59"/>
  <c r="N18" i="59"/>
  <c r="N19" i="59"/>
  <c r="Q19" i="59"/>
  <c r="P19" i="59"/>
  <c r="O19" i="59"/>
  <c r="K59" i="15"/>
  <c r="P75" i="15"/>
  <c r="Q74" i="44"/>
  <c r="Q61" i="44"/>
  <c r="Q60" i="44"/>
  <c r="Q53" i="44"/>
  <c r="J51" i="44"/>
  <c r="J52" i="44"/>
  <c r="M48" i="44"/>
  <c r="A16" i="55"/>
  <c r="A15" i="55"/>
  <c r="B66" i="63"/>
  <c r="A14" i="55"/>
  <c r="A11" i="55"/>
  <c r="A10" i="55"/>
  <c r="B61" i="63"/>
  <c r="A9" i="55"/>
  <c r="B60" i="63"/>
  <c r="A8" i="55"/>
  <c r="B59" i="63"/>
  <c r="A6" i="54"/>
  <c r="A8" i="54"/>
  <c r="A7" i="54"/>
  <c r="B51" i="63"/>
  <c r="A27" i="51"/>
  <c r="B20" i="63"/>
  <c r="Q20" i="59"/>
  <c r="O20" i="59"/>
  <c r="N21" i="59"/>
  <c r="O21" i="59"/>
  <c r="P21" i="59"/>
  <c r="Q21" i="59"/>
  <c r="N20" i="59"/>
  <c r="P20" i="59"/>
  <c r="K75" i="9"/>
  <c r="K6" i="4"/>
  <c r="L76" i="9"/>
  <c r="K76" i="9"/>
  <c r="B22" i="31"/>
  <c r="E15" i="66"/>
  <c r="F15" i="66"/>
  <c r="E16" i="66"/>
  <c r="F16" i="66"/>
  <c r="E17" i="66"/>
  <c r="F17" i="66"/>
  <c r="E18" i="66"/>
  <c r="F18" i="66"/>
  <c r="E19" i="66"/>
  <c r="F19" i="66"/>
  <c r="E20" i="66"/>
  <c r="F20" i="66"/>
  <c r="E21" i="66"/>
  <c r="F21" i="66"/>
  <c r="E22" i="66"/>
  <c r="F22" i="66"/>
  <c r="E23" i="66"/>
  <c r="F23" i="66"/>
  <c r="B3" i="66"/>
  <c r="B18" i="59"/>
  <c r="B17" i="59"/>
  <c r="B16" i="59"/>
  <c r="E18" i="59"/>
  <c r="U18" i="59"/>
  <c r="E17" i="59"/>
  <c r="E16" i="59"/>
  <c r="E15" i="59"/>
  <c r="E14" i="59"/>
  <c r="S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S2" i="31"/>
  <c r="M2" i="31"/>
  <c r="N2" i="31"/>
  <c r="O2" i="31"/>
  <c r="P2" i="31"/>
  <c r="Q2" i="31"/>
  <c r="R2" i="31"/>
  <c r="C18" i="59"/>
  <c r="C17" i="59"/>
  <c r="C3" i="65"/>
  <c r="C1" i="65"/>
  <c r="N1" i="65"/>
  <c r="D18" i="59"/>
  <c r="B76" i="63"/>
  <c r="M5" i="54"/>
  <c r="B41" i="63"/>
  <c r="A23" i="51"/>
  <c r="B17" i="63"/>
  <c r="Y12" i="46"/>
  <c r="AA9" i="46"/>
  <c r="AA12" i="46"/>
  <c r="AB9" i="46"/>
  <c r="AB10" i="46"/>
  <c r="AC9" i="46"/>
  <c r="AD9" i="46"/>
  <c r="AD10" i="46"/>
  <c r="AE9" i="46"/>
  <c r="AF9" i="46"/>
  <c r="AF10" i="46"/>
  <c r="AG9" i="46"/>
  <c r="AG10" i="46"/>
  <c r="AH9" i="46"/>
  <c r="AH10" i="46"/>
  <c r="AI9" i="46"/>
  <c r="AI10" i="46"/>
  <c r="AJ9" i="46"/>
  <c r="AJ10" i="46"/>
  <c r="Z9" i="46"/>
  <c r="Z10" i="46"/>
  <c r="AE10" i="46"/>
  <c r="AC10" i="46"/>
  <c r="Y10" i="46"/>
  <c r="Z12" i="46"/>
  <c r="AG12" i="46"/>
  <c r="AE12" i="46"/>
  <c r="AC12" i="46"/>
  <c r="B73" i="63"/>
  <c r="A21" i="64"/>
  <c r="B75" i="63"/>
  <c r="A27" i="64"/>
  <c r="A15" i="64"/>
  <c r="A14" i="64"/>
  <c r="A11" i="64"/>
  <c r="A3" i="64"/>
  <c r="A45" i="9"/>
  <c r="K40" i="9"/>
  <c r="A44" i="9"/>
  <c r="C57" i="10"/>
  <c r="A28" i="51"/>
  <c r="B21" i="63"/>
  <c r="C56" i="10"/>
  <c r="A26" i="51"/>
  <c r="B19" i="63"/>
  <c r="C55" i="10"/>
  <c r="C54" i="10"/>
  <c r="B49" i="63"/>
  <c r="B44" i="63"/>
  <c r="B40" i="63"/>
  <c r="B30" i="63"/>
  <c r="B27" i="63"/>
  <c r="B25" i="63"/>
  <c r="A11" i="51"/>
  <c r="B10" i="63"/>
  <c r="K39" i="9"/>
  <c r="B58" i="63"/>
  <c r="B53"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G5" i="54"/>
  <c r="B34" i="63"/>
  <c r="E5" i="54"/>
  <c r="B32" i="63"/>
  <c r="R2" i="54"/>
  <c r="B24" i="63"/>
  <c r="B49" i="50"/>
  <c r="B5" i="63"/>
  <c r="B40" i="50"/>
  <c r="B3" i="63"/>
  <c r="B67" i="63"/>
  <c r="I19" i="46"/>
  <c r="Q22" i="59"/>
  <c r="F22" i="59"/>
  <c r="P22" i="59"/>
  <c r="O22" i="59"/>
  <c r="N22" i="59"/>
  <c r="D83" i="59"/>
  <c r="F82" i="59"/>
  <c r="F81" i="59"/>
  <c r="F80" i="59"/>
  <c r="E82" i="59"/>
  <c r="E81" i="59"/>
  <c r="E80" i="59"/>
  <c r="C82" i="59"/>
  <c r="D82" i="59"/>
  <c r="B82" i="59"/>
  <c r="B81" i="59"/>
  <c r="B80" i="59"/>
  <c r="D79" i="59"/>
  <c r="F78" i="59"/>
  <c r="F77" i="59"/>
  <c r="F76" i="59"/>
  <c r="E78" i="59"/>
  <c r="E77" i="59"/>
  <c r="E76" i="59"/>
  <c r="C78" i="59"/>
  <c r="D78" i="59"/>
  <c r="B78" i="59"/>
  <c r="B77" i="59"/>
  <c r="B76" i="59"/>
  <c r="D75" i="59"/>
  <c r="Q74" i="59"/>
  <c r="P74" i="59"/>
  <c r="O74" i="59"/>
  <c r="N74" i="59"/>
  <c r="F74" i="59"/>
  <c r="V74" i="59"/>
  <c r="E74" i="59"/>
  <c r="U74" i="59"/>
  <c r="C74" i="59"/>
  <c r="T74" i="59"/>
  <c r="B74" i="59"/>
  <c r="B73" i="59"/>
  <c r="B72" i="59"/>
  <c r="S74" i="59"/>
  <c r="Q73" i="59"/>
  <c r="P73" i="59"/>
  <c r="O73" i="59"/>
  <c r="N73" i="59"/>
  <c r="Q72" i="59"/>
  <c r="P72" i="59"/>
  <c r="O72" i="59"/>
  <c r="N72" i="59"/>
  <c r="Q71" i="59"/>
  <c r="P71" i="59"/>
  <c r="O71" i="59"/>
  <c r="N71" i="59"/>
  <c r="D71" i="59"/>
  <c r="Q70" i="59"/>
  <c r="P70" i="59"/>
  <c r="O70" i="59"/>
  <c r="N70" i="59"/>
  <c r="F70" i="59"/>
  <c r="V70" i="59"/>
  <c r="E70" i="59"/>
  <c r="U70" i="59"/>
  <c r="C70" i="59"/>
  <c r="T70" i="59"/>
  <c r="B70" i="59"/>
  <c r="Q69" i="59"/>
  <c r="P69" i="59"/>
  <c r="O69" i="59"/>
  <c r="N69" i="59"/>
  <c r="F69" i="59"/>
  <c r="F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E62" i="59"/>
  <c r="E61" i="59"/>
  <c r="C62" i="59"/>
  <c r="T62" i="59"/>
  <c r="B62" i="59"/>
  <c r="N62" i="59"/>
  <c r="B61" i="59"/>
  <c r="N61" i="59"/>
  <c r="D59" i="59"/>
  <c r="Q58" i="59"/>
  <c r="P58" i="59"/>
  <c r="O58" i="59"/>
  <c r="N58" i="59"/>
  <c r="Q57" i="59"/>
  <c r="P57" i="59"/>
  <c r="O57" i="59"/>
  <c r="N57" i="59"/>
  <c r="Q56" i="59"/>
  <c r="P56" i="59"/>
  <c r="O56" i="59"/>
  <c r="N56" i="59"/>
  <c r="Q55" i="59"/>
  <c r="F56" i="59"/>
  <c r="F57"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F53" i="59"/>
  <c r="F54" i="59"/>
  <c r="V54" i="59"/>
  <c r="P51" i="59"/>
  <c r="E52" i="59"/>
  <c r="E53" i="59"/>
  <c r="E54" i="59"/>
  <c r="U54" i="59"/>
  <c r="O51" i="59"/>
  <c r="C52" i="59"/>
  <c r="N51" i="59"/>
  <c r="B52" i="59"/>
  <c r="D51" i="59"/>
  <c r="Q50" i="59"/>
  <c r="P50" i="59"/>
  <c r="O50" i="59"/>
  <c r="N50" i="59"/>
  <c r="Q49" i="59"/>
  <c r="P49" i="59"/>
  <c r="O49" i="59"/>
  <c r="N49" i="59"/>
  <c r="Q48" i="59"/>
  <c r="P48" i="59"/>
  <c r="O48" i="59"/>
  <c r="N48" i="59"/>
  <c r="Q47" i="59"/>
  <c r="F48" i="59"/>
  <c r="F49"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C45" i="59"/>
  <c r="N43" i="59"/>
  <c r="B44" i="59"/>
  <c r="B45" i="59"/>
  <c r="B46" i="59"/>
  <c r="S46" i="59"/>
  <c r="D43" i="59"/>
  <c r="T42" i="59"/>
  <c r="Q42" i="59"/>
  <c r="P42" i="59"/>
  <c r="O42" i="59"/>
  <c r="N42" i="59"/>
  <c r="D42" i="59"/>
  <c r="Q41" i="59"/>
  <c r="P41" i="59"/>
  <c r="O41" i="59"/>
  <c r="N41" i="59"/>
  <c r="Q40" i="59"/>
  <c r="P40" i="59"/>
  <c r="O40" i="59"/>
  <c r="N40" i="59"/>
  <c r="Q39" i="59"/>
  <c r="F40" i="59"/>
  <c r="F41" i="59"/>
  <c r="F42" i="59"/>
  <c r="V42" i="59"/>
  <c r="P39" i="59"/>
  <c r="E40" i="59"/>
  <c r="E41" i="59"/>
  <c r="E42" i="59"/>
  <c r="U42" i="59"/>
  <c r="O39" i="59"/>
  <c r="C40" i="59"/>
  <c r="C41" i="59"/>
  <c r="D41"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D35" i="59"/>
  <c r="Q34" i="59"/>
  <c r="P34" i="59"/>
  <c r="O34" i="59"/>
  <c r="N34" i="59"/>
  <c r="Q33" i="59"/>
  <c r="AB33" i="59"/>
  <c r="P33" i="59"/>
  <c r="AA33" i="59"/>
  <c r="O33" i="59"/>
  <c r="N33" i="59"/>
  <c r="X33" i="59"/>
  <c r="Q32" i="59"/>
  <c r="P32" i="59"/>
  <c r="O32" i="59"/>
  <c r="N32" i="59"/>
  <c r="X32" i="59"/>
  <c r="Q31" i="59"/>
  <c r="F32" i="59"/>
  <c r="P31" i="59"/>
  <c r="E32" i="59"/>
  <c r="O31" i="59"/>
  <c r="C32" i="59"/>
  <c r="N31" i="59"/>
  <c r="B32" i="59"/>
  <c r="D31" i="59"/>
  <c r="Q30" i="59"/>
  <c r="P30" i="59"/>
  <c r="O30" i="59"/>
  <c r="N30" i="59"/>
  <c r="X30" i="59"/>
  <c r="Q29" i="59"/>
  <c r="P29" i="59"/>
  <c r="O29" i="59"/>
  <c r="N29" i="59"/>
  <c r="Q28" i="59"/>
  <c r="P28" i="59"/>
  <c r="O28" i="59"/>
  <c r="N28" i="59"/>
  <c r="X28" i="59"/>
  <c r="Q27" i="59"/>
  <c r="F28" i="59"/>
  <c r="F29" i="59"/>
  <c r="F30" i="59"/>
  <c r="V30" i="59"/>
  <c r="P27" i="59"/>
  <c r="O27" i="59"/>
  <c r="C28" i="59"/>
  <c r="D28" i="59"/>
  <c r="N27" i="59"/>
  <c r="B28" i="59"/>
  <c r="B29" i="59"/>
  <c r="B30" i="59"/>
  <c r="S30" i="59"/>
  <c r="D27" i="59"/>
  <c r="Q26" i="59"/>
  <c r="P26" i="59"/>
  <c r="O26" i="59"/>
  <c r="N26" i="59"/>
  <c r="Q25" i="59"/>
  <c r="P25" i="59"/>
  <c r="O25" i="59"/>
  <c r="N25" i="59"/>
  <c r="Q24" i="59"/>
  <c r="P24" i="59"/>
  <c r="O24" i="59"/>
  <c r="N24" i="59"/>
  <c r="Q23" i="59"/>
  <c r="F24" i="59"/>
  <c r="F25" i="59"/>
  <c r="F26" i="59"/>
  <c r="V26" i="59"/>
  <c r="P23" i="59"/>
  <c r="O23" i="59"/>
  <c r="C24" i="59"/>
  <c r="N23" i="59"/>
  <c r="B24" i="59"/>
  <c r="B25" i="59"/>
  <c r="B26" i="59"/>
  <c r="S26" i="59"/>
  <c r="D23" i="59"/>
  <c r="E24" i="59"/>
  <c r="E25" i="59"/>
  <c r="E26" i="59"/>
  <c r="U26" i="59"/>
  <c r="S62" i="59"/>
  <c r="F33" i="59"/>
  <c r="F58" i="59"/>
  <c r="V58" i="59"/>
  <c r="D44" i="59"/>
  <c r="B60" i="59"/>
  <c r="N60" i="59"/>
  <c r="O62" i="59"/>
  <c r="C61" i="59"/>
  <c r="D61" i="59"/>
  <c r="P62" i="59"/>
  <c r="U62" i="59"/>
  <c r="E65" i="59"/>
  <c r="E64" i="59"/>
  <c r="C69" i="59"/>
  <c r="E69" i="59"/>
  <c r="E68" i="59"/>
  <c r="D70" i="59"/>
  <c r="C73" i="59"/>
  <c r="E73" i="59"/>
  <c r="E72" i="59"/>
  <c r="D74" i="59"/>
  <c r="C77" i="59"/>
  <c r="D77" i="59"/>
  <c r="C81" i="59"/>
  <c r="D81" i="59"/>
  <c r="U16" i="4"/>
  <c r="S16" i="4"/>
  <c r="Q16" i="4"/>
  <c r="O16" i="4"/>
  <c r="M16" i="4"/>
  <c r="K16" i="4"/>
  <c r="D73" i="59"/>
  <c r="C72" i="59"/>
  <c r="D72" i="59"/>
  <c r="C60" i="59"/>
  <c r="O60" i="59"/>
  <c r="N59" i="59"/>
  <c r="D60" i="59"/>
  <c r="O27" i="6"/>
  <c r="N27" i="6"/>
  <c r="P26" i="6"/>
  <c r="L26" i="6"/>
  <c r="P25" i="6"/>
  <c r="L25" i="6"/>
  <c r="P24" i="6"/>
  <c r="L24" i="6"/>
  <c r="P23" i="6"/>
  <c r="L23" i="6"/>
  <c r="P22" i="6"/>
  <c r="L22" i="6"/>
  <c r="P21" i="6"/>
  <c r="L21" i="6"/>
  <c r="P20" i="6"/>
  <c r="P19" i="6"/>
  <c r="Q18" i="36"/>
  <c r="Z18" i="36"/>
  <c r="C18" i="36"/>
  <c r="D66" i="36"/>
  <c r="F18" i="36"/>
  <c r="S18" i="36"/>
  <c r="Z18" i="35"/>
  <c r="Q18" i="35"/>
  <c r="F18" i="35"/>
  <c r="AA18" i="35"/>
  <c r="C18" i="35"/>
  <c r="D68" i="35"/>
  <c r="E68" i="35"/>
  <c r="F68" i="35"/>
  <c r="G68" i="35"/>
  <c r="Q21" i="37"/>
  <c r="Z21" i="37"/>
  <c r="F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S21" i="21"/>
  <c r="AA21" i="21"/>
  <c r="C21" i="21"/>
  <c r="Q27" i="40"/>
  <c r="Z27" i="40"/>
  <c r="D96" i="40"/>
  <c r="E96" i="40"/>
  <c r="F96" i="40"/>
  <c r="F27" i="40"/>
  <c r="AA27" i="40"/>
  <c r="Q31" i="39"/>
  <c r="Z31" i="39"/>
  <c r="D105" i="39"/>
  <c r="E105" i="39"/>
  <c r="F105" i="39"/>
  <c r="F31" i="39"/>
  <c r="G20" i="20"/>
  <c r="B85" i="46"/>
  <c r="C22" i="20"/>
  <c r="B65" i="46"/>
  <c r="C27" i="40"/>
  <c r="C31" i="39"/>
  <c r="B54" i="46"/>
  <c r="B74" i="46"/>
  <c r="E66" i="36"/>
  <c r="H18" i="35"/>
  <c r="J18" i="35"/>
  <c r="H21" i="37"/>
  <c r="J21" i="37"/>
  <c r="E84" i="34"/>
  <c r="F84" i="34"/>
  <c r="G84" i="34"/>
  <c r="J21" i="34"/>
  <c r="H21" i="34"/>
  <c r="F21" i="33"/>
  <c r="H21" i="33"/>
  <c r="J21" i="33"/>
  <c r="H21" i="21"/>
  <c r="J21" i="21"/>
  <c r="H27" i="40"/>
  <c r="H31" i="39"/>
  <c r="F23" i="15"/>
  <c r="D22" i="15"/>
  <c r="G17" i="11"/>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D76" i="46"/>
  <c r="D74" i="46"/>
  <c r="D73" i="46"/>
  <c r="D72" i="46"/>
  <c r="D70"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1" i="1"/>
  <c r="F12" i="1"/>
  <c r="AP12" i="1"/>
  <c r="F13" i="1"/>
  <c r="AP13" i="1"/>
  <c r="D11" i="1"/>
  <c r="D12" i="1"/>
  <c r="D13" i="1"/>
  <c r="D6" i="1"/>
  <c r="D7" i="1"/>
  <c r="D8" i="1"/>
  <c r="D9" i="1"/>
  <c r="F10" i="1"/>
  <c r="AP10" i="1"/>
  <c r="D10" i="1"/>
  <c r="B2" i="1"/>
  <c r="C9" i="39"/>
  <c r="C70" i="39"/>
  <c r="A12" i="1"/>
  <c r="R12" i="1"/>
  <c r="A13" i="1"/>
  <c r="B13" i="1"/>
  <c r="E13" i="1"/>
  <c r="A7" i="1"/>
  <c r="A8" i="1"/>
  <c r="A9" i="1"/>
  <c r="A10" i="1"/>
  <c r="B10" i="1"/>
  <c r="E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G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c r="BB67" i="3"/>
  <c r="AX67" i="3"/>
  <c r="AW67" i="3"/>
  <c r="AV67" i="3"/>
  <c r="AC67" i="3"/>
  <c r="H67" i="3"/>
  <c r="G67" i="3"/>
  <c r="BT66" i="3"/>
  <c r="BS66" i="3"/>
  <c r="BR66" i="3"/>
  <c r="BQ66" i="3"/>
  <c r="BP66" i="3"/>
  <c r="BO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G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A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G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L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A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A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L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A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G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A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L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G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G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G133" i="3"/>
  <c r="H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L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L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A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A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L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L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A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A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c r="H397" i="3"/>
  <c r="BT396" i="3"/>
  <c r="BS396" i="3"/>
  <c r="BR396" i="3"/>
  <c r="BQ396" i="3"/>
  <c r="BP396" i="3"/>
  <c r="BO396" i="3"/>
  <c r="BN396" i="3"/>
  <c r="BM396" i="3"/>
  <c r="BK396" i="3"/>
  <c r="BJ396" i="3"/>
  <c r="BI396" i="3"/>
  <c r="BH396" i="3"/>
  <c r="BG396" i="3"/>
  <c r="BF396" i="3"/>
  <c r="BE396" i="3"/>
  <c r="BD396" i="3"/>
  <c r="BC396" i="3"/>
  <c r="BA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G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E19" i="4"/>
  <c r="F7" i="1"/>
  <c r="I20" i="7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2" i="6"/>
  <c r="E23" i="6"/>
  <c r="E24" i="6"/>
  <c r="E25" i="6"/>
  <c r="E26" i="6"/>
  <c r="C35" i="4"/>
  <c r="E16" i="12"/>
  <c r="F14" i="12"/>
  <c r="F15" i="12"/>
  <c r="F17"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C20" i="43"/>
  <c r="F10" i="40"/>
  <c r="AA10" i="40"/>
  <c r="F11" i="40"/>
  <c r="AA11" i="40"/>
  <c r="C21" i="40"/>
  <c r="C32" i="40"/>
  <c r="H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22" i="1"/>
  <c r="G22" i="43"/>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G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H551" i="3"/>
  <c r="BI551" i="3"/>
  <c r="BJ551" i="3"/>
  <c r="BK551" i="3"/>
  <c r="BM551" i="3"/>
  <c r="BN551" i="3"/>
  <c r="BO551" i="3"/>
  <c r="BP551" i="3"/>
  <c r="BQ551" i="3"/>
  <c r="BR551" i="3"/>
  <c r="BS551" i="3"/>
  <c r="BT551" i="3"/>
  <c r="H552" i="3"/>
  <c r="G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D99" i="37"/>
  <c r="E99" i="37"/>
  <c r="H42" i="34"/>
  <c r="J42" i="34"/>
  <c r="F42" i="34"/>
  <c r="J38" i="34"/>
  <c r="W38" i="34"/>
  <c r="D114" i="34"/>
  <c r="F38" i="34"/>
  <c r="S38" i="34"/>
  <c r="D112" i="34"/>
  <c r="E112" i="34"/>
  <c r="F112" i="34"/>
  <c r="G112" i="34"/>
  <c r="F40" i="33"/>
  <c r="J41" i="33"/>
  <c r="AC41" i="33"/>
  <c r="D113" i="33"/>
  <c r="D111" i="33"/>
  <c r="E111" i="33"/>
  <c r="S515" i="31"/>
  <c r="S517" i="31"/>
  <c r="S519" i="31"/>
  <c r="S521" i="31"/>
  <c r="S523" i="31"/>
  <c r="F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E85" i="36"/>
  <c r="F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J26" i="36"/>
  <c r="W26" i="36"/>
  <c r="B75" i="36"/>
  <c r="J25" i="36"/>
  <c r="B73" i="36"/>
  <c r="J24" i="36"/>
  <c r="W24" i="36"/>
  <c r="B71" i="36"/>
  <c r="D70" i="36"/>
  <c r="H22" i="36"/>
  <c r="AB22" i="36"/>
  <c r="D68" i="36"/>
  <c r="E68" i="36"/>
  <c r="D64" i="36"/>
  <c r="E64" i="36"/>
  <c r="F64" i="36"/>
  <c r="G64" i="36"/>
  <c r="J16" i="36"/>
  <c r="D62" i="36"/>
  <c r="E62" i="36"/>
  <c r="B59" i="36"/>
  <c r="J13"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J25" i="35"/>
  <c r="W25" i="35"/>
  <c r="B75" i="35"/>
  <c r="J24" i="35"/>
  <c r="AC24" i="35"/>
  <c r="B73" i="35"/>
  <c r="J23" i="35"/>
  <c r="AC23" i="35"/>
  <c r="B57" i="35"/>
  <c r="B61" i="35"/>
  <c r="B59" i="35"/>
  <c r="F12" i="35"/>
  <c r="AA12" i="35"/>
  <c r="B131" i="34"/>
  <c r="H47" i="34"/>
  <c r="B129" i="34"/>
  <c r="B127" i="34"/>
  <c r="B99" i="34"/>
  <c r="B97" i="34"/>
  <c r="J31" i="34"/>
  <c r="B95" i="34"/>
  <c r="B93" i="34"/>
  <c r="B75" i="34"/>
  <c r="B73" i="34"/>
  <c r="B71" i="34"/>
  <c r="B130" i="33"/>
  <c r="J46" i="33"/>
  <c r="AC46" i="33"/>
  <c r="B128" i="33"/>
  <c r="F45" i="33"/>
  <c r="S45"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F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S28" i="34"/>
  <c r="B89" i="34"/>
  <c r="J27" i="34"/>
  <c r="D88" i="34"/>
  <c r="E88" i="34"/>
  <c r="D86" i="34"/>
  <c r="E86" i="34"/>
  <c r="F86" i="34"/>
  <c r="G86" i="34"/>
  <c r="D82" i="34"/>
  <c r="E82" i="34"/>
  <c r="D80" i="34"/>
  <c r="D78" i="34"/>
  <c r="D70" i="34"/>
  <c r="E70" i="34"/>
  <c r="F70" i="34"/>
  <c r="G70" i="34"/>
  <c r="H70" i="34"/>
  <c r="I70" i="34"/>
  <c r="J70" i="34"/>
  <c r="K70" i="34"/>
  <c r="L70" i="34"/>
  <c r="M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AB39" i="34"/>
  <c r="F39" i="34"/>
  <c r="S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J8" i="34"/>
  <c r="AC8" i="34"/>
  <c r="H8" i="34"/>
  <c r="U8" i="34"/>
  <c r="F8" i="34"/>
  <c r="AA8" i="34"/>
  <c r="C7" i="34"/>
  <c r="C59" i="34"/>
  <c r="D121" i="33"/>
  <c r="F109" i="33"/>
  <c r="E109" i="33"/>
  <c r="D109" i="33"/>
  <c r="C109" i="33"/>
  <c r="D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B92" i="33"/>
  <c r="B90" i="33"/>
  <c r="D87" i="33"/>
  <c r="E87" i="33"/>
  <c r="F87" i="33"/>
  <c r="D85" i="33"/>
  <c r="E85" i="33"/>
  <c r="D81" i="33"/>
  <c r="E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AA12" i="33"/>
  <c r="Q11" i="33"/>
  <c r="Z11" i="33"/>
  <c r="Q10" i="33"/>
  <c r="Z10" i="33"/>
  <c r="Q9" i="33"/>
  <c r="Z9" i="33"/>
  <c r="J8" i="33"/>
  <c r="W8" i="33"/>
  <c r="H8" i="33"/>
  <c r="U8" i="33"/>
  <c r="F8" i="33"/>
  <c r="M102" i="21"/>
  <c r="D102" i="21"/>
  <c r="E102" i="21"/>
  <c r="F102" i="21"/>
  <c r="G102" i="21"/>
  <c r="H102" i="21"/>
  <c r="I102" i="21"/>
  <c r="J102" i="21"/>
  <c r="K102" i="21"/>
  <c r="L102" i="21"/>
  <c r="C102" i="21"/>
  <c r="C63" i="21"/>
  <c r="G18" i="20"/>
  <c r="B87" i="46"/>
  <c r="C25" i="40"/>
  <c r="G16" i="20"/>
  <c r="B81" i="46"/>
  <c r="G15" i="20"/>
  <c r="C24" i="20"/>
  <c r="C21" i="20"/>
  <c r="C20" i="20"/>
  <c r="B76" i="46"/>
  <c r="C18" i="20"/>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W45" i="21"/>
  <c r="B126" i="21"/>
  <c r="F44" i="21"/>
  <c r="B98" i="21"/>
  <c r="J31" i="21"/>
  <c r="AC31" i="21"/>
  <c r="B96" i="21"/>
  <c r="B94" i="21"/>
  <c r="J29" i="21"/>
  <c r="AC29" i="21"/>
  <c r="B92" i="21"/>
  <c r="B90" i="21"/>
  <c r="B74" i="21"/>
  <c r="B72" i="21"/>
  <c r="H13" i="21"/>
  <c r="B70" i="21"/>
  <c r="H12" i="21"/>
  <c r="U12" i="21"/>
  <c r="F12" i="21"/>
  <c r="S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F20" i="6"/>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AB8" i="21"/>
  <c r="H10" i="21"/>
  <c r="U10" i="21"/>
  <c r="H39" i="21"/>
  <c r="J34" i="21"/>
  <c r="W34" i="21"/>
  <c r="H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S10" i="39"/>
  <c r="U30" i="37"/>
  <c r="E103" i="37"/>
  <c r="F103" i="37"/>
  <c r="G103" i="37"/>
  <c r="H103" i="37"/>
  <c r="I103" i="37"/>
  <c r="J103" i="37"/>
  <c r="K103" i="37"/>
  <c r="L103" i="37"/>
  <c r="M103" i="37"/>
  <c r="F39" i="37"/>
  <c r="AA39" i="37"/>
  <c r="F29" i="36"/>
  <c r="AA29" i="36"/>
  <c r="F16" i="36"/>
  <c r="AA16" i="36"/>
  <c r="U22" i="36"/>
  <c r="W23" i="36"/>
  <c r="W22" i="36"/>
  <c r="U26" i="36"/>
  <c r="AC31" i="36"/>
  <c r="J33" i="36"/>
  <c r="W33" i="36"/>
  <c r="AC27" i="35"/>
  <c r="U31" i="35"/>
  <c r="S34" i="35"/>
  <c r="W24" i="35"/>
  <c r="S31" i="35"/>
  <c r="W31" i="35"/>
  <c r="U34" i="35"/>
  <c r="F36" i="34"/>
  <c r="S36" i="34"/>
  <c r="W39" i="34"/>
  <c r="H39" i="33"/>
  <c r="AB39" i="33"/>
  <c r="S40" i="33"/>
  <c r="S8" i="21"/>
  <c r="H39" i="37"/>
  <c r="AB39" i="37"/>
  <c r="AB27" i="35"/>
  <c r="S10" i="40"/>
  <c r="W10" i="40"/>
  <c r="S11" i="40"/>
  <c r="U11" i="40"/>
  <c r="S36" i="40"/>
  <c r="U36" i="40"/>
  <c r="S40" i="39"/>
  <c r="S36" i="39"/>
  <c r="F11" i="21"/>
  <c r="S11" i="21"/>
  <c r="AC40" i="21"/>
  <c r="AA38" i="21"/>
  <c r="AC35" i="21"/>
  <c r="C29" i="39"/>
  <c r="U36" i="39"/>
  <c r="S42" i="39"/>
  <c r="H11" i="21"/>
  <c r="U11" i="21"/>
  <c r="J11" i="21"/>
  <c r="W11" i="21"/>
  <c r="F100" i="40"/>
  <c r="F86" i="40"/>
  <c r="G86" i="40"/>
  <c r="J27" i="36"/>
  <c r="W27" i="36"/>
  <c r="J30" i="35"/>
  <c r="W30" i="35"/>
  <c r="F22" i="35"/>
  <c r="AA22" i="35"/>
  <c r="H10" i="35"/>
  <c r="U10" i="35"/>
  <c r="AC24" i="36"/>
  <c r="U29" i="36"/>
  <c r="U24" i="36"/>
  <c r="G85" i="36"/>
  <c r="H85" i="36"/>
  <c r="I85" i="36"/>
  <c r="J85" i="36"/>
  <c r="K85" i="36"/>
  <c r="L85" i="36"/>
  <c r="M85" i="36"/>
  <c r="J29" i="36"/>
  <c r="AC29" i="36"/>
  <c r="F12" i="36"/>
  <c r="S12" i="36"/>
  <c r="F24" i="36"/>
  <c r="AA24" i="36"/>
  <c r="F34" i="36"/>
  <c r="S34" i="36"/>
  <c r="S10" i="36"/>
  <c r="AB8" i="36"/>
  <c r="H16" i="35"/>
  <c r="H33" i="35"/>
  <c r="AB33" i="35"/>
  <c r="W8" i="35"/>
  <c r="AC8" i="35"/>
  <c r="F35" i="37"/>
  <c r="E101" i="37"/>
  <c r="F101" i="37"/>
  <c r="G101" i="37"/>
  <c r="H101" i="37"/>
  <c r="I101" i="37"/>
  <c r="J101" i="37"/>
  <c r="K101" i="37"/>
  <c r="L101" i="37"/>
  <c r="M101" i="37"/>
  <c r="J34" i="37"/>
  <c r="W34" i="37"/>
  <c r="H43" i="34"/>
  <c r="U43" i="34"/>
  <c r="U42" i="34"/>
  <c r="E114" i="34"/>
  <c r="F114" i="34"/>
  <c r="G114" i="34"/>
  <c r="H114" i="34"/>
  <c r="I114" i="34"/>
  <c r="J114" i="34"/>
  <c r="K114" i="34"/>
  <c r="L114" i="34"/>
  <c r="M114" i="34"/>
  <c r="H36" i="34"/>
  <c r="U36" i="34"/>
  <c r="F33" i="34"/>
  <c r="S33" i="34"/>
  <c r="J10" i="34"/>
  <c r="AC10" i="34"/>
  <c r="W8" i="34"/>
  <c r="J28" i="34"/>
  <c r="W28" i="34"/>
  <c r="S38" i="33"/>
  <c r="E113" i="33"/>
  <c r="F113" i="33"/>
  <c r="G113" i="33"/>
  <c r="F37" i="33"/>
  <c r="AA37" i="33"/>
  <c r="S10" i="21"/>
  <c r="W40" i="33"/>
  <c r="AB30" i="36"/>
  <c r="S22" i="35"/>
  <c r="H29" i="35"/>
  <c r="U34" i="37"/>
  <c r="S34" i="37"/>
  <c r="AA34" i="37"/>
  <c r="AB42" i="34"/>
  <c r="H37" i="33"/>
  <c r="AB37" i="33"/>
  <c r="AC42" i="34"/>
  <c r="W42" i="34"/>
  <c r="AA42" i="34"/>
  <c r="S42" i="34"/>
  <c r="AC38" i="34"/>
  <c r="AA38" i="34"/>
  <c r="J37" i="33"/>
  <c r="W37" i="33"/>
  <c r="J42" i="21"/>
  <c r="AC42" i="21"/>
  <c r="J44" i="34"/>
  <c r="AC44" i="34"/>
  <c r="F44" i="34"/>
  <c r="S44" i="34"/>
  <c r="J10" i="35"/>
  <c r="W10" i="35"/>
  <c r="AL5" i="3"/>
  <c r="BQ13" i="3"/>
  <c r="J14" i="21"/>
  <c r="F14" i="21"/>
  <c r="AA14" i="21"/>
  <c r="H14" i="21"/>
  <c r="U14" i="21"/>
  <c r="H28" i="21"/>
  <c r="AB28" i="21"/>
  <c r="F28" i="21"/>
  <c r="S28" i="21"/>
  <c r="J28" i="21"/>
  <c r="AC28" i="21"/>
  <c r="H30" i="21"/>
  <c r="U30" i="21"/>
  <c r="F30" i="21"/>
  <c r="S30" i="21"/>
  <c r="J30" i="21"/>
  <c r="W30" i="21"/>
  <c r="J44" i="21"/>
  <c r="AC44" i="21"/>
  <c r="H44" i="21"/>
  <c r="U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F13" i="21"/>
  <c r="AA13" i="21"/>
  <c r="H27" i="21"/>
  <c r="AB27" i="21"/>
  <c r="J27" i="21"/>
  <c r="W27" i="21"/>
  <c r="F27" i="21"/>
  <c r="AA27" i="21"/>
  <c r="F29" i="21"/>
  <c r="S29" i="21"/>
  <c r="H31" i="21"/>
  <c r="U31" i="21"/>
  <c r="J27" i="33"/>
  <c r="AC27" i="33"/>
  <c r="F13" i="33"/>
  <c r="J29" i="33"/>
  <c r="W29" i="33"/>
  <c r="J31" i="33"/>
  <c r="AC31" i="33"/>
  <c r="H31" i="33"/>
  <c r="U31" i="33"/>
  <c r="S31" i="33"/>
  <c r="J45" i="33"/>
  <c r="W45" i="33"/>
  <c r="F11" i="35"/>
  <c r="S11" i="35"/>
  <c r="H28" i="36"/>
  <c r="H32" i="36"/>
  <c r="AB32" i="36"/>
  <c r="J32" i="36"/>
  <c r="AC32" i="36"/>
  <c r="J11" i="36"/>
  <c r="W11" i="36"/>
  <c r="H13" i="36"/>
  <c r="AB13" i="36"/>
  <c r="W13" i="36"/>
  <c r="F13" i="36"/>
  <c r="S13" i="36"/>
  <c r="E89" i="37"/>
  <c r="F89" i="37"/>
  <c r="G89" i="37"/>
  <c r="H89" i="37"/>
  <c r="I89" i="37"/>
  <c r="J89" i="37"/>
  <c r="K89" i="37"/>
  <c r="L89" i="37"/>
  <c r="M89" i="37"/>
  <c r="J29" i="37"/>
  <c r="W29" i="37"/>
  <c r="F29" i="37"/>
  <c r="AA29" i="37"/>
  <c r="F105" i="37"/>
  <c r="AB36" i="37"/>
  <c r="F107" i="37"/>
  <c r="G107" i="37"/>
  <c r="H107" i="37"/>
  <c r="I107" i="37"/>
  <c r="J107" i="37"/>
  <c r="K107" i="37"/>
  <c r="J37" i="37"/>
  <c r="AC37" i="37"/>
  <c r="H37" i="37"/>
  <c r="U37" i="37"/>
  <c r="H40" i="37"/>
  <c r="U40" i="37"/>
  <c r="J40" i="37"/>
  <c r="F40" i="37"/>
  <c r="AA40" i="37"/>
  <c r="H14" i="33"/>
  <c r="U14" i="33"/>
  <c r="F14" i="33"/>
  <c r="AA14" i="33"/>
  <c r="J14" i="33"/>
  <c r="AC14" i="33"/>
  <c r="H30" i="33"/>
  <c r="F30" i="33"/>
  <c r="S30" i="33"/>
  <c r="J30" i="33"/>
  <c r="AC30" i="33"/>
  <c r="H44" i="33"/>
  <c r="U44" i="33"/>
  <c r="J44" i="33"/>
  <c r="AC44" i="33"/>
  <c r="F44" i="33"/>
  <c r="S44" i="33"/>
  <c r="F46" i="33"/>
  <c r="H46" i="33"/>
  <c r="AB46" i="33"/>
  <c r="H13" i="34"/>
  <c r="U13" i="34"/>
  <c r="J13" i="34"/>
  <c r="W13" i="34"/>
  <c r="F13" i="34"/>
  <c r="AA13" i="34"/>
  <c r="J29" i="34"/>
  <c r="AC29" i="34"/>
  <c r="F29" i="34"/>
  <c r="S29" i="34"/>
  <c r="H29" i="34"/>
  <c r="U29" i="34"/>
  <c r="AC31" i="34"/>
  <c r="H31" i="34"/>
  <c r="F31" i="34"/>
  <c r="S31" i="34"/>
  <c r="H45" i="34"/>
  <c r="U45" i="34"/>
  <c r="J45" i="34"/>
  <c r="W45" i="34"/>
  <c r="F45" i="34"/>
  <c r="AA45" i="34"/>
  <c r="U47" i="34"/>
  <c r="F47" i="34"/>
  <c r="AA47" i="34"/>
  <c r="F13" i="35"/>
  <c r="S13" i="35"/>
  <c r="J13" i="35"/>
  <c r="AC13" i="35"/>
  <c r="H13" i="35"/>
  <c r="U13" i="35"/>
  <c r="AC25" i="35"/>
  <c r="H25" i="35"/>
  <c r="J35" i="35"/>
  <c r="AC35" i="35"/>
  <c r="F35" i="35"/>
  <c r="S35" i="35"/>
  <c r="H35" i="35"/>
  <c r="U35" i="35"/>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A38" i="37"/>
  <c r="AB13" i="35"/>
  <c r="AB40" i="37"/>
  <c r="J36" i="37"/>
  <c r="AC36" i="37"/>
  <c r="G105" i="37"/>
  <c r="U46" i="21"/>
  <c r="AB30" i="21"/>
  <c r="AA28" i="21"/>
  <c r="W31" i="34"/>
  <c r="U36" i="37"/>
  <c r="AC13" i="36"/>
  <c r="AB31"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AZ541" i="3"/>
  <c r="BL533" i="3"/>
  <c r="BL525" i="3"/>
  <c r="G518" i="3"/>
  <c r="G514" i="3"/>
  <c r="G510" i="3"/>
  <c r="BL503" i="3"/>
  <c r="BL495" i="3"/>
  <c r="BL485" i="3"/>
  <c r="G18" i="3"/>
  <c r="BA569" i="3"/>
  <c r="BA565" i="3"/>
  <c r="BA561" i="3"/>
  <c r="AZ561" i="3"/>
  <c r="BA559" i="3"/>
  <c r="AZ559" i="3"/>
  <c r="BA557" i="3"/>
  <c r="AZ557" i="3"/>
  <c r="BA555" i="3"/>
  <c r="BA551" i="3"/>
  <c r="AZ551" i="3"/>
  <c r="BA545" i="3"/>
  <c r="BA543" i="3"/>
  <c r="BA541" i="3"/>
  <c r="BA531" i="3"/>
  <c r="BA521" i="3"/>
  <c r="BA509" i="3"/>
  <c r="BA505" i="3"/>
  <c r="BA501" i="3"/>
  <c r="BA493" i="3"/>
  <c r="BA487" i="3"/>
  <c r="BA19" i="3"/>
  <c r="BA566" i="3"/>
  <c r="BA562" i="3"/>
  <c r="BA560" i="3"/>
  <c r="BA558" i="3"/>
  <c r="BA556" i="3"/>
  <c r="BA554" i="3"/>
  <c r="BA550" i="3"/>
  <c r="BA546" i="3"/>
  <c r="BA544" i="3"/>
  <c r="BA540" i="3"/>
  <c r="BA536" i="3"/>
  <c r="BA532" i="3"/>
  <c r="BA528" i="3"/>
  <c r="BA524" i="3"/>
  <c r="BA520" i="3"/>
  <c r="AZ520" i="3"/>
  <c r="BA516" i="3"/>
  <c r="BA512" i="3"/>
  <c r="BA508" i="3"/>
  <c r="BA502" i="3"/>
  <c r="BA498" i="3"/>
  <c r="BA492" i="3"/>
  <c r="BA488" i="3"/>
  <c r="BA484" i="3"/>
  <c r="BA20" i="3"/>
  <c r="AZ545" i="3"/>
  <c r="G566" i="3"/>
  <c r="G562" i="3"/>
  <c r="G560" i="3"/>
  <c r="G558" i="3"/>
  <c r="G556" i="3"/>
  <c r="G554" i="3"/>
  <c r="G550" i="3"/>
  <c r="G546" i="3"/>
  <c r="BL543" i="3"/>
  <c r="BA542" i="3"/>
  <c r="AC542" i="3"/>
  <c r="G542" i="3"/>
  <c r="BQ542" i="3"/>
  <c r="BL542" i="3"/>
  <c r="BQ568" i="3"/>
  <c r="BQ566" i="3"/>
  <c r="BQ564" i="3"/>
  <c r="BL564" i="3"/>
  <c r="BQ562" i="3"/>
  <c r="BL562" i="3"/>
  <c r="BQ560" i="3"/>
  <c r="BL560" i="3"/>
  <c r="BQ558" i="3"/>
  <c r="BL558" i="3"/>
  <c r="BQ556" i="3"/>
  <c r="BL556" i="3"/>
  <c r="BQ554" i="3"/>
  <c r="BQ552" i="3"/>
  <c r="BL552" i="3"/>
  <c r="BQ550" i="3"/>
  <c r="BL550" i="3"/>
  <c r="BQ548" i="3"/>
  <c r="BQ546" i="3"/>
  <c r="BL546" i="3"/>
  <c r="BQ544" i="3"/>
  <c r="BL544" i="3"/>
  <c r="G544" i="3"/>
  <c r="G538" i="3"/>
  <c r="G534" i="3"/>
  <c r="G530" i="3"/>
  <c r="G526" i="3"/>
  <c r="G522" i="3"/>
  <c r="BQ540" i="3"/>
  <c r="BL540" i="3"/>
  <c r="AZ540" i="3"/>
  <c r="BQ538" i="3"/>
  <c r="BL538" i="3"/>
  <c r="BQ536" i="3"/>
  <c r="BQ534" i="3"/>
  <c r="BQ532" i="3"/>
  <c r="BL532" i="3"/>
  <c r="AZ532" i="3"/>
  <c r="BQ530" i="3"/>
  <c r="BQ528" i="3"/>
  <c r="BQ526" i="3"/>
  <c r="BL526" i="3"/>
  <c r="BQ524" i="3"/>
  <c r="BL524" i="3"/>
  <c r="BQ522" i="3"/>
  <c r="BQ520" i="3"/>
  <c r="BL520" i="3"/>
  <c r="BQ518" i="3"/>
  <c r="BQ516" i="3"/>
  <c r="BL516" i="3"/>
  <c r="AZ516" i="3"/>
  <c r="BQ514" i="3"/>
  <c r="BL514" i="3"/>
  <c r="BQ512" i="3"/>
  <c r="BQ510" i="3"/>
  <c r="BL510" i="3"/>
  <c r="BQ508" i="3"/>
  <c r="BL508" i="3"/>
  <c r="AC506" i="3"/>
  <c r="G506" i="3"/>
  <c r="BQ506" i="3"/>
  <c r="G502" i="3"/>
  <c r="G498" i="3"/>
  <c r="BQ504" i="3"/>
  <c r="BQ502" i="3"/>
  <c r="BL502" i="3"/>
  <c r="BQ500" i="3"/>
  <c r="BL500" i="3"/>
  <c r="BQ498" i="3"/>
  <c r="BQ496" i="3"/>
  <c r="AC494" i="3"/>
  <c r="BQ494" i="3"/>
  <c r="BL493" i="3"/>
  <c r="AZ493" i="3"/>
  <c r="G492" i="3"/>
  <c r="G488" i="3"/>
  <c r="G484" i="3"/>
  <c r="G20" i="3"/>
  <c r="BQ492" i="3"/>
  <c r="BL492" i="3"/>
  <c r="BQ490" i="3"/>
  <c r="BQ488" i="3"/>
  <c r="BL488" i="3"/>
  <c r="BQ486" i="3"/>
  <c r="BQ484" i="3"/>
  <c r="BL484" i="3"/>
  <c r="BQ482" i="3"/>
  <c r="BL482" i="3"/>
  <c r="AZ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F79" i="37"/>
  <c r="G79" i="37"/>
  <c r="AB27" i="37"/>
  <c r="F39" i="33"/>
  <c r="AA39" i="33"/>
  <c r="E123" i="33"/>
  <c r="F123"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J43" i="33"/>
  <c r="AC43" i="33"/>
  <c r="J23" i="37"/>
  <c r="W23" i="37"/>
  <c r="F17" i="37"/>
  <c r="AA17" i="37"/>
  <c r="D3" i="21"/>
  <c r="W23" i="35"/>
  <c r="U39" i="37"/>
  <c r="AC8" i="37"/>
  <c r="AC45" i="33"/>
  <c r="U19" i="21"/>
  <c r="AC33" i="21"/>
  <c r="F43" i="33"/>
  <c r="AA43" i="33"/>
  <c r="S10" i="35"/>
  <c r="L107" i="37"/>
  <c r="M107" i="37"/>
  <c r="F37" i="21"/>
  <c r="S37" i="21"/>
  <c r="J37" i="21"/>
  <c r="W37" i="21"/>
  <c r="J10" i="37"/>
  <c r="W10" i="37"/>
  <c r="F36" i="35"/>
  <c r="S36" i="35"/>
  <c r="J9" i="37"/>
  <c r="W9" i="37"/>
  <c r="H9" i="37"/>
  <c r="U9" i="37"/>
  <c r="F9" i="37"/>
  <c r="S9" i="37"/>
  <c r="F11" i="37"/>
  <c r="S11" i="37"/>
  <c r="J12" i="37"/>
  <c r="AC12" i="37"/>
  <c r="H12" i="37"/>
  <c r="AB12" i="37"/>
  <c r="F12" i="37"/>
  <c r="AA12" i="37"/>
  <c r="H15" i="37"/>
  <c r="E94" i="37"/>
  <c r="F31" i="37"/>
  <c r="S31" i="37"/>
  <c r="F94" i="37"/>
  <c r="G94" i="37"/>
  <c r="H94" i="37"/>
  <c r="I94" i="37"/>
  <c r="J94" i="37"/>
  <c r="K94" i="37"/>
  <c r="L94" i="37"/>
  <c r="M94" i="37"/>
  <c r="H31" i="37"/>
  <c r="U31" i="37"/>
  <c r="J15" i="37"/>
  <c r="W15" i="37"/>
  <c r="U12" i="37"/>
  <c r="AB10" i="37"/>
  <c r="J11" i="37"/>
  <c r="W11" i="37"/>
  <c r="E90" i="40"/>
  <c r="F90" i="40"/>
  <c r="G90" i="40"/>
  <c r="F21" i="40"/>
  <c r="S21" i="40"/>
  <c r="W36" i="40"/>
  <c r="U40" i="39"/>
  <c r="J21" i="40"/>
  <c r="AC21" i="40"/>
  <c r="S27" i="31"/>
  <c r="G483" i="3"/>
  <c r="G515" i="3"/>
  <c r="G507" i="3"/>
  <c r="G501" i="3"/>
  <c r="BA15" i="3"/>
  <c r="BL17" i="3"/>
  <c r="BL15" i="3"/>
  <c r="BA14" i="3"/>
  <c r="J57" i="39"/>
  <c r="H13" i="40"/>
  <c r="U13" i="40"/>
  <c r="I4" i="4"/>
  <c r="K141" i="21"/>
  <c r="K143" i="21"/>
  <c r="K144" i="21"/>
  <c r="I59" i="40"/>
  <c r="C59" i="40"/>
  <c r="I60" i="40"/>
  <c r="C60" i="40"/>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c r="BL115" i="3"/>
  <c r="AZ115" i="3"/>
  <c r="G116" i="3"/>
  <c r="BA118" i="3"/>
  <c r="BL119" i="3"/>
  <c r="G120" i="3"/>
  <c r="BA122" i="3"/>
  <c r="BL123" i="3"/>
  <c r="AZ123" i="3"/>
  <c r="G124" i="3"/>
  <c r="BA126" i="3"/>
  <c r="BL127" i="3"/>
  <c r="G128" i="3"/>
  <c r="BA130" i="3"/>
  <c r="BL131" i="3"/>
  <c r="AZ131" i="3"/>
  <c r="G132" i="3"/>
  <c r="BA134" i="3"/>
  <c r="BL135" i="3"/>
  <c r="G136" i="3"/>
  <c r="BA138" i="3"/>
  <c r="BL139" i="3"/>
  <c r="G140" i="3"/>
  <c r="BA142" i="3"/>
  <c r="BL143" i="3"/>
  <c r="G144" i="3"/>
  <c r="BA146" i="3"/>
  <c r="BL147" i="3"/>
  <c r="G148" i="3"/>
  <c r="BA150" i="3"/>
  <c r="BL151" i="3"/>
  <c r="BA153" i="3"/>
  <c r="BL154" i="3"/>
  <c r="G155" i="3"/>
  <c r="BA157" i="3"/>
  <c r="BL158" i="3"/>
  <c r="AZ158" i="3"/>
  <c r="G159" i="3"/>
  <c r="BA161" i="3"/>
  <c r="AZ161" i="3"/>
  <c r="BL162" i="3"/>
  <c r="G163" i="3"/>
  <c r="BA165" i="3"/>
  <c r="BL166" i="3"/>
  <c r="G167" i="3"/>
  <c r="BA169" i="3"/>
  <c r="AZ169" i="3"/>
  <c r="BL170" i="3"/>
  <c r="G171" i="3"/>
  <c r="BA173" i="3"/>
  <c r="BL174" i="3"/>
  <c r="G175" i="3"/>
  <c r="BA178" i="3"/>
  <c r="BL179" i="3"/>
  <c r="G180" i="3"/>
  <c r="G537" i="3"/>
  <c r="BL181" i="3"/>
  <c r="G182" i="3"/>
  <c r="BA184" i="3"/>
  <c r="AZ184" i="3"/>
  <c r="BL185" i="3"/>
  <c r="G186" i="3"/>
  <c r="BA188" i="3"/>
  <c r="BL189" i="3"/>
  <c r="G190" i="3"/>
  <c r="BA192" i="3"/>
  <c r="AZ192" i="3"/>
  <c r="BL193" i="3"/>
  <c r="AZ193" i="3"/>
  <c r="G194" i="3"/>
  <c r="BA196" i="3"/>
  <c r="BL197" i="3"/>
  <c r="G198" i="3"/>
  <c r="BA200" i="3"/>
  <c r="AZ200" i="3"/>
  <c r="BL201" i="3"/>
  <c r="AZ70" i="3"/>
  <c r="AZ82" i="3"/>
  <c r="AZ84" i="3"/>
  <c r="G491" i="3"/>
  <c r="BA298" i="3"/>
  <c r="AZ298" i="3"/>
  <c r="BA299" i="3"/>
  <c r="BL299" i="3"/>
  <c r="G300" i="3"/>
  <c r="G303" i="3"/>
  <c r="BL304" i="3"/>
  <c r="BA306" i="3"/>
  <c r="AZ306" i="3"/>
  <c r="BA307" i="3"/>
  <c r="BL307" i="3"/>
  <c r="AZ307" i="3"/>
  <c r="G308" i="3"/>
  <c r="G319" i="3"/>
  <c r="BL320" i="3"/>
  <c r="BA322" i="3"/>
  <c r="AZ322" i="3"/>
  <c r="BA323" i="3"/>
  <c r="AZ323" i="3"/>
  <c r="BL323" i="3"/>
  <c r="G324" i="3"/>
  <c r="G327" i="3"/>
  <c r="BL328" i="3"/>
  <c r="BA330" i="3"/>
  <c r="BA331" i="3"/>
  <c r="BL331" i="3"/>
  <c r="G332" i="3"/>
  <c r="G335" i="3"/>
  <c r="BL336" i="3"/>
  <c r="BA338" i="3"/>
  <c r="AZ338" i="3"/>
  <c r="BA339" i="3"/>
  <c r="BL339" i="3"/>
  <c r="G340" i="3"/>
  <c r="G343" i="3"/>
  <c r="BL344" i="3"/>
  <c r="BA346" i="3"/>
  <c r="AZ346" i="3"/>
  <c r="BA347" i="3"/>
  <c r="BL347" i="3"/>
  <c r="G348" i="3"/>
  <c r="G351" i="3"/>
  <c r="BL352" i="3"/>
  <c r="BA354" i="3"/>
  <c r="AZ354" i="3"/>
  <c r="BA355" i="3"/>
  <c r="BL355" i="3"/>
  <c r="AZ355" i="3"/>
  <c r="G356" i="3"/>
  <c r="BA358" i="3"/>
  <c r="AZ358" i="3"/>
  <c r="BA359" i="3"/>
  <c r="BL359" i="3"/>
  <c r="G360" i="3"/>
  <c r="G361" i="3"/>
  <c r="BL362" i="3"/>
  <c r="BA364" i="3"/>
  <c r="AZ364" i="3"/>
  <c r="BA365" i="3"/>
  <c r="AZ365" i="3"/>
  <c r="BL365" i="3"/>
  <c r="G366" i="3"/>
  <c r="G369" i="3"/>
  <c r="BL370" i="3"/>
  <c r="BA372" i="3"/>
  <c r="AZ372" i="3"/>
  <c r="BA373" i="3"/>
  <c r="BL373" i="3"/>
  <c r="AZ373" i="3"/>
  <c r="G374" i="3"/>
  <c r="G377" i="3"/>
  <c r="BL378" i="3"/>
  <c r="BA380" i="3"/>
  <c r="BA381" i="3"/>
  <c r="AZ381" i="3"/>
  <c r="BL381" i="3"/>
  <c r="G382" i="3"/>
  <c r="G385" i="3"/>
  <c r="AZ183" i="3"/>
  <c r="G523" i="3"/>
  <c r="BL297" i="3"/>
  <c r="G298" i="3"/>
  <c r="BA300" i="3"/>
  <c r="BL301" i="3"/>
  <c r="G302" i="3"/>
  <c r="BA304" i="3"/>
  <c r="AZ304" i="3"/>
  <c r="BL305" i="3"/>
  <c r="G306" i="3"/>
  <c r="BA308" i="3"/>
  <c r="AZ308" i="3"/>
  <c r="BL309" i="3"/>
  <c r="G310" i="3"/>
  <c r="BA310" i="3"/>
  <c r="BL311" i="3"/>
  <c r="G312" i="3"/>
  <c r="BA312" i="3"/>
  <c r="AZ312" i="3"/>
  <c r="BL313" i="3"/>
  <c r="G314" i="3"/>
  <c r="BA314" i="3"/>
  <c r="BL315" i="3"/>
  <c r="G316" i="3"/>
  <c r="BA316" i="3"/>
  <c r="BL317" i="3"/>
  <c r="G318" i="3"/>
  <c r="BA320" i="3"/>
  <c r="AZ320" i="3"/>
  <c r="BL321" i="3"/>
  <c r="G322" i="3"/>
  <c r="BA324" i="3"/>
  <c r="AZ324" i="3"/>
  <c r="BL325" i="3"/>
  <c r="G326" i="3"/>
  <c r="BA328" i="3"/>
  <c r="AZ328" i="3"/>
  <c r="BL329" i="3"/>
  <c r="G330" i="3"/>
  <c r="BA332" i="3"/>
  <c r="BL333" i="3"/>
  <c r="G334" i="3"/>
  <c r="BA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321" i="3"/>
  <c r="AZ353" i="3"/>
  <c r="G368" i="3"/>
  <c r="BA370" i="3"/>
  <c r="AZ370" i="3"/>
  <c r="BL371" i="3"/>
  <c r="G372" i="3"/>
  <c r="BA374" i="3"/>
  <c r="AZ374" i="3"/>
  <c r="BL375" i="3"/>
  <c r="G376" i="3"/>
  <c r="BA378" i="3"/>
  <c r="AZ378" i="3"/>
  <c r="BL379" i="3"/>
  <c r="G380" i="3"/>
  <c r="BA382" i="3"/>
  <c r="BL383" i="3"/>
  <c r="G384" i="3"/>
  <c r="AZ383" i="3"/>
  <c r="AZ290" i="3"/>
  <c r="AZ303" i="3"/>
  <c r="AZ313" i="3"/>
  <c r="AZ319" i="3"/>
  <c r="AZ339" i="3"/>
  <c r="H7" i="48"/>
  <c r="F33" i="46"/>
  <c r="H16" i="48"/>
  <c r="H9" i="48"/>
  <c r="H8" i="48"/>
  <c r="C12" i="46"/>
  <c r="U43" i="21"/>
  <c r="AA13" i="40"/>
  <c r="E78" i="40"/>
  <c r="F78" i="40"/>
  <c r="G78" i="40"/>
  <c r="H78" i="40"/>
  <c r="I78" i="40"/>
  <c r="J78" i="40"/>
  <c r="K78" i="40"/>
  <c r="L78" i="40"/>
  <c r="M78" i="40"/>
  <c r="R16" i="4"/>
  <c r="P16" i="4"/>
  <c r="D3" i="35"/>
  <c r="G4" i="4"/>
  <c r="J16" i="35"/>
  <c r="W16" i="35"/>
  <c r="U42" i="21"/>
  <c r="AC26" i="36"/>
  <c r="AZ300" i="3"/>
  <c r="H13" i="39"/>
  <c r="AB13" i="39"/>
  <c r="F13" i="39"/>
  <c r="J13" i="39"/>
  <c r="AC13" i="39"/>
  <c r="AA36" i="35"/>
  <c r="H11" i="37"/>
  <c r="AB11" i="37"/>
  <c r="W37" i="37"/>
  <c r="AA36" i="37"/>
  <c r="AB17" i="37"/>
  <c r="AZ508" i="3"/>
  <c r="AA45" i="33"/>
  <c r="AC10" i="36"/>
  <c r="AC14" i="37"/>
  <c r="AB35" i="35"/>
  <c r="W44" i="33"/>
  <c r="W30" i="33"/>
  <c r="W32" i="36"/>
  <c r="AB28" i="33"/>
  <c r="J33" i="34"/>
  <c r="AC33" i="34"/>
  <c r="J40" i="34"/>
  <c r="W40" i="34"/>
  <c r="F16" i="35"/>
  <c r="AA16" i="35"/>
  <c r="S24" i="36"/>
  <c r="J35" i="34"/>
  <c r="AC35" i="34"/>
  <c r="S30" i="36"/>
  <c r="H16" i="36"/>
  <c r="AB16" i="36"/>
  <c r="H35" i="37"/>
  <c r="AB35" i="37"/>
  <c r="S26" i="21"/>
  <c r="AB12" i="21"/>
  <c r="H32" i="21"/>
  <c r="U32" i="21"/>
  <c r="AA33" i="21"/>
  <c r="S33"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H66" i="33"/>
  <c r="I66" i="33"/>
  <c r="F10" i="33"/>
  <c r="AA10" i="33"/>
  <c r="F11" i="33"/>
  <c r="S11" i="33"/>
  <c r="F35" i="33"/>
  <c r="AA35" i="33"/>
  <c r="F11" i="34"/>
  <c r="S11" i="34"/>
  <c r="E80"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F96" i="37"/>
  <c r="H32" i="37"/>
  <c r="AB32" i="37"/>
  <c r="F19" i="39"/>
  <c r="S19" i="39"/>
  <c r="H19" i="39"/>
  <c r="AB19" i="39"/>
  <c r="J19" i="39"/>
  <c r="W19" i="39"/>
  <c r="F43" i="39"/>
  <c r="H43" i="39"/>
  <c r="U43" i="39"/>
  <c r="J43" i="39"/>
  <c r="F99" i="37"/>
  <c r="G99" i="37"/>
  <c r="AC27" i="37"/>
  <c r="S45" i="34"/>
  <c r="AC40" i="37"/>
  <c r="W40" i="37"/>
  <c r="AC45" i="21"/>
  <c r="S28" i="33"/>
  <c r="S14" i="21"/>
  <c r="AB29" i="35"/>
  <c r="U29" i="35"/>
  <c r="AB43" i="34"/>
  <c r="AC34" i="37"/>
  <c r="S35" i="37"/>
  <c r="AA35" i="37"/>
  <c r="AB10" i="35"/>
  <c r="AA32" i="21"/>
  <c r="S32" i="21"/>
  <c r="U38" i="21"/>
  <c r="AB34" i="21"/>
  <c r="BL571" i="3"/>
  <c r="BA571" i="3"/>
  <c r="AZ571" i="3"/>
  <c r="BL570" i="3"/>
  <c r="BE5" i="3"/>
  <c r="F42" i="21"/>
  <c r="AA42" i="21"/>
  <c r="AB40" i="33"/>
  <c r="U40" i="33"/>
  <c r="S35" i="34"/>
  <c r="E90" i="34"/>
  <c r="F90" i="34"/>
  <c r="H27" i="34"/>
  <c r="AB27" i="34"/>
  <c r="AB8"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B29" i="37"/>
  <c r="AA30" i="37"/>
  <c r="S30" i="37"/>
  <c r="AC30" i="37"/>
  <c r="AC31" i="37"/>
  <c r="W31" i="37"/>
  <c r="AB14" i="37"/>
  <c r="F17" i="39"/>
  <c r="AA17" i="39"/>
  <c r="H17" i="39"/>
  <c r="U17" i="39"/>
  <c r="J17" i="39"/>
  <c r="W17" i="39"/>
  <c r="F21" i="39"/>
  <c r="S21" i="39"/>
  <c r="H21" i="39"/>
  <c r="AB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J34" i="39"/>
  <c r="AC34" i="39"/>
  <c r="F39" i="39"/>
  <c r="S39" i="39"/>
  <c r="H39" i="39"/>
  <c r="AB39" i="39"/>
  <c r="J39" i="39"/>
  <c r="J29" i="35"/>
  <c r="AC29" i="35"/>
  <c r="F29" i="35"/>
  <c r="S29" i="35"/>
  <c r="W30" i="36"/>
  <c r="AC30" i="36"/>
  <c r="F37" i="39"/>
  <c r="AA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AZ549" i="3"/>
  <c r="BL548" i="3"/>
  <c r="BA548" i="3"/>
  <c r="AZ548" i="3"/>
  <c r="BL547" i="3"/>
  <c r="BA547" i="3"/>
  <c r="BL539" i="3"/>
  <c r="BA539" i="3"/>
  <c r="AZ539" i="3"/>
  <c r="BA538" i="3"/>
  <c r="AZ538" i="3"/>
  <c r="BL537" i="3"/>
  <c r="AZ537" i="3"/>
  <c r="BA537" i="3"/>
  <c r="BL536" i="3"/>
  <c r="AZ536" i="3"/>
  <c r="BA535" i="3"/>
  <c r="AZ535" i="3"/>
  <c r="BA534" i="3"/>
  <c r="BA533" i="3"/>
  <c r="AZ533" i="3"/>
  <c r="BL531" i="3"/>
  <c r="AZ531" i="3"/>
  <c r="BL530" i="3"/>
  <c r="BA530" i="3"/>
  <c r="BL529" i="3"/>
  <c r="BA529" i="3"/>
  <c r="AZ529" i="3"/>
  <c r="BL528" i="3"/>
  <c r="BA527" i="3"/>
  <c r="AZ527" i="3"/>
  <c r="BA526" i="3"/>
  <c r="AZ526" i="3"/>
  <c r="BA525" i="3"/>
  <c r="AZ525" i="3"/>
  <c r="BL523" i="3"/>
  <c r="BA523" i="3"/>
  <c r="BL522" i="3"/>
  <c r="BA522" i="3"/>
  <c r="BL521" i="3"/>
  <c r="AZ521" i="3"/>
  <c r="BA519" i="3"/>
  <c r="AZ519" i="3"/>
  <c r="BL518" i="3"/>
  <c r="BA518" i="3"/>
  <c r="AZ518" i="3"/>
  <c r="BL517" i="3"/>
  <c r="BA517" i="3"/>
  <c r="AZ517" i="3"/>
  <c r="BL515" i="3"/>
  <c r="BA515" i="3"/>
  <c r="BA514" i="3"/>
  <c r="AZ514" i="3"/>
  <c r="BL513" i="3"/>
  <c r="BA513" i="3"/>
  <c r="BL512" i="3"/>
  <c r="AZ512" i="3"/>
  <c r="BA511" i="3"/>
  <c r="AZ511" i="3"/>
  <c r="BA510" i="3"/>
  <c r="AZ510" i="3"/>
  <c r="BL509" i="3"/>
  <c r="AZ509" i="3"/>
  <c r="BL507" i="3"/>
  <c r="BA507" i="3"/>
  <c r="AZ507" i="3"/>
  <c r="BL506" i="3"/>
  <c r="BA506" i="3"/>
  <c r="AZ506" i="3"/>
  <c r="BL505" i="3"/>
  <c r="AZ505" i="3"/>
  <c r="BL504" i="3"/>
  <c r="AZ504" i="3"/>
  <c r="BA504" i="3"/>
  <c r="BA503" i="3"/>
  <c r="AZ503" i="3"/>
  <c r="BA500" i="3"/>
  <c r="BL499" i="3"/>
  <c r="BA499" i="3"/>
  <c r="BL498" i="3"/>
  <c r="AZ498" i="3"/>
  <c r="BL497" i="3"/>
  <c r="BA497" i="3"/>
  <c r="BL496" i="3"/>
  <c r="AZ496" i="3"/>
  <c r="BA496" i="3"/>
  <c r="BA495" i="3"/>
  <c r="AZ495" i="3"/>
  <c r="BL494" i="3"/>
  <c r="BA494" i="3"/>
  <c r="AZ494" i="3"/>
  <c r="G494" i="3"/>
  <c r="BA491" i="3"/>
  <c r="AZ491" i="3"/>
  <c r="BL490" i="3"/>
  <c r="BA490" i="3"/>
  <c r="BL489" i="3"/>
  <c r="BA489" i="3"/>
  <c r="BL487" i="3"/>
  <c r="AZ487" i="3"/>
  <c r="BL486" i="3"/>
  <c r="AZ486" i="3"/>
  <c r="BA486" i="3"/>
  <c r="BA485" i="3"/>
  <c r="AZ485" i="3"/>
  <c r="BA483" i="3"/>
  <c r="AZ483" i="3"/>
  <c r="BA482" i="3"/>
  <c r="BL481" i="3"/>
  <c r="BJ5" i="3"/>
  <c r="BA481" i="3"/>
  <c r="AZ481" i="3"/>
  <c r="BL19" i="3"/>
  <c r="AZ19" i="3"/>
  <c r="BA18" i="3"/>
  <c r="F36" i="44"/>
  <c r="H38" i="34"/>
  <c r="U38" i="34"/>
  <c r="H30" i="40"/>
  <c r="AB30" i="40"/>
  <c r="G100" i="40"/>
  <c r="J30" i="40"/>
  <c r="AC30" i="40"/>
  <c r="F38" i="40"/>
  <c r="AA38" i="40"/>
  <c r="AC12" i="21"/>
  <c r="W12" i="21"/>
  <c r="AB33" i="21"/>
  <c r="S35" i="21"/>
  <c r="U8" i="21"/>
  <c r="S34" i="21"/>
  <c r="AC36" i="21"/>
  <c r="AB8" i="33"/>
  <c r="E106" i="33"/>
  <c r="H34" i="33"/>
  <c r="U34" i="33"/>
  <c r="F34" i="33"/>
  <c r="S34" i="33"/>
  <c r="E121" i="33"/>
  <c r="F41" i="33"/>
  <c r="S41" i="33"/>
  <c r="AA39" i="34"/>
  <c r="E78" i="34"/>
  <c r="F15" i="34"/>
  <c r="S15" i="34"/>
  <c r="AC28" i="35"/>
  <c r="W28" i="35"/>
  <c r="J20" i="35"/>
  <c r="AC20" i="35"/>
  <c r="E72" i="35"/>
  <c r="F72" i="35"/>
  <c r="G72" i="35"/>
  <c r="H22" i="35"/>
  <c r="AB22" i="35"/>
  <c r="H23" i="35"/>
  <c r="U23" i="35"/>
  <c r="F23" i="35"/>
  <c r="AA23" i="35"/>
  <c r="W12" i="36"/>
  <c r="AC12" i="36"/>
  <c r="U31" i="36"/>
  <c r="S8" i="37"/>
  <c r="AA8" i="37"/>
  <c r="F14" i="39"/>
  <c r="AA14" i="39"/>
  <c r="H14" i="39"/>
  <c r="AB14" i="39"/>
  <c r="J14" i="39"/>
  <c r="W14" i="39"/>
  <c r="F16" i="39"/>
  <c r="H16" i="39"/>
  <c r="U16" i="39"/>
  <c r="J16" i="39"/>
  <c r="AC16" i="39"/>
  <c r="F23" i="39"/>
  <c r="AA23" i="39"/>
  <c r="E97" i="39"/>
  <c r="F97" i="39"/>
  <c r="G97" i="39"/>
  <c r="F27" i="39"/>
  <c r="AA27" i="39"/>
  <c r="H27" i="39"/>
  <c r="U27" i="39"/>
  <c r="J27" i="39"/>
  <c r="AC27" i="39"/>
  <c r="F15" i="40"/>
  <c r="AA15" i="40"/>
  <c r="J15" i="40"/>
  <c r="AC15" i="40"/>
  <c r="H15" i="40"/>
  <c r="AB15" i="40"/>
  <c r="E92" i="40"/>
  <c r="F92" i="40"/>
  <c r="G92" i="40"/>
  <c r="H23" i="40"/>
  <c r="U23" i="40"/>
  <c r="H41" i="40"/>
  <c r="U41" i="40"/>
  <c r="F41" i="40"/>
  <c r="AA41" i="40"/>
  <c r="J41" i="40"/>
  <c r="W41" i="40"/>
  <c r="F15" i="39"/>
  <c r="AA15" i="39"/>
  <c r="H15" i="39"/>
  <c r="U15" i="39"/>
  <c r="J15" i="39"/>
  <c r="AC15" i="39"/>
  <c r="H25" i="39"/>
  <c r="U25" i="39"/>
  <c r="J25" i="39"/>
  <c r="AC25" i="39"/>
  <c r="F25" i="39"/>
  <c r="AA25" i="39"/>
  <c r="F45" i="39"/>
  <c r="AA45" i="39"/>
  <c r="H45" i="39"/>
  <c r="U45" i="39"/>
  <c r="J45" i="39"/>
  <c r="AC45" i="39"/>
  <c r="F47" i="39"/>
  <c r="AA47" i="39"/>
  <c r="H47" i="39"/>
  <c r="U47" i="39"/>
  <c r="AB47" i="39"/>
  <c r="J47" i="39"/>
  <c r="W47" i="39"/>
  <c r="F41" i="39"/>
  <c r="AA41" i="39"/>
  <c r="H41" i="39"/>
  <c r="AB41" i="39"/>
  <c r="J41" i="39"/>
  <c r="AC41" i="39"/>
  <c r="E94" i="40"/>
  <c r="F94" i="40"/>
  <c r="G94" i="40"/>
  <c r="J25" i="40"/>
  <c r="AC25" i="40"/>
  <c r="H33" i="40"/>
  <c r="AB33" i="40"/>
  <c r="F33" i="40"/>
  <c r="J33" i="40"/>
  <c r="AC33" i="40"/>
  <c r="H35" i="40"/>
  <c r="AB35" i="40"/>
  <c r="F35" i="40"/>
  <c r="AA35" i="40"/>
  <c r="J35" i="40"/>
  <c r="AC35" i="40"/>
  <c r="J38" i="39"/>
  <c r="W38" i="39"/>
  <c r="H38" i="39"/>
  <c r="U38" i="39"/>
  <c r="J16" i="40"/>
  <c r="W16" i="40"/>
  <c r="J14" i="40"/>
  <c r="W14" i="40"/>
  <c r="H42" i="40"/>
  <c r="AB42" i="40"/>
  <c r="H40" i="40"/>
  <c r="U40" i="40"/>
  <c r="H34" i="40"/>
  <c r="U34" i="40"/>
  <c r="J42" i="40"/>
  <c r="AC42" i="40"/>
  <c r="J40" i="40"/>
  <c r="AC40" i="40"/>
  <c r="J34" i="40"/>
  <c r="AC34" i="40"/>
  <c r="H16" i="40"/>
  <c r="U16" i="40"/>
  <c r="AB16" i="40"/>
  <c r="H14" i="40"/>
  <c r="U14" i="40"/>
  <c r="AZ428" i="3"/>
  <c r="M1" i="46"/>
  <c r="M6" i="46"/>
  <c r="M10" i="46"/>
  <c r="N2" i="46"/>
  <c r="N5" i="46"/>
  <c r="F58" i="46"/>
  <c r="H61" i="46"/>
  <c r="N7" i="46"/>
  <c r="AZ458" i="3"/>
  <c r="AZ215" i="3"/>
  <c r="AZ236" i="3"/>
  <c r="M7" i="46"/>
  <c r="M11" i="46"/>
  <c r="N3" i="46"/>
  <c r="N6" i="46"/>
  <c r="N10" i="46"/>
  <c r="AZ112" i="3"/>
  <c r="J13" i="40"/>
  <c r="W13" i="40"/>
  <c r="AB14" i="40"/>
  <c r="W40" i="40"/>
  <c r="AC14" i="40"/>
  <c r="AC47" i="39"/>
  <c r="S47" i="39"/>
  <c r="AC41" i="40"/>
  <c r="J23" i="40"/>
  <c r="W23" i="40"/>
  <c r="F23" i="40"/>
  <c r="S23" i="40"/>
  <c r="W15" i="40"/>
  <c r="S23" i="39"/>
  <c r="AB16" i="39"/>
  <c r="H20" i="35"/>
  <c r="U20" i="35"/>
  <c r="F20" i="35"/>
  <c r="AA20" i="35"/>
  <c r="S20" i="35"/>
  <c r="F78" i="34"/>
  <c r="G78" i="34"/>
  <c r="J15" i="34"/>
  <c r="W15" i="34"/>
  <c r="H41" i="33"/>
  <c r="AB41" i="33"/>
  <c r="F121" i="33"/>
  <c r="G121" i="33"/>
  <c r="H121" i="33"/>
  <c r="I121" i="33"/>
  <c r="J121" i="33"/>
  <c r="K121" i="33"/>
  <c r="L121" i="33"/>
  <c r="M121" i="33"/>
  <c r="F30" i="40"/>
  <c r="S30" i="40"/>
  <c r="H100" i="40"/>
  <c r="I100" i="40"/>
  <c r="J100" i="40"/>
  <c r="K100" i="40"/>
  <c r="L100" i="40"/>
  <c r="M100" i="40"/>
  <c r="AZ497" i="3"/>
  <c r="AZ530" i="3"/>
  <c r="AZ547" i="3"/>
  <c r="AB37" i="39"/>
  <c r="U39" i="39"/>
  <c r="J29" i="39"/>
  <c r="AC29" i="39"/>
  <c r="U21" i="39"/>
  <c r="AB17" i="39"/>
  <c r="AB33" i="36"/>
  <c r="AA11" i="36"/>
  <c r="AA14" i="35"/>
  <c r="F33" i="37"/>
  <c r="AA33" i="37"/>
  <c r="U19" i="39"/>
  <c r="AC30" i="34"/>
  <c r="AA14" i="34"/>
  <c r="W12" i="34"/>
  <c r="AC13" i="33"/>
  <c r="AA11" i="33"/>
  <c r="S13" i="39"/>
  <c r="AA13" i="39"/>
  <c r="AB34" i="40"/>
  <c r="H25" i="40"/>
  <c r="AB25" i="40"/>
  <c r="W15" i="39"/>
  <c r="S41" i="40"/>
  <c r="AB23" i="40"/>
  <c r="H23" i="39"/>
  <c r="AB23" i="39"/>
  <c r="J23" i="39"/>
  <c r="AC23" i="39"/>
  <c r="F106" i="33"/>
  <c r="G106" i="33"/>
  <c r="H106" i="33"/>
  <c r="I106" i="33"/>
  <c r="J106" i="33"/>
  <c r="K106" i="33"/>
  <c r="L106" i="33"/>
  <c r="M106" i="33"/>
  <c r="J34" i="33"/>
  <c r="AC34" i="33"/>
  <c r="AC39" i="39"/>
  <c r="W39" i="39"/>
  <c r="AA39" i="39"/>
  <c r="AB29" i="39"/>
  <c r="AB46" i="39"/>
  <c r="AB44" i="39"/>
  <c r="W33" i="39"/>
  <c r="F80" i="35"/>
  <c r="G80" i="35"/>
  <c r="H80" i="35"/>
  <c r="I80" i="35"/>
  <c r="J80" i="35"/>
  <c r="K80" i="35"/>
  <c r="L80" i="35"/>
  <c r="M80" i="35"/>
  <c r="W14" i="35"/>
  <c r="G90" i="34"/>
  <c r="H90" i="34"/>
  <c r="I90" i="34"/>
  <c r="J90" i="34"/>
  <c r="K90" i="34"/>
  <c r="L90" i="34"/>
  <c r="M90" i="34"/>
  <c r="F27" i="34"/>
  <c r="S27" i="34"/>
  <c r="AC43" i="39"/>
  <c r="W43" i="39"/>
  <c r="AA19" i="39"/>
  <c r="G96" i="37"/>
  <c r="H96" i="37"/>
  <c r="I96" i="37"/>
  <c r="J96" i="37"/>
  <c r="K96" i="37"/>
  <c r="L96" i="37"/>
  <c r="M96" i="37"/>
  <c r="F32" i="37"/>
  <c r="S32" i="37"/>
  <c r="AB11" i="35"/>
  <c r="U14" i="34"/>
  <c r="AB13" i="33"/>
  <c r="F17" i="34"/>
  <c r="AA17" i="34"/>
  <c r="J17" i="34"/>
  <c r="AC17" i="34"/>
  <c r="H11" i="34"/>
  <c r="AB11" i="34"/>
  <c r="J35" i="33"/>
  <c r="W35" i="33"/>
  <c r="H11" i="33"/>
  <c r="U11" i="33"/>
  <c r="H10" i="33"/>
  <c r="U10" i="33"/>
  <c r="J10" i="33"/>
  <c r="AC10" i="33"/>
  <c r="U11" i="37"/>
  <c r="U13" i="39"/>
  <c r="AC16" i="35"/>
  <c r="AC13" i="40"/>
  <c r="J11" i="34"/>
  <c r="W11" i="34"/>
  <c r="F25" i="40"/>
  <c r="AA25" i="40"/>
  <c r="J11" i="33"/>
  <c r="W11" i="33"/>
  <c r="H33" i="37"/>
  <c r="AB33" i="37"/>
  <c r="AP11" i="1"/>
  <c r="B11" i="1"/>
  <c r="E11" i="1"/>
  <c r="K11" i="1"/>
  <c r="M11" i="1"/>
  <c r="O11" i="1"/>
  <c r="P11" i="1"/>
  <c r="B9" i="1"/>
  <c r="E9" i="1"/>
  <c r="K9" i="1"/>
  <c r="M9" i="1"/>
  <c r="B7" i="1"/>
  <c r="E7" i="1"/>
  <c r="F6" i="1"/>
  <c r="AP6" i="1"/>
  <c r="M22" i="44"/>
  <c r="AC25" i="36"/>
  <c r="S23" i="36"/>
  <c r="S8" i="36"/>
  <c r="AA26" i="36"/>
  <c r="AA28" i="36"/>
  <c r="U25" i="36"/>
  <c r="H20" i="36"/>
  <c r="U20" i="36"/>
  <c r="F68" i="36"/>
  <c r="G68" i="36"/>
  <c r="J20" i="36"/>
  <c r="AC20" i="36"/>
  <c r="F20" i="36"/>
  <c r="S20" i="36"/>
  <c r="F62" i="36"/>
  <c r="G62" i="36"/>
  <c r="J14" i="36"/>
  <c r="W14" i="36"/>
  <c r="H14" i="36"/>
  <c r="U14" i="36"/>
  <c r="F14" i="36"/>
  <c r="AA14" i="36"/>
  <c r="W20" i="36"/>
  <c r="U32" i="36"/>
  <c r="AB12" i="36"/>
  <c r="U9" i="36"/>
  <c r="S33" i="36"/>
  <c r="AA27" i="36"/>
  <c r="S16" i="36"/>
  <c r="S29" i="36"/>
  <c r="AC33" i="35"/>
  <c r="U22" i="35"/>
  <c r="AA13" i="35"/>
  <c r="S8" i="35"/>
  <c r="U33" i="35"/>
  <c r="S23" i="35"/>
  <c r="S16" i="35"/>
  <c r="AB14" i="35"/>
  <c r="AC10" i="35"/>
  <c r="W13" i="35"/>
  <c r="AC18" i="35"/>
  <c r="W18" i="35"/>
  <c r="U18" i="35"/>
  <c r="AB18" i="35"/>
  <c r="S30" i="35"/>
  <c r="AA35" i="35"/>
  <c r="AB30" i="35"/>
  <c r="S27" i="35"/>
  <c r="S28" i="35"/>
  <c r="J26" i="35"/>
  <c r="F26" i="35"/>
  <c r="AA26" i="35"/>
  <c r="H26" i="35"/>
  <c r="AB9" i="37"/>
  <c r="W12" i="37"/>
  <c r="AA9" i="37"/>
  <c r="S17" i="37"/>
  <c r="AB37" i="37"/>
  <c r="AA31" i="37"/>
  <c r="S33" i="37"/>
  <c r="U32" i="37"/>
  <c r="AA32" i="37"/>
  <c r="J33" i="37"/>
  <c r="AC33" i="37"/>
  <c r="W33" i="37"/>
  <c r="H99" i="37"/>
  <c r="I99" i="37"/>
  <c r="J99" i="37"/>
  <c r="K99" i="37"/>
  <c r="L99" i="37"/>
  <c r="M99" i="37"/>
  <c r="S29" i="37"/>
  <c r="J19" i="37"/>
  <c r="AC19" i="37"/>
  <c r="G75" i="37"/>
  <c r="F19" i="37"/>
  <c r="AA19" i="37"/>
  <c r="H19" i="37"/>
  <c r="J17" i="37"/>
  <c r="AC17" i="37"/>
  <c r="S15" i="37"/>
  <c r="AC10" i="37"/>
  <c r="AC21" i="37"/>
  <c r="W21" i="37"/>
  <c r="AC11" i="37"/>
  <c r="AC9" i="37"/>
  <c r="W32" i="37"/>
  <c r="U35" i="37"/>
  <c r="U8" i="37"/>
  <c r="AB21" i="37"/>
  <c r="U21" i="37"/>
  <c r="S37" i="37"/>
  <c r="S40" i="37"/>
  <c r="AA11" i="37"/>
  <c r="S10" i="37"/>
  <c r="AC45" i="34"/>
  <c r="AA40" i="34"/>
  <c r="U30" i="34"/>
  <c r="S32" i="34"/>
  <c r="AA12" i="34"/>
  <c r="AA30" i="34"/>
  <c r="AC32" i="34"/>
  <c r="U44" i="34"/>
  <c r="J25" i="34"/>
  <c r="AC25" i="34"/>
  <c r="H25" i="34"/>
  <c r="AB25" i="34"/>
  <c r="J23" i="34"/>
  <c r="AC23" i="34"/>
  <c r="F23" i="34"/>
  <c r="S23" i="34"/>
  <c r="H23" i="34"/>
  <c r="AB23" i="34"/>
  <c r="W29" i="34"/>
  <c r="AC21" i="34"/>
  <c r="W21" i="34"/>
  <c r="AB21" i="34"/>
  <c r="U21" i="34"/>
  <c r="U27" i="34"/>
  <c r="AB41" i="34"/>
  <c r="S13" i="34"/>
  <c r="AA41" i="34"/>
  <c r="AC12" i="33"/>
  <c r="W31" i="33"/>
  <c r="W43" i="33"/>
  <c r="U46" i="33"/>
  <c r="W39" i="33"/>
  <c r="AB34" i="33"/>
  <c r="J23" i="33"/>
  <c r="W23" i="33"/>
  <c r="F17" i="33"/>
  <c r="AA17" i="33"/>
  <c r="H17" i="33"/>
  <c r="AB17" i="33"/>
  <c r="J17" i="33"/>
  <c r="W17" i="33"/>
  <c r="S14" i="33"/>
  <c r="AC21" i="33"/>
  <c r="W21" i="33"/>
  <c r="W14" i="33"/>
  <c r="AB21" i="33"/>
  <c r="U21" i="33"/>
  <c r="AA21" i="33"/>
  <c r="S21" i="33"/>
  <c r="AA44" i="33"/>
  <c r="S44" i="21"/>
  <c r="W39" i="21"/>
  <c r="AC34" i="21"/>
  <c r="W32" i="21"/>
  <c r="U35" i="21"/>
  <c r="W43" i="21"/>
  <c r="AA37" i="21"/>
  <c r="S42" i="21"/>
  <c r="AB37" i="21"/>
  <c r="AB32" i="21"/>
  <c r="W28" i="21"/>
  <c r="AC46" i="21"/>
  <c r="AC26" i="21"/>
  <c r="F85" i="21"/>
  <c r="G85" i="21"/>
  <c r="J23" i="21"/>
  <c r="AC23" i="21"/>
  <c r="F23" i="21"/>
  <c r="S23" i="21"/>
  <c r="H23" i="21"/>
  <c r="U23" i="21"/>
  <c r="AA17" i="21"/>
  <c r="W17" i="21"/>
  <c r="F15" i="21"/>
  <c r="S15" i="21"/>
  <c r="F77" i="21"/>
  <c r="G77" i="21"/>
  <c r="J15" i="21"/>
  <c r="W15" i="21"/>
  <c r="H15" i="21"/>
  <c r="AB15" i="21"/>
  <c r="AC11" i="21"/>
  <c r="AB11" i="21"/>
  <c r="AA11" i="21"/>
  <c r="AC21" i="21"/>
  <c r="W21" i="21"/>
  <c r="W44" i="21"/>
  <c r="AC19" i="21"/>
  <c r="AC38" i="21"/>
  <c r="AB21" i="21"/>
  <c r="U21" i="21"/>
  <c r="AA30" i="21"/>
  <c r="U33" i="40"/>
  <c r="S35" i="40"/>
  <c r="U15" i="40"/>
  <c r="S14" i="40"/>
  <c r="S15" i="40"/>
  <c r="AB13" i="40"/>
  <c r="S16" i="40"/>
  <c r="W11" i="40"/>
  <c r="AA21" i="40"/>
  <c r="U21" i="40"/>
  <c r="W25" i="40"/>
  <c r="W42" i="40"/>
  <c r="F37" i="40"/>
  <c r="J37" i="40"/>
  <c r="AC37" i="40"/>
  <c r="H37" i="40"/>
  <c r="U37" i="40"/>
  <c r="G113" i="40"/>
  <c r="H113" i="40"/>
  <c r="I113" i="40"/>
  <c r="J113" i="40"/>
  <c r="K113" i="40"/>
  <c r="L113" i="40"/>
  <c r="M113" i="40"/>
  <c r="F39" i="40"/>
  <c r="AA39" i="40"/>
  <c r="S38" i="40"/>
  <c r="H39" i="40"/>
  <c r="AB39" i="40"/>
  <c r="J39" i="40"/>
  <c r="W38" i="40"/>
  <c r="F29" i="40"/>
  <c r="AA29" i="40"/>
  <c r="H29" i="40"/>
  <c r="U29" i="40"/>
  <c r="J29" i="40"/>
  <c r="F98" i="40"/>
  <c r="G98" i="40"/>
  <c r="H98" i="40"/>
  <c r="I98" i="40"/>
  <c r="J98" i="40"/>
  <c r="K98" i="40"/>
  <c r="L98" i="40"/>
  <c r="M98" i="40"/>
  <c r="F88" i="40"/>
  <c r="G88" i="40"/>
  <c r="F19" i="40"/>
  <c r="H19" i="40"/>
  <c r="U19" i="40"/>
  <c r="J19" i="40"/>
  <c r="W17" i="40"/>
  <c r="AC17" i="40"/>
  <c r="F17" i="40"/>
  <c r="AA17" i="40"/>
  <c r="H17" i="40"/>
  <c r="AB17" i="40"/>
  <c r="W21" i="40"/>
  <c r="AB40" i="40"/>
  <c r="U10" i="40"/>
  <c r="U27" i="40"/>
  <c r="AB27" i="40"/>
  <c r="AC44" i="39"/>
  <c r="W13" i="39"/>
  <c r="S11" i="39"/>
  <c r="AB45" i="39"/>
  <c r="S27" i="39"/>
  <c r="AA21" i="39"/>
  <c r="AC19" i="39"/>
  <c r="W29" i="39"/>
  <c r="S29" i="39"/>
  <c r="AC21" i="39"/>
  <c r="AC17" i="39"/>
  <c r="S14" i="39"/>
  <c r="AB15" i="39"/>
  <c r="U11" i="39"/>
  <c r="U41" i="39"/>
  <c r="U23" i="39"/>
  <c r="U31" i="39"/>
  <c r="AB31" i="39"/>
  <c r="S25" i="39"/>
  <c r="S38" i="39"/>
  <c r="S22" i="31"/>
  <c r="B20" i="31"/>
  <c r="M20" i="15"/>
  <c r="A18" i="64"/>
  <c r="B74" i="63"/>
  <c r="C53" i="10"/>
  <c r="A25" i="64"/>
  <c r="A18" i="51"/>
  <c r="B14" i="63"/>
  <c r="BA16" i="3"/>
  <c r="BA17" i="3"/>
  <c r="AZ17" i="3"/>
  <c r="K1" i="43"/>
  <c r="K1" i="12"/>
  <c r="G1" i="44"/>
  <c r="AZ15" i="3"/>
  <c r="BK5" i="3"/>
  <c r="BO5" i="3"/>
  <c r="BP5" i="3"/>
  <c r="BN5" i="3"/>
  <c r="BL18" i="3"/>
  <c r="AZ18" i="3"/>
  <c r="BC5" i="3"/>
  <c r="BD5" i="3"/>
  <c r="BR5" i="3"/>
  <c r="BS5" i="3"/>
  <c r="BQ5" i="3"/>
  <c r="BL16" i="3"/>
  <c r="BM5" i="3"/>
  <c r="BA13" i="3"/>
  <c r="G28" i="12"/>
  <c r="G26" i="12"/>
  <c r="D24" i="44"/>
  <c r="D26" i="44"/>
  <c r="G23" i="43"/>
  <c r="N8" i="46"/>
  <c r="N4" i="46"/>
  <c r="N1" i="46"/>
  <c r="F47" i="46"/>
  <c r="H52" i="46"/>
  <c r="M9" i="46"/>
  <c r="M2" i="46"/>
  <c r="N11" i="46"/>
  <c r="N9" i="46"/>
  <c r="M4" i="46"/>
  <c r="M12" i="46"/>
  <c r="M8" i="46"/>
  <c r="M3" i="46"/>
  <c r="M5" i="46"/>
  <c r="C6" i="46"/>
  <c r="H6" i="48"/>
  <c r="H15" i="48"/>
  <c r="H5" i="48"/>
  <c r="H14" i="48"/>
  <c r="F36" i="46"/>
  <c r="K17" i="46"/>
  <c r="F39" i="46"/>
  <c r="H13" i="48"/>
  <c r="H11" i="48"/>
  <c r="D17" i="46"/>
  <c r="D71" i="46"/>
  <c r="D84" i="46"/>
  <c r="E80" i="46"/>
  <c r="B78" i="46"/>
  <c r="D69" i="46"/>
  <c r="E47" i="46"/>
  <c r="B45" i="46"/>
  <c r="A4" i="64"/>
  <c r="A4" i="51"/>
  <c r="B6" i="63"/>
  <c r="C51" i="10"/>
  <c r="I100" i="46"/>
  <c r="N100" i="46"/>
  <c r="H100" i="46"/>
  <c r="F108" i="46"/>
  <c r="E100" i="46"/>
  <c r="G100" i="46"/>
  <c r="H84" i="46"/>
  <c r="C100" i="46"/>
  <c r="J100" i="46"/>
  <c r="M100" i="46"/>
  <c r="AA12" i="36"/>
  <c r="W11" i="35"/>
  <c r="AA11" i="35"/>
  <c r="S14" i="37"/>
  <c r="U13" i="37"/>
  <c r="S13" i="21"/>
  <c r="C24" i="9"/>
  <c r="C25" i="9"/>
  <c r="G9" i="1"/>
  <c r="L5" i="54"/>
  <c r="B39" i="63"/>
  <c r="K5" i="54"/>
  <c r="A3" i="55"/>
  <c r="B56" i="63"/>
  <c r="T41" i="4"/>
  <c r="A17" i="64"/>
  <c r="B46" i="50"/>
  <c r="B4" i="63"/>
  <c r="A22" i="51"/>
  <c r="B16" i="63"/>
  <c r="H82" i="46"/>
  <c r="H10" i="48"/>
  <c r="H87" i="46"/>
  <c r="H83" i="46"/>
  <c r="S11" i="1"/>
  <c r="R11" i="1"/>
  <c r="S13" i="1"/>
  <c r="R13" i="1"/>
  <c r="B6" i="1"/>
  <c r="E6" i="1"/>
  <c r="S10" i="1"/>
  <c r="B8" i="1"/>
  <c r="E8" i="1"/>
  <c r="B12" i="1"/>
  <c r="E12" i="1"/>
  <c r="S12" i="1"/>
  <c r="K6" i="1"/>
  <c r="M6" i="1"/>
  <c r="G1" i="15"/>
  <c r="F66" i="36"/>
  <c r="G66" i="36"/>
  <c r="H18" i="36"/>
  <c r="U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15" i="37"/>
  <c r="AA13" i="37"/>
  <c r="S12" i="37"/>
  <c r="W38" i="37"/>
  <c r="W36" i="37"/>
  <c r="U26" i="37"/>
  <c r="AB28" i="37"/>
  <c r="S28" i="37"/>
  <c r="W13" i="37"/>
  <c r="U38" i="37"/>
  <c r="AA31" i="34"/>
  <c r="AB29" i="34"/>
  <c r="AB47" i="34"/>
  <c r="AB13" i="34"/>
  <c r="AC13" i="34"/>
  <c r="S47" i="34"/>
  <c r="AA29" i="34"/>
  <c r="S8" i="34"/>
  <c r="AB14" i="33"/>
  <c r="AB12" i="33"/>
  <c r="S39" i="21"/>
  <c r="AB25" i="21"/>
  <c r="W25" i="21"/>
  <c r="AA25" i="21"/>
  <c r="AC37" i="21"/>
  <c r="AA29" i="21"/>
  <c r="U27" i="21"/>
  <c r="W31" i="21"/>
  <c r="S27" i="21"/>
  <c r="AA15" i="21"/>
  <c r="AC27" i="21"/>
  <c r="W29" i="21"/>
  <c r="G96" i="40"/>
  <c r="J27" i="40"/>
  <c r="W3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62" i="46"/>
  <c r="B66" i="46"/>
  <c r="B53" i="46"/>
  <c r="B64" i="46"/>
  <c r="D24" i="15"/>
  <c r="F28" i="6"/>
  <c r="S14" i="36"/>
  <c r="AB20" i="36"/>
  <c r="AA20" i="36"/>
  <c r="AC14" i="36"/>
  <c r="S26" i="35"/>
  <c r="U26" i="35"/>
  <c r="AB26" i="35"/>
  <c r="W26" i="35"/>
  <c r="AC26" i="35"/>
  <c r="S19" i="37"/>
  <c r="W19" i="37"/>
  <c r="AB19" i="37"/>
  <c r="U19" i="37"/>
  <c r="W17" i="37"/>
  <c r="AB23" i="21"/>
  <c r="AA23" i="21"/>
  <c r="U15" i="21"/>
  <c r="U39" i="40"/>
  <c r="AC39" i="40"/>
  <c r="W39" i="40"/>
  <c r="S39" i="40"/>
  <c r="AB37" i="40"/>
  <c r="AB29" i="40"/>
  <c r="AC29" i="40"/>
  <c r="W29" i="40"/>
  <c r="S29" i="40"/>
  <c r="W19" i="40"/>
  <c r="AC19" i="40"/>
  <c r="AA19" i="40"/>
  <c r="S19" i="40"/>
  <c r="AB19" i="40"/>
  <c r="W31" i="39"/>
  <c r="AC31" i="39"/>
  <c r="R22" i="31"/>
  <c r="B21" i="31"/>
  <c r="AT6" i="3"/>
  <c r="G29" i="6"/>
  <c r="A9" i="64"/>
  <c r="A9" i="51"/>
  <c r="B9" i="63"/>
  <c r="E4" i="4"/>
  <c r="B21" i="55"/>
  <c r="B72" i="63"/>
  <c r="C4" i="4"/>
  <c r="B20" i="55"/>
  <c r="B70" i="63"/>
  <c r="J18" i="36"/>
  <c r="AE6" i="1"/>
  <c r="W18" i="36"/>
  <c r="AC18" i="36"/>
  <c r="AG6" i="1"/>
  <c r="L20" i="6"/>
  <c r="S9" i="1"/>
  <c r="R9" i="1"/>
  <c r="C45" i="9"/>
  <c r="O40" i="9"/>
  <c r="R7" i="54"/>
  <c r="B52" i="63"/>
  <c r="C44" i="9"/>
  <c r="K29" i="9"/>
  <c r="K30" i="9"/>
  <c r="N76" i="9"/>
  <c r="C46" i="9"/>
  <c r="I14" i="66"/>
  <c r="B8" i="66"/>
  <c r="H58" i="46"/>
  <c r="J17" i="46"/>
  <c r="C17" i="46"/>
  <c r="F34" i="46"/>
  <c r="F38" i="46"/>
  <c r="F37" i="46"/>
  <c r="H113" i="46"/>
  <c r="D17" i="59"/>
  <c r="C16" i="59"/>
  <c r="U14" i="59"/>
  <c r="H1" i="65"/>
  <c r="X7" i="46"/>
  <c r="E17" i="46"/>
  <c r="N17" i="46"/>
  <c r="O17" i="46"/>
  <c r="M17" i="46"/>
  <c r="L17" i="46"/>
  <c r="P13" i="1"/>
  <c r="P12" i="1"/>
  <c r="G13" i="1"/>
  <c r="F35" i="46"/>
  <c r="I17" i="46"/>
  <c r="H63" i="46"/>
  <c r="H64" i="46"/>
  <c r="H66" i="46"/>
  <c r="D100" i="46"/>
  <c r="H62" i="46"/>
  <c r="AF12" i="46"/>
  <c r="K100" i="46"/>
  <c r="AB12" i="46"/>
  <c r="AJ12" i="46"/>
  <c r="H60" i="46"/>
  <c r="H59" i="46"/>
  <c r="H65" i="46"/>
  <c r="E10" i="46"/>
  <c r="E9" i="46"/>
  <c r="E11" i="46"/>
  <c r="E8" i="46"/>
  <c r="C7" i="46"/>
  <c r="H47" i="46"/>
  <c r="AD12" i="46"/>
  <c r="AH12" i="46"/>
  <c r="B15" i="59"/>
  <c r="B14" i="59"/>
  <c r="C15" i="59"/>
  <c r="D16" i="59"/>
  <c r="AZ16" i="3"/>
  <c r="S37" i="40"/>
  <c r="AA37" i="40"/>
  <c r="U13" i="21"/>
  <c r="AB13" i="21"/>
  <c r="AC26" i="33"/>
  <c r="W26" i="33"/>
  <c r="B13" i="59"/>
  <c r="B12" i="59"/>
  <c r="B11" i="59"/>
  <c r="S14" i="59"/>
  <c r="W27" i="34"/>
  <c r="AC27" i="34"/>
  <c r="AA9" i="35"/>
  <c r="S9" i="35"/>
  <c r="AB14" i="36"/>
  <c r="U33" i="37"/>
  <c r="F29" i="6"/>
  <c r="AC38" i="39"/>
  <c r="AA23" i="40"/>
  <c r="U35" i="40"/>
  <c r="U25" i="40"/>
  <c r="W33" i="40"/>
  <c r="W20" i="35"/>
  <c r="U27" i="36"/>
  <c r="U12" i="34"/>
  <c r="U32" i="34"/>
  <c r="U11" i="36"/>
  <c r="W29" i="35"/>
  <c r="AC16" i="40"/>
  <c r="U17" i="21"/>
  <c r="AA11" i="34"/>
  <c r="AA29" i="35"/>
  <c r="AA30" i="40"/>
  <c r="H15" i="34"/>
  <c r="AB15" i="34"/>
  <c r="W27" i="39"/>
  <c r="W35" i="40"/>
  <c r="AC14" i="39"/>
  <c r="AZ499" i="3"/>
  <c r="AZ513" i="3"/>
  <c r="AZ515" i="3"/>
  <c r="AZ523" i="3"/>
  <c r="AC29" i="37"/>
  <c r="AC29" i="33"/>
  <c r="AA30" i="33"/>
  <c r="AZ359" i="3"/>
  <c r="AZ336" i="3"/>
  <c r="AZ331" i="3"/>
  <c r="AZ379" i="3"/>
  <c r="AZ361" i="3"/>
  <c r="AZ345" i="3"/>
  <c r="AZ329" i="3"/>
  <c r="AZ305" i="3"/>
  <c r="AC23" i="37"/>
  <c r="AC33" i="36"/>
  <c r="AZ492" i="3"/>
  <c r="AZ562" i="3"/>
  <c r="AZ543" i="3"/>
  <c r="AZ488" i="3"/>
  <c r="AZ544" i="3"/>
  <c r="AZ556" i="3"/>
  <c r="AZ560" i="3"/>
  <c r="AZ555" i="3"/>
  <c r="AZ569" i="3"/>
  <c r="S19" i="21"/>
  <c r="U28" i="21"/>
  <c r="AC30" i="21"/>
  <c r="S46" i="21"/>
  <c r="AB31" i="21"/>
  <c r="F31" i="21"/>
  <c r="H29" i="21"/>
  <c r="J13" i="21"/>
  <c r="F26" i="33"/>
  <c r="AA26" i="33"/>
  <c r="S39" i="37"/>
  <c r="BA570" i="3"/>
  <c r="BF5" i="3"/>
  <c r="H33" i="34"/>
  <c r="J36" i="35"/>
  <c r="H36" i="35"/>
  <c r="J26" i="37"/>
  <c r="F26" i="37"/>
  <c r="G524" i="3"/>
  <c r="G495" i="3"/>
  <c r="AZ500" i="3"/>
  <c r="AZ363" i="3"/>
  <c r="AZ542" i="3"/>
  <c r="AZ484" i="3"/>
  <c r="AZ502" i="3"/>
  <c r="AZ558" i="3"/>
  <c r="AZ501" i="3"/>
  <c r="BL572" i="3"/>
  <c r="J9" i="35"/>
  <c r="H9" i="35"/>
  <c r="G569" i="3"/>
  <c r="G559" i="3"/>
  <c r="G553" i="3"/>
  <c r="G543" i="3"/>
  <c r="G536" i="3"/>
  <c r="BL534" i="3"/>
  <c r="AZ534" i="3"/>
  <c r="G528" i="3"/>
  <c r="G520" i="3"/>
  <c r="G516" i="3"/>
  <c r="G512" i="3"/>
  <c r="G511" i="3"/>
  <c r="G509" i="3"/>
  <c r="G504" i="3"/>
  <c r="G497" i="3"/>
  <c r="G490" i="3"/>
  <c r="G482" i="3"/>
  <c r="G19" i="3"/>
  <c r="G14" i="3"/>
  <c r="BL14" i="3"/>
  <c r="AZ14" i="3"/>
  <c r="G392" i="3"/>
  <c r="G393" i="3"/>
  <c r="BA393" i="3"/>
  <c r="AZ393" i="3"/>
  <c r="BL389" i="3"/>
  <c r="AZ392" i="3"/>
  <c r="BL394" i="3"/>
  <c r="AZ394" i="3"/>
  <c r="BL397" i="3"/>
  <c r="G403" i="3"/>
  <c r="BA403" i="3"/>
  <c r="AZ403" i="3"/>
  <c r="BL403" i="3"/>
  <c r="BA406" i="3"/>
  <c r="AZ406" i="3"/>
  <c r="BL406" i="3"/>
  <c r="G407" i="3"/>
  <c r="BA407" i="3"/>
  <c r="AZ407" i="3"/>
  <c r="BL408" i="3"/>
  <c r="BA409" i="3"/>
  <c r="G410" i="3"/>
  <c r="G411" i="3"/>
  <c r="BA411" i="3"/>
  <c r="AZ411" i="3"/>
  <c r="BL411" i="3"/>
  <c r="G412" i="3"/>
  <c r="BA415" i="3"/>
  <c r="AZ415" i="3"/>
  <c r="BA416" i="3"/>
  <c r="AZ416" i="3"/>
  <c r="BL417" i="3"/>
  <c r="BA418" i="3"/>
  <c r="G420" i="3"/>
  <c r="BL422" i="3"/>
  <c r="AZ422" i="3"/>
  <c r="BL424" i="3"/>
  <c r="BA425" i="3"/>
  <c r="AZ425" i="3"/>
  <c r="BA426" i="3"/>
  <c r="G427" i="3"/>
  <c r="BL431" i="3"/>
  <c r="BL434" i="3"/>
  <c r="BA435" i="3"/>
  <c r="AZ435" i="3"/>
  <c r="BA440" i="3"/>
  <c r="AZ440" i="3"/>
  <c r="BA445" i="3"/>
  <c r="AZ445" i="3"/>
  <c r="BA460" i="3"/>
  <c r="AZ460" i="3"/>
  <c r="BL465" i="3"/>
  <c r="BA470" i="3"/>
  <c r="BL470" i="3"/>
  <c r="BA474" i="3"/>
  <c r="AZ474" i="3"/>
  <c r="BA475" i="3"/>
  <c r="AZ475" i="3"/>
  <c r="BL475" i="3"/>
  <c r="BA479" i="3"/>
  <c r="AZ479" i="3"/>
  <c r="BL480" i="3"/>
  <c r="G309" i="3"/>
  <c r="BA309" i="3"/>
  <c r="AZ309" i="3"/>
  <c r="BL310" i="3"/>
  <c r="AZ310" i="3"/>
  <c r="G311" i="3"/>
  <c r="G315" i="3"/>
  <c r="BL316" i="3"/>
  <c r="AZ316" i="3"/>
  <c r="G317" i="3"/>
  <c r="BL330" i="3"/>
  <c r="AZ330" i="3"/>
  <c r="BL332" i="3"/>
  <c r="AZ332" i="3"/>
  <c r="BA335" i="3"/>
  <c r="BA349" i="3"/>
  <c r="AZ349" i="3"/>
  <c r="BA368" i="3"/>
  <c r="BL368" i="3"/>
  <c r="BA369" i="3"/>
  <c r="BA384" i="3"/>
  <c r="AZ384" i="3"/>
  <c r="BA385" i="3"/>
  <c r="BL213" i="3"/>
  <c r="AZ213" i="3"/>
  <c r="BL219" i="3"/>
  <c r="BL230" i="3"/>
  <c r="AZ234" i="3"/>
  <c r="BA237" i="3"/>
  <c r="BA248" i="3"/>
  <c r="AZ248" i="3"/>
  <c r="BL254" i="3"/>
  <c r="AZ254" i="3"/>
  <c r="BL260" i="3"/>
  <c r="AZ285" i="3"/>
  <c r="BA398" i="3"/>
  <c r="BL398" i="3"/>
  <c r="BA402" i="3"/>
  <c r="AZ402" i="3"/>
  <c r="AZ404" i="3"/>
  <c r="BL404" i="3"/>
  <c r="BA408" i="3"/>
  <c r="BA410" i="3"/>
  <c r="BA417" i="3"/>
  <c r="G421" i="3"/>
  <c r="BL421" i="3"/>
  <c r="AZ421" i="3"/>
  <c r="G430" i="3"/>
  <c r="BA430" i="3"/>
  <c r="AZ430" i="3"/>
  <c r="BA431" i="3"/>
  <c r="G432" i="3"/>
  <c r="BA437" i="3"/>
  <c r="BA438" i="3"/>
  <c r="AZ438" i="3"/>
  <c r="BL438" i="3"/>
  <c r="BA439" i="3"/>
  <c r="AZ439" i="3"/>
  <c r="BL439" i="3"/>
  <c r="G440" i="3"/>
  <c r="BL441" i="3"/>
  <c r="BL442" i="3"/>
  <c r="BA443" i="3"/>
  <c r="BA444" i="3"/>
  <c r="AZ444" i="3"/>
  <c r="BL446" i="3"/>
  <c r="AZ446" i="3"/>
  <c r="BA447" i="3"/>
  <c r="G449" i="3"/>
  <c r="BA449" i="3"/>
  <c r="AZ449" i="3"/>
  <c r="BL449" i="3"/>
  <c r="BA450" i="3"/>
  <c r="AZ450" i="3"/>
  <c r="BA452" i="3"/>
  <c r="AZ452" i="3"/>
  <c r="G454" i="3"/>
  <c r="BL454" i="3"/>
  <c r="AZ454" i="3"/>
  <c r="BA455" i="3"/>
  <c r="AZ455" i="3"/>
  <c r="BA456" i="3"/>
  <c r="G457" i="3"/>
  <c r="BA459" i="3"/>
  <c r="AZ459" i="3"/>
  <c r="BL461" i="3"/>
  <c r="AZ461" i="3"/>
  <c r="G464" i="3"/>
  <c r="BL468" i="3"/>
  <c r="G471" i="3"/>
  <c r="G474" i="3"/>
  <c r="G476" i="3"/>
  <c r="BA476" i="3"/>
  <c r="G479" i="3"/>
  <c r="AZ480" i="3"/>
  <c r="G301" i="3"/>
  <c r="BA301" i="3"/>
  <c r="AZ301" i="3"/>
  <c r="BA311" i="3"/>
  <c r="AZ311" i="3"/>
  <c r="BL314" i="3"/>
  <c r="AZ314" i="3"/>
  <c r="BL326" i="3"/>
  <c r="AZ326" i="3"/>
  <c r="G329" i="3"/>
  <c r="G331" i="3"/>
  <c r="G333" i="3"/>
  <c r="BA337" i="3"/>
  <c r="AZ337" i="3"/>
  <c r="BL350" i="3"/>
  <c r="BA351" i="3"/>
  <c r="G352" i="3"/>
  <c r="BL360" i="3"/>
  <c r="AZ360" i="3"/>
  <c r="G363" i="3"/>
  <c r="G367" i="3"/>
  <c r="BA367" i="3"/>
  <c r="AZ367" i="3"/>
  <c r="BL369" i="3"/>
  <c r="BA371" i="3"/>
  <c r="AZ371" i="3"/>
  <c r="G375" i="3"/>
  <c r="BA375" i="3"/>
  <c r="AZ375" i="3"/>
  <c r="BL376" i="3"/>
  <c r="AZ376" i="3"/>
  <c r="G379" i="3"/>
  <c r="BL380" i="3"/>
  <c r="AZ380" i="3"/>
  <c r="G381" i="3"/>
  <c r="BL382" i="3"/>
  <c r="AZ382" i="3"/>
  <c r="G383" i="3"/>
  <c r="BL384" i="3"/>
  <c r="BL385" i="3"/>
  <c r="BL206" i="3"/>
  <c r="G207" i="3"/>
  <c r="BA209" i="3"/>
  <c r="BL209" i="3"/>
  <c r="G210" i="3"/>
  <c r="BL212" i="3"/>
  <c r="AZ212" i="3"/>
  <c r="BA214" i="3"/>
  <c r="BL214" i="3"/>
  <c r="G215" i="3"/>
  <c r="BA216" i="3"/>
  <c r="G217" i="3"/>
  <c r="BL217" i="3"/>
  <c r="AZ217" i="3"/>
  <c r="BL218" i="3"/>
  <c r="AZ218" i="3"/>
  <c r="G219" i="3"/>
  <c r="BL220" i="3"/>
  <c r="G222" i="3"/>
  <c r="BL222" i="3"/>
  <c r="BA223" i="3"/>
  <c r="AZ223" i="3"/>
  <c r="BL223" i="3"/>
  <c r="G224" i="3"/>
  <c r="BL225" i="3"/>
  <c r="BA228" i="3"/>
  <c r="AZ228" i="3"/>
  <c r="BL228" i="3"/>
  <c r="BA231" i="3"/>
  <c r="G232" i="3"/>
  <c r="BL233" i="3"/>
  <c r="AZ233" i="3"/>
  <c r="G235" i="3"/>
  <c r="BL238" i="3"/>
  <c r="BA239" i="3"/>
  <c r="AZ239" i="3"/>
  <c r="BL241" i="3"/>
  <c r="BA242" i="3"/>
  <c r="AZ242" i="3"/>
  <c r="G245" i="3"/>
  <c r="BL245" i="3"/>
  <c r="G246" i="3"/>
  <c r="BA247" i="3"/>
  <c r="AZ247" i="3"/>
  <c r="G250" i="3"/>
  <c r="BL250" i="3"/>
  <c r="G253" i="3"/>
  <c r="BL253" i="3"/>
  <c r="G254" i="3"/>
  <c r="BA256" i="3"/>
  <c r="BL256" i="3"/>
  <c r="G257" i="3"/>
  <c r="BL268" i="3"/>
  <c r="BL273" i="3"/>
  <c r="BA282" i="3"/>
  <c r="BA288" i="3"/>
  <c r="BA293" i="3"/>
  <c r="BA121" i="3"/>
  <c r="BL157" i="3"/>
  <c r="AZ157" i="3"/>
  <c r="BA171" i="3"/>
  <c r="BA177" i="3"/>
  <c r="BA186" i="3"/>
  <c r="AZ194" i="3"/>
  <c r="BL21" i="3"/>
  <c r="BL27" i="3"/>
  <c r="AZ27" i="3"/>
  <c r="AZ30" i="3"/>
  <c r="BL32" i="3"/>
  <c r="BL44" i="3"/>
  <c r="BL45" i="3"/>
  <c r="BA48" i="3"/>
  <c r="AZ48" i="3"/>
  <c r="BA52" i="3"/>
  <c r="BL59" i="3"/>
  <c r="AZ59" i="3"/>
  <c r="BL60" i="3"/>
  <c r="BA61" i="3"/>
  <c r="BL63" i="3"/>
  <c r="BL259" i="3"/>
  <c r="G260" i="3"/>
  <c r="BL261" i="3"/>
  <c r="AZ261" i="3"/>
  <c r="G262" i="3"/>
  <c r="BL262" i="3"/>
  <c r="BA263" i="3"/>
  <c r="BL263" i="3"/>
  <c r="BL264" i="3"/>
  <c r="G265" i="3"/>
  <c r="BA265" i="3"/>
  <c r="BL266" i="3"/>
  <c r="BL267" i="3"/>
  <c r="G268" i="3"/>
  <c r="G269" i="3"/>
  <c r="BA269" i="3"/>
  <c r="BA270" i="3"/>
  <c r="AZ270" i="3"/>
  <c r="G271" i="3"/>
  <c r="BL274" i="3"/>
  <c r="G277" i="3"/>
  <c r="BA277" i="3"/>
  <c r="BL277" i="3"/>
  <c r="BA278" i="3"/>
  <c r="G279" i="3"/>
  <c r="BA279" i="3"/>
  <c r="BL280" i="3"/>
  <c r="BL284" i="3"/>
  <c r="BL286" i="3"/>
  <c r="AZ286" i="3"/>
  <c r="BL287" i="3"/>
  <c r="BL289" i="3"/>
  <c r="BL292" i="3"/>
  <c r="G296" i="3"/>
  <c r="BA296" i="3"/>
  <c r="G114" i="3"/>
  <c r="BA116" i="3"/>
  <c r="BL116" i="3"/>
  <c r="G117" i="3"/>
  <c r="BL117" i="3"/>
  <c r="BL118" i="3"/>
  <c r="AZ118" i="3"/>
  <c r="G119" i="3"/>
  <c r="G121" i="3"/>
  <c r="BA124" i="3"/>
  <c r="AZ124" i="3"/>
  <c r="BL124" i="3"/>
  <c r="G125" i="3"/>
  <c r="BL125" i="3"/>
  <c r="BL126" i="3"/>
  <c r="AZ126" i="3"/>
  <c r="G131" i="3"/>
  <c r="BA132" i="3"/>
  <c r="AZ132" i="3"/>
  <c r="G135" i="3"/>
  <c r="BL138" i="3"/>
  <c r="AZ138" i="3"/>
  <c r="G139" i="3"/>
  <c r="G141" i="3"/>
  <c r="BA141" i="3"/>
  <c r="BL141" i="3"/>
  <c r="BA144" i="3"/>
  <c r="BL146" i="3"/>
  <c r="AZ146" i="3"/>
  <c r="BA147" i="3"/>
  <c r="AZ147" i="3"/>
  <c r="BA149" i="3"/>
  <c r="AZ149" i="3"/>
  <c r="BL149" i="3"/>
  <c r="G150" i="3"/>
  <c r="BL152" i="3"/>
  <c r="G153" i="3"/>
  <c r="BL155" i="3"/>
  <c r="BL159" i="3"/>
  <c r="BL160" i="3"/>
  <c r="AZ160" i="3"/>
  <c r="G162" i="3"/>
  <c r="BL163" i="3"/>
  <c r="G165" i="3"/>
  <c r="BA166" i="3"/>
  <c r="AZ166" i="3"/>
  <c r="BL168" i="3"/>
  <c r="BL173" i="3"/>
  <c r="AZ173" i="3"/>
  <c r="BA174" i="3"/>
  <c r="AZ174" i="3"/>
  <c r="BA176" i="3"/>
  <c r="G179" i="3"/>
  <c r="G185" i="3"/>
  <c r="BL188" i="3"/>
  <c r="AZ188" i="3"/>
  <c r="G189" i="3"/>
  <c r="BA191" i="3"/>
  <c r="G195" i="3"/>
  <c r="BL195" i="3"/>
  <c r="G196" i="3"/>
  <c r="BL196" i="3"/>
  <c r="AZ196" i="3"/>
  <c r="BA198" i="3"/>
  <c r="BL199" i="3"/>
  <c r="BA201" i="3"/>
  <c r="AZ201" i="3"/>
  <c r="G203" i="3"/>
  <c r="BL203" i="3"/>
  <c r="AZ203" i="3"/>
  <c r="G204" i="3"/>
  <c r="G21" i="3"/>
  <c r="BA21" i="3"/>
  <c r="G22" i="3"/>
  <c r="BA23" i="3"/>
  <c r="AZ23" i="3"/>
  <c r="BL23" i="3"/>
  <c r="BL24" i="3"/>
  <c r="AZ24" i="3"/>
  <c r="G25" i="3"/>
  <c r="BA25" i="3"/>
  <c r="AZ25" i="3"/>
  <c r="BA26" i="3"/>
  <c r="AZ26" i="3"/>
  <c r="BA28" i="3"/>
  <c r="AZ28" i="3"/>
  <c r="BL28" i="3"/>
  <c r="BA31" i="3"/>
  <c r="AZ31" i="3"/>
  <c r="BA32" i="3"/>
  <c r="AZ32" i="3"/>
  <c r="G34" i="3"/>
  <c r="BA34" i="3"/>
  <c r="BL35" i="3"/>
  <c r="AZ35" i="3"/>
  <c r="BA36" i="3"/>
  <c r="AZ36" i="3"/>
  <c r="BA37" i="3"/>
  <c r="G40" i="3"/>
  <c r="BA40" i="3"/>
  <c r="AZ40" i="3"/>
  <c r="BL40" i="3"/>
  <c r="BA41" i="3"/>
  <c r="AZ41" i="3"/>
  <c r="G42" i="3"/>
  <c r="BA43" i="3"/>
  <c r="BA44" i="3"/>
  <c r="G45" i="3"/>
  <c r="BA45" i="3"/>
  <c r="AZ45" i="3"/>
  <c r="G48" i="3"/>
  <c r="BL49" i="3"/>
  <c r="AZ49" i="3"/>
  <c r="G50" i="3"/>
  <c r="BL51" i="3"/>
  <c r="BL54" i="3"/>
  <c r="BA55" i="3"/>
  <c r="AZ58" i="3"/>
  <c r="BA64" i="3"/>
  <c r="D48" i="59"/>
  <c r="C49" i="59"/>
  <c r="BL98" i="3"/>
  <c r="O59" i="59"/>
  <c r="O61" i="59"/>
  <c r="D66" i="59"/>
  <c r="C65" i="59"/>
  <c r="D62" i="59"/>
  <c r="X24" i="59"/>
  <c r="Y30" i="59"/>
  <c r="Z30" i="59"/>
  <c r="B33" i="59"/>
  <c r="B34" i="59"/>
  <c r="S34" i="59"/>
  <c r="E33" i="59"/>
  <c r="B37" i="59"/>
  <c r="B38" i="59"/>
  <c r="S38" i="59"/>
  <c r="E45" i="59"/>
  <c r="E46" i="59"/>
  <c r="U46" i="59"/>
  <c r="B53" i="59"/>
  <c r="F73" i="59"/>
  <c r="F72" i="59"/>
  <c r="BA53" i="3"/>
  <c r="G54" i="3"/>
  <c r="BA54" i="3"/>
  <c r="G56" i="3"/>
  <c r="G57" i="3"/>
  <c r="BL66" i="3"/>
  <c r="AZ66" i="3"/>
  <c r="BL67" i="3"/>
  <c r="AZ67" i="3"/>
  <c r="G68" i="3"/>
  <c r="G69" i="3"/>
  <c r="BL72" i="3"/>
  <c r="BA76" i="3"/>
  <c r="BL77" i="3"/>
  <c r="AZ77" i="3"/>
  <c r="G79" i="3"/>
  <c r="BL80" i="3"/>
  <c r="AZ80" i="3"/>
  <c r="G83" i="3"/>
  <c r="G88" i="3"/>
  <c r="G89" i="3"/>
  <c r="BA91" i="3"/>
  <c r="G92" i="3"/>
  <c r="BA93" i="3"/>
  <c r="BL94" i="3"/>
  <c r="BL95" i="3"/>
  <c r="BA96" i="3"/>
  <c r="BA98" i="3"/>
  <c r="AZ98" i="3"/>
  <c r="G100" i="3"/>
  <c r="BA100" i="3"/>
  <c r="G102" i="3"/>
  <c r="BL103" i="3"/>
  <c r="BL104" i="3"/>
  <c r="G106" i="3"/>
  <c r="BA107" i="3"/>
  <c r="BA108" i="3"/>
  <c r="BA109" i="3"/>
  <c r="E26" i="57"/>
  <c r="I10" i="57"/>
  <c r="AA18" i="36"/>
  <c r="A28" i="64"/>
  <c r="AI12" i="46"/>
  <c r="O76" i="9"/>
  <c r="P62" i="15"/>
  <c r="U25" i="34"/>
  <c r="AC11" i="34"/>
  <c r="L16" i="4"/>
  <c r="G12" i="1"/>
  <c r="AB32" i="40"/>
  <c r="U32" i="40"/>
  <c r="H55" i="46"/>
  <c r="H14" i="66"/>
  <c r="B7" i="66"/>
  <c r="K10" i="1"/>
  <c r="M10" i="1"/>
  <c r="O10" i="1"/>
  <c r="P10" i="1"/>
  <c r="H80" i="46"/>
  <c r="F3" i="35"/>
  <c r="C7" i="35"/>
  <c r="C48" i="35"/>
  <c r="D48" i="35"/>
  <c r="E48" i="35"/>
  <c r="F48" i="35"/>
  <c r="G48" i="35"/>
  <c r="H48" i="35"/>
  <c r="I48" i="35"/>
  <c r="J48" i="35"/>
  <c r="K48" i="35"/>
  <c r="L48" i="35"/>
  <c r="M48" i="35"/>
  <c r="N48" i="35"/>
  <c r="O48" i="35"/>
  <c r="C7" i="36"/>
  <c r="C46" i="36"/>
  <c r="D46" i="36"/>
  <c r="E46" i="36"/>
  <c r="F46" i="36"/>
  <c r="G46" i="36"/>
  <c r="H46" i="36"/>
  <c r="D38" i="4"/>
  <c r="C39" i="4"/>
  <c r="R10" i="1"/>
  <c r="G19" i="46"/>
  <c r="O19" i="46"/>
  <c r="H54" i="46"/>
  <c r="H50" i="46"/>
  <c r="J32" i="40"/>
  <c r="C7" i="33"/>
  <c r="C58" i="33"/>
  <c r="D58" i="33"/>
  <c r="C9" i="40"/>
  <c r="C65" i="40"/>
  <c r="D65" i="40"/>
  <c r="N67" i="9"/>
  <c r="O41" i="9"/>
  <c r="R8" i="54"/>
  <c r="B54" i="63"/>
  <c r="H85" i="46"/>
  <c r="H86" i="46"/>
  <c r="B38" i="63"/>
  <c r="F69" i="46"/>
  <c r="F32" i="40"/>
  <c r="C7" i="37"/>
  <c r="C52" i="37"/>
  <c r="D52" i="37"/>
  <c r="E52" i="37"/>
  <c r="F52" i="37"/>
  <c r="G52" i="37"/>
  <c r="H52" i="37"/>
  <c r="I52" i="37"/>
  <c r="J52" i="37"/>
  <c r="K52" i="37"/>
  <c r="A26" i="64"/>
  <c r="K31" i="9"/>
  <c r="K32" i="9"/>
  <c r="A17" i="51"/>
  <c r="B13" i="63"/>
  <c r="AC27" i="40"/>
  <c r="W27" i="40"/>
  <c r="N69" i="9"/>
  <c r="O39" i="9"/>
  <c r="R6" i="54"/>
  <c r="B50" i="63"/>
  <c r="G14" i="66"/>
  <c r="B6" i="66"/>
  <c r="K33" i="9"/>
  <c r="K34" i="9"/>
  <c r="H49" i="46"/>
  <c r="H51" i="46"/>
  <c r="H48" i="46"/>
  <c r="H53" i="46"/>
  <c r="AB18" i="36"/>
  <c r="U30" i="40"/>
  <c r="W34" i="40"/>
  <c r="AB34" i="39"/>
  <c r="U34" i="39"/>
  <c r="AZ299" i="3"/>
  <c r="AZ550" i="3"/>
  <c r="AA27" i="37"/>
  <c r="S27" i="37"/>
  <c r="AZ572" i="3"/>
  <c r="AC9" i="34"/>
  <c r="W9" i="34"/>
  <c r="S17" i="40"/>
  <c r="W23" i="21"/>
  <c r="S17" i="39"/>
  <c r="AC23" i="40"/>
  <c r="F9" i="21"/>
  <c r="S9" i="21"/>
  <c r="H9" i="21"/>
  <c r="AB9" i="21"/>
  <c r="J9" i="21"/>
  <c r="E91" i="33"/>
  <c r="F91" i="33"/>
  <c r="G91" i="33"/>
  <c r="H91" i="33"/>
  <c r="I91" i="33"/>
  <c r="J91" i="33"/>
  <c r="K91" i="33"/>
  <c r="L91" i="33"/>
  <c r="M91" i="33"/>
  <c r="F27" i="33"/>
  <c r="S27" i="33"/>
  <c r="U15" i="37"/>
  <c r="AB15" i="37"/>
  <c r="U25" i="35"/>
  <c r="AB25" i="35"/>
  <c r="AZ522" i="3"/>
  <c r="AA33" i="39"/>
  <c r="S33" i="39"/>
  <c r="AZ347" i="3"/>
  <c r="AB30" i="33"/>
  <c r="U30" i="33"/>
  <c r="S23" i="37"/>
  <c r="AA23" i="37"/>
  <c r="W42" i="21"/>
  <c r="W14" i="21"/>
  <c r="AC14" i="21"/>
  <c r="AC15" i="21"/>
  <c r="AB38" i="39"/>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c r="F9" i="33"/>
  <c r="AA9" i="33"/>
  <c r="H9" i="33"/>
  <c r="U9" i="33"/>
  <c r="U42" i="40"/>
  <c r="AZ490" i="3"/>
  <c r="F80" i="34"/>
  <c r="G80" i="34"/>
  <c r="H17" i="34"/>
  <c r="AB17" i="34"/>
  <c r="AB39" i="21"/>
  <c r="U39" i="21"/>
  <c r="AZ546" i="3"/>
  <c r="U28" i="36"/>
  <c r="AB28" i="36"/>
  <c r="U16" i="35"/>
  <c r="AB16" i="35"/>
  <c r="AB26" i="21"/>
  <c r="U26" i="21"/>
  <c r="W35" i="35"/>
  <c r="AA43" i="21"/>
  <c r="AB44" i="33"/>
  <c r="H5" i="3"/>
  <c r="S12" i="33"/>
  <c r="H12" i="35"/>
  <c r="H25" i="37"/>
  <c r="F25" i="37"/>
  <c r="J25" i="37"/>
  <c r="AZ397" i="3"/>
  <c r="AB45" i="34"/>
  <c r="J47" i="34"/>
  <c r="B69" i="72"/>
  <c r="B69" i="71"/>
  <c r="H9" i="34"/>
  <c r="AB9" i="34"/>
  <c r="J34" i="36"/>
  <c r="H34" i="36"/>
  <c r="AC41" i="21"/>
  <c r="W41" i="21"/>
  <c r="AC11" i="36"/>
  <c r="AB31" i="37"/>
  <c r="AA36" i="21"/>
  <c r="H27" i="33"/>
  <c r="U27" i="33"/>
  <c r="J12" i="35"/>
  <c r="F25" i="35"/>
  <c r="G563" i="3"/>
  <c r="H45" i="21"/>
  <c r="F45" i="21"/>
  <c r="W39" i="37"/>
  <c r="BI5" i="3"/>
  <c r="H28" i="34"/>
  <c r="BH5" i="3"/>
  <c r="E10" i="6"/>
  <c r="B80" i="71"/>
  <c r="B80" i="72"/>
  <c r="B80" i="46"/>
  <c r="AB45" i="33"/>
  <c r="BG5" i="3"/>
  <c r="AZ409" i="3"/>
  <c r="AZ447" i="3"/>
  <c r="AZ448" i="3"/>
  <c r="AZ453" i="3"/>
  <c r="BT5" i="3"/>
  <c r="G28" i="6"/>
  <c r="F34" i="15"/>
  <c r="F61" i="15"/>
  <c r="M20" i="77"/>
  <c r="F34" i="77"/>
  <c r="F61" i="77"/>
  <c r="BA399" i="3"/>
  <c r="BL412" i="3"/>
  <c r="BA441" i="3"/>
  <c r="AZ441" i="3"/>
  <c r="BA442" i="3"/>
  <c r="AZ442" i="3"/>
  <c r="BA465" i="3"/>
  <c r="AZ465" i="3"/>
  <c r="G470" i="3"/>
  <c r="BA297" i="3"/>
  <c r="AZ297" i="3"/>
  <c r="G305" i="3"/>
  <c r="BA315" i="3"/>
  <c r="AZ315" i="3"/>
  <c r="G347" i="3"/>
  <c r="G205" i="3"/>
  <c r="AZ266" i="3"/>
  <c r="K145" i="21"/>
  <c r="AZ408" i="3"/>
  <c r="AZ417" i="3"/>
  <c r="BL426" i="3"/>
  <c r="AZ426" i="3"/>
  <c r="BL436" i="3"/>
  <c r="AZ436" i="3"/>
  <c r="BA451" i="3"/>
  <c r="BL456" i="3"/>
  <c r="AZ456" i="3"/>
  <c r="G465" i="3"/>
  <c r="BL472" i="3"/>
  <c r="AZ472" i="3"/>
  <c r="BL476" i="3"/>
  <c r="BA477" i="3"/>
  <c r="AZ477" i="3"/>
  <c r="BL334" i="3"/>
  <c r="G345" i="3"/>
  <c r="BA210" i="3"/>
  <c r="AZ210" i="3"/>
  <c r="BA226" i="3"/>
  <c r="AZ226" i="3"/>
  <c r="B81" i="72"/>
  <c r="B81" i="71"/>
  <c r="BL391" i="3"/>
  <c r="AZ476" i="3"/>
  <c r="AZ116" i="3"/>
  <c r="G399" i="3"/>
  <c r="BA208" i="3"/>
  <c r="AZ208" i="3"/>
  <c r="AZ224" i="3"/>
  <c r="AZ175" i="3"/>
  <c r="BA389" i="3"/>
  <c r="AZ389" i="3"/>
  <c r="BA391" i="3"/>
  <c r="AZ391" i="3"/>
  <c r="G450" i="3"/>
  <c r="G455" i="3"/>
  <c r="BL467" i="3"/>
  <c r="BA205" i="3"/>
  <c r="AZ205" i="3"/>
  <c r="BA225" i="3"/>
  <c r="AZ225" i="3"/>
  <c r="B87" i="71"/>
  <c r="B87" i="72"/>
  <c r="BA390" i="3"/>
  <c r="BL390" i="3"/>
  <c r="BL414" i="3"/>
  <c r="BA467" i="3"/>
  <c r="AZ467" i="3"/>
  <c r="AZ468" i="3"/>
  <c r="BA469" i="3"/>
  <c r="AZ469" i="3"/>
  <c r="BA471" i="3"/>
  <c r="AZ471" i="3"/>
  <c r="BA318" i="3"/>
  <c r="BL318" i="3"/>
  <c r="BA333" i="3"/>
  <c r="AZ333" i="3"/>
  <c r="BA388" i="3"/>
  <c r="AZ388" i="3"/>
  <c r="BA207" i="3"/>
  <c r="AZ168" i="3"/>
  <c r="BL395" i="3"/>
  <c r="BL396" i="3"/>
  <c r="AZ396" i="3"/>
  <c r="BL399" i="3"/>
  <c r="BL400" i="3"/>
  <c r="BL401" i="3"/>
  <c r="AZ401" i="3"/>
  <c r="BL405" i="3"/>
  <c r="BL413" i="3"/>
  <c r="BL423" i="3"/>
  <c r="BL433" i="3"/>
  <c r="BL463" i="3"/>
  <c r="AZ463" i="3"/>
  <c r="G212" i="3"/>
  <c r="BA395" i="3"/>
  <c r="BL409" i="3"/>
  <c r="BL410" i="3"/>
  <c r="AZ410" i="3"/>
  <c r="BA413" i="3"/>
  <c r="BA414" i="3"/>
  <c r="AZ414" i="3"/>
  <c r="BL432" i="3"/>
  <c r="BL462" i="3"/>
  <c r="BA466" i="3"/>
  <c r="AZ466" i="3"/>
  <c r="AZ243" i="3"/>
  <c r="AZ280" i="3"/>
  <c r="BA400" i="3"/>
  <c r="BA405" i="3"/>
  <c r="BA412" i="3"/>
  <c r="BL418" i="3"/>
  <c r="AZ418" i="3"/>
  <c r="BL419" i="3"/>
  <c r="AZ419" i="3"/>
  <c r="BA423" i="3"/>
  <c r="BA424" i="3"/>
  <c r="AZ424" i="3"/>
  <c r="BL427" i="3"/>
  <c r="AZ427" i="3"/>
  <c r="BA432" i="3"/>
  <c r="AZ432" i="3"/>
  <c r="BA433" i="3"/>
  <c r="BA434" i="3"/>
  <c r="AZ434" i="3"/>
  <c r="BL437" i="3"/>
  <c r="AZ437" i="3"/>
  <c r="BL443" i="3"/>
  <c r="AZ443" i="3"/>
  <c r="BL451" i="3"/>
  <c r="BL457" i="3"/>
  <c r="AZ457" i="3"/>
  <c r="BA462" i="3"/>
  <c r="BA317" i="3"/>
  <c r="AZ317" i="3"/>
  <c r="BA219" i="3"/>
  <c r="AZ219" i="3"/>
  <c r="BA220" i="3"/>
  <c r="AZ220" i="3"/>
  <c r="BA250" i="3"/>
  <c r="AZ250" i="3"/>
  <c r="BA357" i="3"/>
  <c r="AZ357" i="3"/>
  <c r="BL235" i="3"/>
  <c r="G239" i="3"/>
  <c r="BL246" i="3"/>
  <c r="BL265" i="3"/>
  <c r="AZ265" i="3"/>
  <c r="BL269" i="3"/>
  <c r="BL272" i="3"/>
  <c r="BL275" i="3"/>
  <c r="AZ275" i="3"/>
  <c r="BL279" i="3"/>
  <c r="AZ279" i="3"/>
  <c r="BL282" i="3"/>
  <c r="AZ282" i="3"/>
  <c r="BL283" i="3"/>
  <c r="BL288" i="3"/>
  <c r="AZ288" i="3"/>
  <c r="BL293" i="3"/>
  <c r="AZ293" i="3"/>
  <c r="BL296" i="3"/>
  <c r="AZ296" i="3"/>
  <c r="BL113" i="3"/>
  <c r="AZ117" i="3"/>
  <c r="BA133" i="3"/>
  <c r="BA143" i="3"/>
  <c r="AZ143" i="3"/>
  <c r="G156" i="3"/>
  <c r="BL165" i="3"/>
  <c r="AZ165" i="3"/>
  <c r="BA167" i="3"/>
  <c r="BL167" i="3"/>
  <c r="BL171" i="3"/>
  <c r="BL172" i="3"/>
  <c r="AZ172" i="3"/>
  <c r="AZ176" i="3"/>
  <c r="BA202" i="3"/>
  <c r="AZ202" i="3"/>
  <c r="BA62" i="3"/>
  <c r="BL351" i="3"/>
  <c r="AZ351" i="3"/>
  <c r="BL211" i="3"/>
  <c r="G214" i="3"/>
  <c r="BA245" i="3"/>
  <c r="AZ245" i="3"/>
  <c r="BA246" i="3"/>
  <c r="BL255" i="3"/>
  <c r="BA264" i="3"/>
  <c r="AZ264" i="3"/>
  <c r="BL278" i="3"/>
  <c r="AZ278" i="3"/>
  <c r="BA119" i="3"/>
  <c r="AZ119" i="3"/>
  <c r="BA235" i="3"/>
  <c r="BA244" i="3"/>
  <c r="AZ244" i="3"/>
  <c r="BA262" i="3"/>
  <c r="AZ262" i="3"/>
  <c r="BA273" i="3"/>
  <c r="AZ273" i="3"/>
  <c r="BA276" i="3"/>
  <c r="AZ276" i="3"/>
  <c r="BA283" i="3"/>
  <c r="AZ283" i="3"/>
  <c r="BA284" i="3"/>
  <c r="AZ284" i="3"/>
  <c r="BA289" i="3"/>
  <c r="AZ289" i="3"/>
  <c r="BA113" i="3"/>
  <c r="AZ113" i="3"/>
  <c r="BL136" i="3"/>
  <c r="BA140" i="3"/>
  <c r="AZ140" i="3"/>
  <c r="BA159" i="3"/>
  <c r="AZ159" i="3"/>
  <c r="BA199" i="3"/>
  <c r="AZ199" i="3"/>
  <c r="X15" i="59"/>
  <c r="X3" i="59"/>
  <c r="BA350" i="3"/>
  <c r="AZ350" i="3"/>
  <c r="BA211" i="3"/>
  <c r="AZ211" i="3"/>
  <c r="BL227" i="3"/>
  <c r="AZ227" i="3"/>
  <c r="G231" i="3"/>
  <c r="BL237" i="3"/>
  <c r="AZ237" i="3"/>
  <c r="BL251" i="3"/>
  <c r="BA259" i="3"/>
  <c r="AZ259" i="3"/>
  <c r="BA260" i="3"/>
  <c r="AZ260" i="3"/>
  <c r="BA267" i="3"/>
  <c r="AZ267" i="3"/>
  <c r="BA271" i="3"/>
  <c r="AZ271" i="3"/>
  <c r="BA274" i="3"/>
  <c r="AZ274" i="3"/>
  <c r="BA281" i="3"/>
  <c r="AZ281" i="3"/>
  <c r="BA291" i="3"/>
  <c r="AZ291" i="3"/>
  <c r="BA295" i="3"/>
  <c r="AZ295" i="3"/>
  <c r="G126" i="3"/>
  <c r="BL137" i="3"/>
  <c r="AZ137" i="3"/>
  <c r="BA139" i="3"/>
  <c r="AZ139" i="3"/>
  <c r="BA164" i="3"/>
  <c r="BL164" i="3"/>
  <c r="BA170" i="3"/>
  <c r="AZ170" i="3"/>
  <c r="BL178" i="3"/>
  <c r="AZ178" i="3"/>
  <c r="BL191" i="3"/>
  <c r="AZ191" i="3"/>
  <c r="AZ54" i="3"/>
  <c r="AZ251" i="3"/>
  <c r="BA253" i="3"/>
  <c r="AZ253" i="3"/>
  <c r="AZ269" i="3"/>
  <c r="BL133" i="3"/>
  <c r="BA162" i="3"/>
  <c r="AZ162" i="3"/>
  <c r="BA341" i="3"/>
  <c r="AZ341" i="3"/>
  <c r="G209" i="3"/>
  <c r="G223" i="3"/>
  <c r="BL229" i="3"/>
  <c r="AZ229" i="3"/>
  <c r="BA238" i="3"/>
  <c r="AZ238" i="3"/>
  <c r="BL240" i="3"/>
  <c r="BA249" i="3"/>
  <c r="AZ249" i="3"/>
  <c r="BA255" i="3"/>
  <c r="AZ255" i="3"/>
  <c r="BA257" i="3"/>
  <c r="AZ257" i="3"/>
  <c r="BA268" i="3"/>
  <c r="AZ268" i="3"/>
  <c r="BA287" i="3"/>
  <c r="AZ287" i="3"/>
  <c r="BA292" i="3"/>
  <c r="AZ292" i="3"/>
  <c r="BL130" i="3"/>
  <c r="AZ130" i="3"/>
  <c r="BA135" i="3"/>
  <c r="AZ135" i="3"/>
  <c r="BL142" i="3"/>
  <c r="AZ142" i="3"/>
  <c r="BL186" i="3"/>
  <c r="AZ186" i="3"/>
  <c r="AZ21" i="3"/>
  <c r="BL335" i="3"/>
  <c r="AZ335" i="3"/>
  <c r="BL207" i="3"/>
  <c r="BA252" i="3"/>
  <c r="AZ252" i="3"/>
  <c r="G118" i="3"/>
  <c r="BL129" i="3"/>
  <c r="BA136" i="3"/>
  <c r="BL153" i="3"/>
  <c r="AZ153" i="3"/>
  <c r="BA155" i="3"/>
  <c r="AZ155" i="3"/>
  <c r="G177" i="3"/>
  <c r="BL182" i="3"/>
  <c r="BA189" i="3"/>
  <c r="AZ189" i="3"/>
  <c r="BL34" i="3"/>
  <c r="BL39" i="3"/>
  <c r="BL46" i="3"/>
  <c r="BL76" i="3"/>
  <c r="BA90" i="3"/>
  <c r="BA334" i="3"/>
  <c r="AZ334" i="3"/>
  <c r="BA206" i="3"/>
  <c r="AZ206" i="3"/>
  <c r="BL221" i="3"/>
  <c r="BL231" i="3"/>
  <c r="AZ231" i="3"/>
  <c r="BA240" i="3"/>
  <c r="AZ277" i="3"/>
  <c r="BL121" i="3"/>
  <c r="AZ121" i="3"/>
  <c r="BA128" i="3"/>
  <c r="BL128" i="3"/>
  <c r="AZ129" i="3"/>
  <c r="AZ141" i="3"/>
  <c r="BA156" i="3"/>
  <c r="BL180" i="3"/>
  <c r="AZ182" i="3"/>
  <c r="BA187" i="3"/>
  <c r="BL187" i="3"/>
  <c r="BA325" i="3"/>
  <c r="AZ325" i="3"/>
  <c r="G388" i="3"/>
  <c r="BL232" i="3"/>
  <c r="AZ232" i="3"/>
  <c r="BA241" i="3"/>
  <c r="AZ241" i="3"/>
  <c r="G263" i="3"/>
  <c r="BA272" i="3"/>
  <c r="AZ272" i="3"/>
  <c r="BL150" i="3"/>
  <c r="AZ150" i="3"/>
  <c r="BA154" i="3"/>
  <c r="AZ154" i="3"/>
  <c r="AZ171" i="3"/>
  <c r="BA185" i="3"/>
  <c r="AZ185" i="3"/>
  <c r="BA38" i="3"/>
  <c r="BA39" i="3"/>
  <c r="AZ39" i="3"/>
  <c r="BL75" i="3"/>
  <c r="BL386" i="3"/>
  <c r="AZ386" i="3"/>
  <c r="BL216" i="3"/>
  <c r="AZ216" i="3"/>
  <c r="BA221" i="3"/>
  <c r="BA230" i="3"/>
  <c r="AZ230" i="3"/>
  <c r="BA258" i="3"/>
  <c r="AZ258" i="3"/>
  <c r="G282" i="3"/>
  <c r="BL122" i="3"/>
  <c r="AZ122" i="3"/>
  <c r="BA125" i="3"/>
  <c r="AZ125" i="3"/>
  <c r="BL144" i="3"/>
  <c r="AZ144" i="3"/>
  <c r="BA151" i="3"/>
  <c r="AZ151" i="3"/>
  <c r="BA152" i="3"/>
  <c r="AZ152" i="3"/>
  <c r="BL156" i="3"/>
  <c r="BA163" i="3"/>
  <c r="AZ163" i="3"/>
  <c r="BL177" i="3"/>
  <c r="AZ177" i="3"/>
  <c r="BA180" i="3"/>
  <c r="AZ180" i="3"/>
  <c r="BA181" i="3"/>
  <c r="AZ181" i="3"/>
  <c r="BL33" i="3"/>
  <c r="AZ34" i="3"/>
  <c r="BL57" i="3"/>
  <c r="AZ57" i="3"/>
  <c r="BA75" i="3"/>
  <c r="AZ75" i="3"/>
  <c r="AZ76" i="3"/>
  <c r="BA222" i="3"/>
  <c r="AZ222" i="3"/>
  <c r="BL243" i="3"/>
  <c r="G255" i="3"/>
  <c r="G287" i="3"/>
  <c r="BA120" i="3"/>
  <c r="BL120" i="3"/>
  <c r="BA127" i="3"/>
  <c r="AZ127" i="3"/>
  <c r="BL134" i="3"/>
  <c r="AZ134" i="3"/>
  <c r="BL145" i="3"/>
  <c r="AZ145" i="3"/>
  <c r="G170" i="3"/>
  <c r="BA179" i="3"/>
  <c r="AZ179" i="3"/>
  <c r="BA195" i="3"/>
  <c r="AZ195" i="3"/>
  <c r="BL22" i="3"/>
  <c r="AZ22" i="3"/>
  <c r="BL37" i="3"/>
  <c r="AZ37" i="3"/>
  <c r="C25" i="59"/>
  <c r="D24" i="59"/>
  <c r="AB18" i="59"/>
  <c r="F18" i="59"/>
  <c r="AB3" i="59"/>
  <c r="BL204" i="3"/>
  <c r="AZ204" i="3"/>
  <c r="BL43" i="3"/>
  <c r="AZ43" i="3"/>
  <c r="BA68" i="3"/>
  <c r="AZ68" i="3"/>
  <c r="BA81" i="3"/>
  <c r="AZ81" i="3"/>
  <c r="P61" i="59"/>
  <c r="E60" i="59"/>
  <c r="AA13" i="59"/>
  <c r="AB6" i="59"/>
  <c r="BA42" i="3"/>
  <c r="AZ42" i="3"/>
  <c r="G46" i="3"/>
  <c r="BA50" i="3"/>
  <c r="AZ50" i="3"/>
  <c r="G55" i="3"/>
  <c r="BL69" i="3"/>
  <c r="BL78" i="3"/>
  <c r="BL83" i="3"/>
  <c r="BA86" i="3"/>
  <c r="AZ86" i="3"/>
  <c r="BL88" i="3"/>
  <c r="BL90" i="3"/>
  <c r="BL93" i="3"/>
  <c r="AZ93" i="3"/>
  <c r="G109" i="3"/>
  <c r="P27" i="6"/>
  <c r="C33" i="59"/>
  <c r="D32" i="59"/>
  <c r="V62" i="59"/>
  <c r="Q62" i="59"/>
  <c r="F61" i="59"/>
  <c r="BL52" i="3"/>
  <c r="AZ52" i="3"/>
  <c r="BA69" i="3"/>
  <c r="BA71" i="3"/>
  <c r="AZ71" i="3"/>
  <c r="BL73" i="3"/>
  <c r="BA78" i="3"/>
  <c r="BA83" i="3"/>
  <c r="BA85" i="3"/>
  <c r="AZ85" i="3"/>
  <c r="BA88" i="3"/>
  <c r="AZ88" i="3"/>
  <c r="BA89" i="3"/>
  <c r="AZ89" i="3"/>
  <c r="BL91" i="3"/>
  <c r="AZ91" i="3"/>
  <c r="E34" i="59"/>
  <c r="C46" i="59"/>
  <c r="D45" i="59"/>
  <c r="F50" i="59"/>
  <c r="V50" i="59"/>
  <c r="X20" i="59"/>
  <c r="BL198" i="3"/>
  <c r="AZ198" i="3"/>
  <c r="BL53" i="3"/>
  <c r="AZ53" i="3"/>
  <c r="BL61" i="3"/>
  <c r="AZ61" i="3"/>
  <c r="BA72" i="3"/>
  <c r="AZ72" i="3"/>
  <c r="BA94" i="3"/>
  <c r="AZ94" i="3"/>
  <c r="BL96" i="3"/>
  <c r="BL102" i="3"/>
  <c r="C57" i="59"/>
  <c r="D56" i="59"/>
  <c r="BL38" i="3"/>
  <c r="BA51" i="3"/>
  <c r="AZ51" i="3"/>
  <c r="BL62" i="3"/>
  <c r="BL74" i="3"/>
  <c r="BL92" i="3"/>
  <c r="BA95" i="3"/>
  <c r="AZ95" i="3"/>
  <c r="BL97" i="3"/>
  <c r="BL99" i="3"/>
  <c r="BL100" i="3"/>
  <c r="AZ100" i="3"/>
  <c r="BA102" i="3"/>
  <c r="AZ102" i="3"/>
  <c r="BA103" i="3"/>
  <c r="AZ103" i="3"/>
  <c r="BL105" i="3"/>
  <c r="BL110" i="3"/>
  <c r="BL111" i="3"/>
  <c r="I21" i="57"/>
  <c r="D1" i="57"/>
  <c r="E10" i="57"/>
  <c r="BA197" i="3"/>
  <c r="AZ197" i="3"/>
  <c r="BL55" i="3"/>
  <c r="AZ55" i="3"/>
  <c r="BA60" i="3"/>
  <c r="AZ60" i="3"/>
  <c r="BA63" i="3"/>
  <c r="AZ63" i="3"/>
  <c r="BL64" i="3"/>
  <c r="AZ64" i="3"/>
  <c r="BA74" i="3"/>
  <c r="BA87" i="3"/>
  <c r="AZ87" i="3"/>
  <c r="BA92" i="3"/>
  <c r="AZ92" i="3"/>
  <c r="BA97" i="3"/>
  <c r="AZ97" i="3"/>
  <c r="BA104" i="3"/>
  <c r="AZ104" i="3"/>
  <c r="BL107" i="3"/>
  <c r="AZ107" i="3"/>
  <c r="BL108" i="3"/>
  <c r="BL109" i="3"/>
  <c r="AZ109" i="3"/>
  <c r="BA111" i="3"/>
  <c r="B54" i="59"/>
  <c r="S54" i="59"/>
  <c r="G193" i="3"/>
  <c r="G36" i="3"/>
  <c r="BL65" i="3"/>
  <c r="G81" i="3"/>
  <c r="BA99" i="3"/>
  <c r="BL101" i="3"/>
  <c r="BL106" i="3"/>
  <c r="C53" i="59"/>
  <c r="D52" i="59"/>
  <c r="F21" i="59"/>
  <c r="F20" i="59"/>
  <c r="V22" i="59"/>
  <c r="Y11" i="59"/>
  <c r="Z11" i="59"/>
  <c r="BL190" i="3"/>
  <c r="AZ190" i="3"/>
  <c r="BA33" i="3"/>
  <c r="AZ33" i="3"/>
  <c r="BL47" i="3"/>
  <c r="BL56" i="3"/>
  <c r="BA65" i="3"/>
  <c r="AZ65" i="3"/>
  <c r="BA73" i="3"/>
  <c r="AZ73" i="3"/>
  <c r="BA101" i="3"/>
  <c r="BA106" i="3"/>
  <c r="AZ106" i="3"/>
  <c r="AZ108" i="3"/>
  <c r="AA21" i="37"/>
  <c r="S21" i="37"/>
  <c r="D69" i="59"/>
  <c r="C68" i="59"/>
  <c r="D68" i="59"/>
  <c r="BA47" i="3"/>
  <c r="BA56" i="3"/>
  <c r="AZ96" i="3"/>
  <c r="AA31" i="39"/>
  <c r="S31" i="39"/>
  <c r="AA27" i="59"/>
  <c r="E28" i="59"/>
  <c r="E29" i="59"/>
  <c r="E30" i="59"/>
  <c r="U30" i="59"/>
  <c r="C37" i="59"/>
  <c r="D36" i="59"/>
  <c r="S70" i="59"/>
  <c r="B69" i="59"/>
  <c r="B68" i="59"/>
  <c r="E13" i="59"/>
  <c r="E12" i="59"/>
  <c r="E11" i="59"/>
  <c r="BL29" i="3"/>
  <c r="AZ29" i="3"/>
  <c r="BA46" i="3"/>
  <c r="G60" i="3"/>
  <c r="G72" i="3"/>
  <c r="BL79" i="3"/>
  <c r="AZ79" i="3"/>
  <c r="BA105" i="3"/>
  <c r="BA110" i="3"/>
  <c r="G1" i="77"/>
  <c r="N4" i="63"/>
  <c r="X7" i="59"/>
  <c r="AA9" i="59"/>
  <c r="Y24" i="59"/>
  <c r="Z24" i="59"/>
  <c r="AA30" i="59"/>
  <c r="AB21" i="59"/>
  <c r="Y16" i="59"/>
  <c r="Z16" i="59"/>
  <c r="E17" i="71"/>
  <c r="E17" i="72"/>
  <c r="C16" i="72"/>
  <c r="AA12" i="59"/>
  <c r="AA11" i="59"/>
  <c r="X8" i="59"/>
  <c r="L100" i="46"/>
  <c r="S27" i="40"/>
  <c r="D40" i="59"/>
  <c r="AA3" i="59"/>
  <c r="AA24" i="59"/>
  <c r="AB27" i="59"/>
  <c r="AB30" i="59"/>
  <c r="AA21" i="59"/>
  <c r="X17" i="59"/>
  <c r="Y15" i="59"/>
  <c r="Z15" i="59"/>
  <c r="AB13" i="59"/>
  <c r="AB11" i="59"/>
  <c r="F34" i="59"/>
  <c r="V34" i="59"/>
  <c r="AB24" i="59"/>
  <c r="AA31" i="59"/>
  <c r="Y21" i="59"/>
  <c r="Z21" i="59"/>
  <c r="Y17" i="59"/>
  <c r="Z17" i="59"/>
  <c r="AA16" i="59"/>
  <c r="AB12" i="59"/>
  <c r="X10" i="59"/>
  <c r="AB5" i="59"/>
  <c r="X5" i="59"/>
  <c r="X25" i="59"/>
  <c r="Y28" i="59"/>
  <c r="Z28" i="59"/>
  <c r="AA10" i="46"/>
  <c r="X21" i="59"/>
  <c r="AA17" i="59"/>
  <c r="AA15" i="59"/>
  <c r="X14" i="59"/>
  <c r="Y10" i="59"/>
  <c r="Z10" i="59"/>
  <c r="AB7" i="59"/>
  <c r="X6" i="59"/>
  <c r="S18" i="35"/>
  <c r="C76" i="59"/>
  <c r="D76" i="59"/>
  <c r="C80" i="59"/>
  <c r="D80" i="59"/>
  <c r="C29" i="59"/>
  <c r="Y25" i="59"/>
  <c r="Z25" i="59"/>
  <c r="X27" i="59"/>
  <c r="AA28" i="59"/>
  <c r="AB31" i="59"/>
  <c r="X22" i="59"/>
  <c r="Y20" i="59"/>
  <c r="Z20" i="59"/>
  <c r="Y19" i="59"/>
  <c r="Z19" i="59"/>
  <c r="AB17" i="59"/>
  <c r="AB16" i="59"/>
  <c r="Y14" i="59"/>
  <c r="Z14" i="59"/>
  <c r="AA10" i="59"/>
  <c r="X9" i="59"/>
  <c r="X23" i="59"/>
  <c r="AA25" i="59"/>
  <c r="AB28" i="59"/>
  <c r="Y22" i="59"/>
  <c r="Z22" i="59"/>
  <c r="AB20" i="59"/>
  <c r="AA19" i="59"/>
  <c r="AB15" i="59"/>
  <c r="AA14" i="59"/>
  <c r="AB10" i="59"/>
  <c r="AB8" i="59"/>
  <c r="Y8" i="59"/>
  <c r="Z8" i="59"/>
  <c r="AB25" i="59"/>
  <c r="Y27" i="59"/>
  <c r="Z27" i="59"/>
  <c r="X29" i="59"/>
  <c r="Y32" i="59"/>
  <c r="Z32" i="59"/>
  <c r="AA22" i="59"/>
  <c r="T18" i="59"/>
  <c r="E22" i="59"/>
  <c r="AB19" i="59"/>
  <c r="AB14" i="59"/>
  <c r="AB9" i="59"/>
  <c r="Y7" i="59"/>
  <c r="Z7" i="59"/>
  <c r="Y23" i="59"/>
  <c r="Z23" i="59"/>
  <c r="X26" i="59"/>
  <c r="Y29" i="59"/>
  <c r="Z29" i="59"/>
  <c r="X31" i="59"/>
  <c r="AA32" i="59"/>
  <c r="AB22" i="59"/>
  <c r="X19" i="59"/>
  <c r="X13" i="59"/>
  <c r="AA5" i="59"/>
  <c r="Y5" i="59"/>
  <c r="Z5" i="59"/>
  <c r="AA23" i="59"/>
  <c r="Y26" i="59"/>
  <c r="Z26" i="59"/>
  <c r="AA29" i="59"/>
  <c r="AB32" i="59"/>
  <c r="C22" i="59"/>
  <c r="X18" i="59"/>
  <c r="X12" i="59"/>
  <c r="AA6" i="59"/>
  <c r="Y6" i="59"/>
  <c r="Z6" i="59"/>
  <c r="B84" i="71"/>
  <c r="B84" i="72"/>
  <c r="E58" i="46"/>
  <c r="B56" i="46"/>
  <c r="B85" i="71"/>
  <c r="B85" i="72"/>
  <c r="AA26" i="59"/>
  <c r="AB29" i="59"/>
  <c r="Y31" i="59"/>
  <c r="Z31" i="59"/>
  <c r="B22" i="59"/>
  <c r="Y18" i="59"/>
  <c r="Z18" i="59"/>
  <c r="Y13" i="59"/>
  <c r="Z13" i="59"/>
  <c r="AA8" i="59"/>
  <c r="Y9" i="59"/>
  <c r="Z9" i="59"/>
  <c r="D23" i="15"/>
  <c r="AB23" i="59"/>
  <c r="AB26" i="59"/>
  <c r="Y33" i="59"/>
  <c r="Z33" i="59"/>
  <c r="AA20" i="59"/>
  <c r="AA18" i="59"/>
  <c r="X16" i="59"/>
  <c r="Y12" i="59"/>
  <c r="Z12" i="59"/>
  <c r="X11" i="59"/>
  <c r="AA7" i="59"/>
  <c r="W46" i="34"/>
  <c r="S46" i="34"/>
  <c r="U46" i="34"/>
  <c r="W46" i="33"/>
  <c r="U38" i="33"/>
  <c r="W38" i="33"/>
  <c r="S29" i="33"/>
  <c r="U29" i="33"/>
  <c r="M43" i="9"/>
  <c r="D18" i="9"/>
  <c r="M44" i="9"/>
  <c r="A30" i="64"/>
  <c r="A30" i="51"/>
  <c r="B22" i="63"/>
  <c r="B51" i="71"/>
  <c r="B72" i="72"/>
  <c r="B62" i="72"/>
  <c r="B51" i="72"/>
  <c r="B72" i="71"/>
  <c r="B62" i="71"/>
  <c r="B72" i="46"/>
  <c r="B76" i="71"/>
  <c r="B55" i="71"/>
  <c r="B76" i="72"/>
  <c r="B66" i="72"/>
  <c r="B55" i="72"/>
  <c r="B66" i="71"/>
  <c r="H113" i="33"/>
  <c r="I113" i="33"/>
  <c r="J113" i="33"/>
  <c r="K113" i="33"/>
  <c r="L113" i="33"/>
  <c r="M113" i="33"/>
  <c r="F85" i="33"/>
  <c r="G85" i="33"/>
  <c r="H23" i="33"/>
  <c r="U23" i="33"/>
  <c r="F23" i="33"/>
  <c r="AA23" i="33"/>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c r="W10" i="34"/>
  <c r="W25" i="34"/>
  <c r="W23" i="34"/>
  <c r="U15" i="34"/>
  <c r="AB8" i="34"/>
  <c r="AB38" i="34"/>
  <c r="U39" i="34"/>
  <c r="F88" i="34"/>
  <c r="G88" i="34"/>
  <c r="H88" i="34"/>
  <c r="I88" i="34"/>
  <c r="J88" i="34"/>
  <c r="K88" i="34"/>
  <c r="L88" i="34"/>
  <c r="M88" i="34"/>
  <c r="F25" i="34"/>
  <c r="S25" i="34"/>
  <c r="F82" i="34"/>
  <c r="G82" i="34"/>
  <c r="H19" i="34"/>
  <c r="J19" i="34"/>
  <c r="F19" i="34"/>
  <c r="AA19" i="34"/>
  <c r="AC43" i="34"/>
  <c r="W44" i="34"/>
  <c r="H112" i="34"/>
  <c r="I112" i="34"/>
  <c r="J112" i="34"/>
  <c r="K112" i="34"/>
  <c r="L112" i="34"/>
  <c r="M112" i="34"/>
  <c r="F37" i="34"/>
  <c r="H37" i="34"/>
  <c r="J37" i="34"/>
  <c r="AA23" i="34"/>
  <c r="AA15" i="34"/>
  <c r="W35" i="34"/>
  <c r="W33" i="34"/>
  <c r="AC40" i="34"/>
  <c r="AB40" i="34"/>
  <c r="AC41" i="34"/>
  <c r="S43" i="34"/>
  <c r="AA44" i="34"/>
  <c r="F101" i="33"/>
  <c r="F32" i="33"/>
  <c r="F111" i="33"/>
  <c r="AA33" i="34"/>
  <c r="AA36" i="34"/>
  <c r="AB36" i="34"/>
  <c r="AC36" i="34"/>
  <c r="AB35" i="34"/>
  <c r="AC28" i="34"/>
  <c r="AA28" i="34"/>
  <c r="AA27" i="34"/>
  <c r="J42" i="33"/>
  <c r="AC42" i="33"/>
  <c r="H42" i="33"/>
  <c r="U42" i="33"/>
  <c r="G87" i="33"/>
  <c r="H25" i="33"/>
  <c r="AB25" i="33"/>
  <c r="F25" i="33"/>
  <c r="S25" i="33"/>
  <c r="U11" i="34"/>
  <c r="U23" i="34"/>
  <c r="S21" i="34"/>
  <c r="W17" i="34"/>
  <c r="S17" i="34"/>
  <c r="AC15" i="34"/>
  <c r="S10" i="34"/>
  <c r="U10" i="34"/>
  <c r="U9" i="34"/>
  <c r="S9" i="34"/>
  <c r="AC23" i="33"/>
  <c r="AC17" i="33"/>
  <c r="U17" i="33"/>
  <c r="G123" i="33"/>
  <c r="H123" i="33"/>
  <c r="I123" i="33"/>
  <c r="J123" i="33"/>
  <c r="K123" i="33"/>
  <c r="L123" i="33"/>
  <c r="M123" i="33"/>
  <c r="F42" i="33"/>
  <c r="AA42" i="33"/>
  <c r="F77" i="33"/>
  <c r="G77" i="33"/>
  <c r="F15" i="33"/>
  <c r="J15" i="33"/>
  <c r="W15" i="33"/>
  <c r="H15" i="33"/>
  <c r="F19" i="33"/>
  <c r="S19" i="33"/>
  <c r="H19" i="33"/>
  <c r="F81" i="33"/>
  <c r="G81" i="33"/>
  <c r="J19" i="33"/>
  <c r="S26" i="33"/>
  <c r="AB10" i="33"/>
  <c r="S10" i="33"/>
  <c r="W10" i="33"/>
  <c r="AB11" i="33"/>
  <c r="AC11" i="33"/>
  <c r="S43" i="33"/>
  <c r="AB43" i="33"/>
  <c r="AA41" i="33"/>
  <c r="U41" i="33"/>
  <c r="U39" i="33"/>
  <c r="W42" i="33"/>
  <c r="W41" i="33"/>
  <c r="S39" i="33"/>
  <c r="U37" i="33"/>
  <c r="S37" i="33"/>
  <c r="AC37" i="33"/>
  <c r="U35" i="33"/>
  <c r="S35" i="33"/>
  <c r="AC35" i="33"/>
  <c r="W34" i="33"/>
  <c r="AA34" i="33"/>
  <c r="W27" i="33"/>
  <c r="AB26" i="33"/>
  <c r="AC28" i="33"/>
  <c r="AA27" i="33"/>
  <c r="AC8" i="33"/>
  <c r="S9" i="33"/>
  <c r="W9" i="33"/>
  <c r="AB9" i="33"/>
  <c r="S17" i="33"/>
  <c r="I20" i="72"/>
  <c r="BB5" i="3"/>
  <c r="E5" i="6"/>
  <c r="D12" i="11"/>
  <c r="C12" i="11"/>
  <c r="BA5" i="3"/>
  <c r="E69" i="46"/>
  <c r="B67" i="46"/>
  <c r="C24" i="46"/>
  <c r="H9" i="68"/>
  <c r="C9" i="68"/>
  <c r="F21" i="6"/>
  <c r="E21" i="6"/>
  <c r="C10" i="12"/>
  <c r="C6" i="12"/>
  <c r="C24" i="12"/>
  <c r="E20" i="6"/>
  <c r="W10" i="21"/>
  <c r="U9" i="21"/>
  <c r="AA9" i="21"/>
  <c r="AB10" i="21"/>
  <c r="W8" i="21"/>
  <c r="AP8" i="1"/>
  <c r="G8" i="1"/>
  <c r="G7" i="1"/>
  <c r="AP7" i="1"/>
  <c r="C42" i="1"/>
  <c r="G19" i="72"/>
  <c r="G19" i="71"/>
  <c r="D96" i="9"/>
  <c r="B41" i="1"/>
  <c r="F72" i="9"/>
  <c r="G21" i="43"/>
  <c r="G27" i="12"/>
  <c r="G28" i="70"/>
  <c r="G26" i="70"/>
  <c r="G26" i="69"/>
  <c r="G27" i="70"/>
  <c r="G27" i="69"/>
  <c r="G28" i="69"/>
  <c r="C2" i="65"/>
  <c r="K1" i="69"/>
  <c r="K1" i="70"/>
  <c r="I4" i="6"/>
  <c r="F30" i="6"/>
  <c r="N16" i="4"/>
  <c r="K17" i="4"/>
  <c r="D70" i="39"/>
  <c r="C72" i="39"/>
  <c r="C67" i="40"/>
  <c r="G17" i="46"/>
  <c r="C16" i="46"/>
  <c r="BL13" i="3"/>
  <c r="BL5" i="3"/>
  <c r="C15" i="43"/>
  <c r="H12" i="48"/>
  <c r="G6" i="1"/>
  <c r="I20" i="46"/>
  <c r="I46" i="36"/>
  <c r="J46" i="36"/>
  <c r="K46" i="36"/>
  <c r="L46" i="36"/>
  <c r="M46" i="36"/>
  <c r="N46" i="36"/>
  <c r="O46" i="36"/>
  <c r="L52" i="37"/>
  <c r="M52" i="37"/>
  <c r="N52" i="37"/>
  <c r="O52" i="37"/>
  <c r="D58" i="21"/>
  <c r="D59" i="34"/>
  <c r="A25" i="51"/>
  <c r="B18" i="63"/>
  <c r="C95" i="9"/>
  <c r="C92" i="9"/>
  <c r="H71" i="46"/>
  <c r="G71" i="46"/>
  <c r="H75" i="46"/>
  <c r="G75" i="46"/>
  <c r="H72" i="46"/>
  <c r="G72" i="46"/>
  <c r="H77" i="46"/>
  <c r="G77" i="46"/>
  <c r="H70" i="46"/>
  <c r="G70" i="46"/>
  <c r="H73" i="46"/>
  <c r="G73" i="46"/>
  <c r="H74" i="46"/>
  <c r="G74" i="46"/>
  <c r="H69" i="46"/>
  <c r="G69" i="46"/>
  <c r="H76" i="46"/>
  <c r="G76" i="46"/>
  <c r="F28" i="15"/>
  <c r="C28" i="15"/>
  <c r="F30" i="44"/>
  <c r="C30" i="44"/>
  <c r="M20" i="44"/>
  <c r="F70" i="9"/>
  <c r="F32" i="15"/>
  <c r="F59" i="15"/>
  <c r="F66" i="9"/>
  <c r="P72" i="9"/>
  <c r="O9" i="1"/>
  <c r="P9" i="1"/>
  <c r="O6" i="1"/>
  <c r="C5" i="46"/>
  <c r="C18" i="11"/>
  <c r="K77" i="9"/>
  <c r="K79" i="9"/>
  <c r="K81" i="9"/>
  <c r="E12" i="52"/>
  <c r="E10" i="59"/>
  <c r="B10" i="59"/>
  <c r="B4" i="52"/>
  <c r="E14" i="52"/>
  <c r="E11" i="52"/>
  <c r="E7" i="52"/>
  <c r="E4" i="52"/>
  <c r="B8" i="52"/>
  <c r="B10" i="52"/>
  <c r="B5" i="52"/>
  <c r="B12" i="52"/>
  <c r="B14" i="52"/>
  <c r="Y3" i="59"/>
  <c r="Z3" i="59"/>
  <c r="P22" i="46"/>
  <c r="P24" i="46"/>
  <c r="B68" i="40"/>
  <c r="P23" i="46"/>
  <c r="P25" i="46"/>
  <c r="B73" i="39"/>
  <c r="P21" i="46"/>
  <c r="I1" i="65"/>
  <c r="L19" i="6"/>
  <c r="L27" i="6"/>
  <c r="AZ46" i="3"/>
  <c r="AZ99" i="3"/>
  <c r="AZ74" i="3"/>
  <c r="AZ187" i="3"/>
  <c r="AZ164" i="3"/>
  <c r="AZ167" i="3"/>
  <c r="AZ462" i="3"/>
  <c r="AZ405" i="3"/>
  <c r="AZ207" i="3"/>
  <c r="AZ390" i="3"/>
  <c r="D65" i="59"/>
  <c r="C64" i="59"/>
  <c r="D64" i="59"/>
  <c r="AZ44" i="3"/>
  <c r="AZ263" i="3"/>
  <c r="AZ256" i="3"/>
  <c r="AZ214" i="3"/>
  <c r="AZ209" i="3"/>
  <c r="AZ431" i="3"/>
  <c r="AZ398" i="3"/>
  <c r="AZ385" i="3"/>
  <c r="AZ369" i="3"/>
  <c r="AZ368" i="3"/>
  <c r="AZ470" i="3"/>
  <c r="W9" i="35"/>
  <c r="AC9" i="35"/>
  <c r="W26" i="37"/>
  <c r="AC26" i="37"/>
  <c r="AC36" i="35"/>
  <c r="W36" i="35"/>
  <c r="AC13" i="21"/>
  <c r="W13" i="21"/>
  <c r="S31" i="21"/>
  <c r="AA31" i="21"/>
  <c r="D49" i="59"/>
  <c r="C50" i="59"/>
  <c r="AB9" i="35"/>
  <c r="U9" i="35"/>
  <c r="AA26" i="37"/>
  <c r="S26" i="37"/>
  <c r="AB36" i="35"/>
  <c r="U36" i="35"/>
  <c r="U33" i="34"/>
  <c r="AB33" i="34"/>
  <c r="U29" i="21"/>
  <c r="AB29" i="21"/>
  <c r="C14" i="59"/>
  <c r="D15" i="59"/>
  <c r="S19" i="34"/>
  <c r="F7" i="36"/>
  <c r="H7" i="36"/>
  <c r="AA32" i="40"/>
  <c r="S32" i="40"/>
  <c r="AC32" i="40"/>
  <c r="W32" i="40"/>
  <c r="U17" i="34"/>
  <c r="E28" i="6"/>
  <c r="K14" i="1"/>
  <c r="M14" i="1"/>
  <c r="O14" i="1"/>
  <c r="P14" i="1"/>
  <c r="G30" i="6"/>
  <c r="G31" i="6"/>
  <c r="AA32" i="33"/>
  <c r="S32" i="33"/>
  <c r="T46" i="59"/>
  <c r="D46" i="59"/>
  <c r="C58" i="59"/>
  <c r="D57" i="59"/>
  <c r="AZ433" i="3"/>
  <c r="E9" i="59"/>
  <c r="E8" i="59"/>
  <c r="E7" i="59"/>
  <c r="E6" i="59"/>
  <c r="U10" i="59"/>
  <c r="AZ13" i="3"/>
  <c r="AZ56" i="3"/>
  <c r="AZ136" i="3"/>
  <c r="AZ318" i="3"/>
  <c r="AZ451" i="3"/>
  <c r="AC47" i="34"/>
  <c r="W47" i="34"/>
  <c r="AZ47" i="3"/>
  <c r="V18" i="59"/>
  <c r="F17" i="59"/>
  <c r="F16" i="59"/>
  <c r="F15" i="59"/>
  <c r="F14" i="59"/>
  <c r="AZ156" i="3"/>
  <c r="AZ90" i="3"/>
  <c r="AZ246" i="3"/>
  <c r="G101" i="33"/>
  <c r="J32" i="33"/>
  <c r="C16" i="71"/>
  <c r="B32" i="1"/>
  <c r="B9" i="59"/>
  <c r="B8" i="59"/>
  <c r="B7" i="59"/>
  <c r="B6" i="59"/>
  <c r="S10" i="59"/>
  <c r="C34" i="59"/>
  <c r="D33" i="59"/>
  <c r="W25" i="37"/>
  <c r="AC25" i="37"/>
  <c r="E8" i="6"/>
  <c r="E53" i="40"/>
  <c r="AA19" i="33"/>
  <c r="S22" i="59"/>
  <c r="B21" i="59"/>
  <c r="B20" i="59"/>
  <c r="AZ423" i="3"/>
  <c r="AZ413" i="3"/>
  <c r="AB28" i="34"/>
  <c r="U28" i="34"/>
  <c r="S25" i="37"/>
  <c r="AA25" i="37"/>
  <c r="E11" i="6"/>
  <c r="E58" i="40"/>
  <c r="J7" i="36"/>
  <c r="E15" i="6"/>
  <c r="AB42" i="33"/>
  <c r="S23" i="33"/>
  <c r="D22" i="59"/>
  <c r="T22" i="59"/>
  <c r="C21" i="59"/>
  <c r="AZ111" i="3"/>
  <c r="AZ83" i="3"/>
  <c r="C26" i="59"/>
  <c r="D25" i="59"/>
  <c r="AZ120" i="3"/>
  <c r="AZ221" i="3"/>
  <c r="AZ235" i="3"/>
  <c r="U25" i="37"/>
  <c r="AB25" i="37"/>
  <c r="F60" i="59"/>
  <c r="Q61" i="59"/>
  <c r="E12" i="6"/>
  <c r="AB27" i="33"/>
  <c r="AZ78" i="3"/>
  <c r="AZ128" i="3"/>
  <c r="AZ399" i="3"/>
  <c r="U12" i="35"/>
  <c r="AB12" i="35"/>
  <c r="W12" i="35"/>
  <c r="AC12" i="35"/>
  <c r="E14" i="6"/>
  <c r="E66" i="39"/>
  <c r="E21" i="59"/>
  <c r="E20" i="59"/>
  <c r="U22" i="59"/>
  <c r="U34" i="59"/>
  <c r="M19" i="46"/>
  <c r="AB23" i="33"/>
  <c r="C30" i="59"/>
  <c r="D29" i="59"/>
  <c r="D37" i="59"/>
  <c r="C38" i="59"/>
  <c r="P59" i="59"/>
  <c r="P60" i="59"/>
  <c r="AZ62" i="3"/>
  <c r="AZ133" i="3"/>
  <c r="AZ412" i="3"/>
  <c r="AZ395" i="3"/>
  <c r="AA45" i="21"/>
  <c r="S45" i="21"/>
  <c r="U34" i="36"/>
  <c r="AB34" i="36"/>
  <c r="E13" i="6"/>
  <c r="U25" i="33"/>
  <c r="AZ110" i="3"/>
  <c r="D53" i="59"/>
  <c r="C54" i="59"/>
  <c r="U45" i="21"/>
  <c r="AB45" i="21"/>
  <c r="AC34" i="36"/>
  <c r="W34" i="36"/>
  <c r="G5" i="3"/>
  <c r="B3" i="3"/>
  <c r="E36" i="3"/>
  <c r="AC9" i="21"/>
  <c r="W9" i="21"/>
  <c r="M83" i="9"/>
  <c r="N83" i="9"/>
  <c r="N89" i="9"/>
  <c r="O89" i="9"/>
  <c r="M84" i="9"/>
  <c r="N84" i="9"/>
  <c r="M86" i="9"/>
  <c r="N86" i="9"/>
  <c r="M87" i="9"/>
  <c r="N87" i="9"/>
  <c r="M88" i="9"/>
  <c r="N88" i="9"/>
  <c r="M85" i="9"/>
  <c r="N85" i="9"/>
  <c r="AZ105" i="3"/>
  <c r="AZ101" i="3"/>
  <c r="AZ69" i="3"/>
  <c r="AZ240" i="3"/>
  <c r="AZ400" i="3"/>
  <c r="D5" i="72"/>
  <c r="C5" i="72"/>
  <c r="D4" i="68"/>
  <c r="AZ38" i="3"/>
  <c r="AA25" i="35"/>
  <c r="S25" i="35"/>
  <c r="F7" i="35"/>
  <c r="AA7" i="35"/>
  <c r="R38" i="35"/>
  <c r="F28" i="77"/>
  <c r="C28" i="77"/>
  <c r="M18" i="77"/>
  <c r="F32" i="77"/>
  <c r="F59" i="77"/>
  <c r="AA25" i="34"/>
  <c r="E30" i="6"/>
  <c r="AB19" i="34"/>
  <c r="U19" i="34"/>
  <c r="AC19" i="34"/>
  <c r="W19" i="34"/>
  <c r="AC37" i="34"/>
  <c r="W37" i="34"/>
  <c r="AA37" i="34"/>
  <c r="S37" i="34"/>
  <c r="AB37" i="34"/>
  <c r="U37" i="34"/>
  <c r="H101" i="33"/>
  <c r="I101" i="33"/>
  <c r="J101" i="33"/>
  <c r="K101" i="33"/>
  <c r="L101" i="33"/>
  <c r="M101" i="33"/>
  <c r="H32" i="33"/>
  <c r="G111" i="33"/>
  <c r="J36" i="33"/>
  <c r="AC15" i="33"/>
  <c r="AA25" i="33"/>
  <c r="J25" i="33"/>
  <c r="H87" i="33"/>
  <c r="I87" i="33"/>
  <c r="J87" i="33"/>
  <c r="K87" i="33"/>
  <c r="L87" i="33"/>
  <c r="M87" i="33"/>
  <c r="S42" i="33"/>
  <c r="U15" i="33"/>
  <c r="AB15" i="33"/>
  <c r="AA15" i="33"/>
  <c r="S15" i="33"/>
  <c r="W19" i="33"/>
  <c r="AC19" i="33"/>
  <c r="U19" i="33"/>
  <c r="AB19" i="33"/>
  <c r="M76" i="46"/>
  <c r="N76" i="46"/>
  <c r="K76" i="46"/>
  <c r="J76" i="46"/>
  <c r="M70" i="46"/>
  <c r="N70" i="46"/>
  <c r="K70" i="46"/>
  <c r="J70" i="46"/>
  <c r="K72" i="46"/>
  <c r="J72" i="46"/>
  <c r="M72" i="46"/>
  <c r="N72" i="46"/>
  <c r="M71" i="46"/>
  <c r="N71" i="46"/>
  <c r="K71" i="46"/>
  <c r="J71" i="46"/>
  <c r="K69" i="46"/>
  <c r="J69" i="46"/>
  <c r="M69" i="46"/>
  <c r="N69" i="46"/>
  <c r="M73" i="46"/>
  <c r="N73" i="46"/>
  <c r="K73" i="46"/>
  <c r="J73" i="46"/>
  <c r="K77" i="46"/>
  <c r="J77" i="46"/>
  <c r="M77" i="46"/>
  <c r="N77" i="46"/>
  <c r="M75" i="46"/>
  <c r="N75" i="46"/>
  <c r="K75" i="46"/>
  <c r="J75" i="46"/>
  <c r="M74" i="46"/>
  <c r="N74" i="46"/>
  <c r="K74" i="46"/>
  <c r="J74" i="46"/>
  <c r="K8" i="1"/>
  <c r="C9" i="69"/>
  <c r="C9" i="70"/>
  <c r="C33" i="33"/>
  <c r="C34" i="34"/>
  <c r="K7" i="1"/>
  <c r="C4" i="73"/>
  <c r="H12" i="68"/>
  <c r="H7" i="35"/>
  <c r="AB7" i="35"/>
  <c r="T38" i="35"/>
  <c r="G38" i="35"/>
  <c r="J7" i="35"/>
  <c r="P24" i="72"/>
  <c r="P25" i="72"/>
  <c r="P21" i="72"/>
  <c r="O19" i="72"/>
  <c r="F4" i="68"/>
  <c r="P23" i="72"/>
  <c r="P22" i="72"/>
  <c r="P22" i="71"/>
  <c r="P23" i="71"/>
  <c r="P25" i="71"/>
  <c r="P24" i="71"/>
  <c r="P21" i="71"/>
  <c r="O19" i="71"/>
  <c r="F3" i="68"/>
  <c r="D5" i="46"/>
  <c r="F34" i="44"/>
  <c r="F29" i="69"/>
  <c r="F29" i="70"/>
  <c r="F27" i="43"/>
  <c r="C27" i="43"/>
  <c r="D86" i="9"/>
  <c r="F71" i="9"/>
  <c r="F29" i="12"/>
  <c r="C29" i="12"/>
  <c r="F31" i="43"/>
  <c r="C31" i="43"/>
  <c r="M18" i="15"/>
  <c r="E58" i="39"/>
  <c r="F27" i="6"/>
  <c r="F7" i="37"/>
  <c r="AA7" i="37"/>
  <c r="R42" i="37"/>
  <c r="D67" i="40"/>
  <c r="E65" i="40"/>
  <c r="E70" i="39"/>
  <c r="D72" i="39"/>
  <c r="E16" i="6"/>
  <c r="E67" i="39"/>
  <c r="E62" i="40"/>
  <c r="E63" i="39"/>
  <c r="E59" i="40"/>
  <c r="E64" i="39"/>
  <c r="J7" i="37"/>
  <c r="W7" i="37"/>
  <c r="H7" i="37"/>
  <c r="AB7" i="37"/>
  <c r="T42" i="37"/>
  <c r="G42" i="37"/>
  <c r="AB7" i="36"/>
  <c r="T36" i="36"/>
  <c r="G36" i="36"/>
  <c r="U7" i="36"/>
  <c r="S7" i="36"/>
  <c r="AA7" i="36"/>
  <c r="R36" i="36"/>
  <c r="AC7" i="35"/>
  <c r="V38" i="35"/>
  <c r="I38" i="35"/>
  <c r="W7" i="35"/>
  <c r="E59" i="34"/>
  <c r="E58" i="21"/>
  <c r="E58" i="33"/>
  <c r="W7" i="36"/>
  <c r="AC7" i="36"/>
  <c r="V36" i="36"/>
  <c r="I36" i="36"/>
  <c r="E60" i="40"/>
  <c r="E65" i="39"/>
  <c r="P6" i="1"/>
  <c r="C19" i="46"/>
  <c r="T50" i="59"/>
  <c r="D50" i="59"/>
  <c r="C13" i="59"/>
  <c r="D14" i="59"/>
  <c r="T14" i="59"/>
  <c r="E118" i="3"/>
  <c r="E55" i="3"/>
  <c r="E81" i="3"/>
  <c r="E347" i="3"/>
  <c r="E388" i="3"/>
  <c r="E345" i="3"/>
  <c r="E450" i="3"/>
  <c r="E177" i="3"/>
  <c r="E212" i="3"/>
  <c r="E231" i="3"/>
  <c r="E465" i="3"/>
  <c r="U7" i="35"/>
  <c r="E563" i="3"/>
  <c r="T54" i="59"/>
  <c r="D54" i="59"/>
  <c r="E46" i="3"/>
  <c r="E282" i="3"/>
  <c r="T26" i="59"/>
  <c r="D26" i="59"/>
  <c r="D21" i="59"/>
  <c r="C20" i="59"/>
  <c r="D20" i="59"/>
  <c r="F13" i="59"/>
  <c r="F12" i="59"/>
  <c r="F11" i="59"/>
  <c r="F10" i="59"/>
  <c r="V14" i="59"/>
  <c r="E255" i="3"/>
  <c r="Q60" i="59"/>
  <c r="Q59" i="59"/>
  <c r="M19" i="71"/>
  <c r="T34" i="59"/>
  <c r="D34" i="59"/>
  <c r="M19" i="72"/>
  <c r="E239" i="3"/>
  <c r="E214" i="3"/>
  <c r="AZ5" i="3"/>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B5" i="59"/>
  <c r="S6" i="59"/>
  <c r="E170" i="3"/>
  <c r="E61" i="40"/>
  <c r="T38" i="59"/>
  <c r="D38" i="59"/>
  <c r="E19" i="70"/>
  <c r="E19" i="69"/>
  <c r="E19" i="12"/>
  <c r="B31" i="1"/>
  <c r="E5" i="59"/>
  <c r="U6" i="59"/>
  <c r="E305" i="3"/>
  <c r="E399" i="3"/>
  <c r="E263" i="3"/>
  <c r="D3" i="68"/>
  <c r="D5" i="71"/>
  <c r="C5" i="71"/>
  <c r="T30" i="59"/>
  <c r="D30" i="59"/>
  <c r="AC32" i="33"/>
  <c r="W32" i="33"/>
  <c r="E223" i="3"/>
  <c r="E209" i="3"/>
  <c r="S7" i="35"/>
  <c r="E72" i="3"/>
  <c r="E205" i="3"/>
  <c r="E287" i="3"/>
  <c r="E470" i="3"/>
  <c r="T58" i="59"/>
  <c r="D58" i="59"/>
  <c r="U7" i="37"/>
  <c r="S7" i="37"/>
  <c r="J33" i="33"/>
  <c r="F33" i="33"/>
  <c r="H33" i="33"/>
  <c r="M8" i="1"/>
  <c r="AB32" i="33"/>
  <c r="U32" i="33"/>
  <c r="H111" i="33"/>
  <c r="I111" i="33"/>
  <c r="J111" i="33"/>
  <c r="K111" i="33"/>
  <c r="L111" i="33"/>
  <c r="M111" i="33"/>
  <c r="H36" i="33"/>
  <c r="F36" i="33"/>
  <c r="W36" i="33"/>
  <c r="AC36" i="33"/>
  <c r="W25" i="33"/>
  <c r="AC25" i="33"/>
  <c r="O8" i="1"/>
  <c r="P8" i="1"/>
  <c r="C5" i="73"/>
  <c r="C9" i="73"/>
  <c r="C10" i="73"/>
  <c r="M7" i="1"/>
  <c r="Q16" i="1"/>
  <c r="F24" i="43"/>
  <c r="C26" i="43" s="1"/>
  <c r="D24" i="43" s="1"/>
  <c r="H16" i="1"/>
  <c r="K16" i="1"/>
  <c r="AP16" i="1"/>
  <c r="F22" i="11"/>
  <c r="G16" i="1"/>
  <c r="E27" i="6"/>
  <c r="F31" i="6"/>
  <c r="AC7" i="37"/>
  <c r="V42" i="37"/>
  <c r="I42" i="37"/>
  <c r="I46" i="37"/>
  <c r="J46" i="37"/>
  <c r="E72" i="39"/>
  <c r="F70" i="39"/>
  <c r="F65" i="40"/>
  <c r="E67" i="40"/>
  <c r="G42" i="35"/>
  <c r="H42" i="35"/>
  <c r="G43" i="35"/>
  <c r="H43" i="35"/>
  <c r="I40" i="36"/>
  <c r="J40" i="36"/>
  <c r="G46" i="37"/>
  <c r="H46" i="37"/>
  <c r="F59" i="34"/>
  <c r="I42" i="35"/>
  <c r="J42" i="35"/>
  <c r="R39" i="35"/>
  <c r="E38" i="35"/>
  <c r="I43" i="35"/>
  <c r="J43" i="35"/>
  <c r="R43" i="37"/>
  <c r="E42" i="37"/>
  <c r="G41" i="36"/>
  <c r="H41" i="36"/>
  <c r="G40" i="36"/>
  <c r="H40" i="36"/>
  <c r="F58" i="33"/>
  <c r="G58" i="33"/>
  <c r="H58" i="33"/>
  <c r="I58" i="33"/>
  <c r="J58" i="33"/>
  <c r="K58" i="33"/>
  <c r="L58" i="33"/>
  <c r="M58" i="33"/>
  <c r="N58" i="33"/>
  <c r="O58" i="33"/>
  <c r="F58" i="21"/>
  <c r="G58" i="21"/>
  <c r="H58" i="21"/>
  <c r="I58" i="21"/>
  <c r="J58" i="21"/>
  <c r="K58" i="21"/>
  <c r="L58" i="21"/>
  <c r="M58" i="21"/>
  <c r="N58" i="21"/>
  <c r="O58" i="21"/>
  <c r="H7" i="21"/>
  <c r="R37" i="36"/>
  <c r="E36" i="36"/>
  <c r="D13" i="59"/>
  <c r="C12" i="59"/>
  <c r="E3" i="6"/>
  <c r="AY6" i="3"/>
  <c r="F9" i="59"/>
  <c r="F8" i="59"/>
  <c r="F7" i="59"/>
  <c r="F6" i="59"/>
  <c r="V10" i="59"/>
  <c r="H6" i="3"/>
  <c r="E6" i="3"/>
  <c r="AC6" i="3"/>
  <c r="AB33" i="33"/>
  <c r="U33" i="33"/>
  <c r="AC33" i="33"/>
  <c r="W33" i="33"/>
  <c r="AA33" i="33"/>
  <c r="S33" i="33"/>
  <c r="J34" i="34"/>
  <c r="F34" i="34"/>
  <c r="H34" i="34"/>
  <c r="AB36" i="33"/>
  <c r="U36" i="33"/>
  <c r="S36" i="33"/>
  <c r="AA36" i="33"/>
  <c r="O7" i="1"/>
  <c r="M16" i="1"/>
  <c r="H12" i="39"/>
  <c r="J12" i="40"/>
  <c r="H12" i="40"/>
  <c r="F12" i="39"/>
  <c r="F12" i="40"/>
  <c r="J12" i="39"/>
  <c r="J7" i="21"/>
  <c r="W7" i="21"/>
  <c r="J7" i="33"/>
  <c r="AC7" i="33"/>
  <c r="V48" i="33"/>
  <c r="I48" i="33"/>
  <c r="G47" i="37"/>
  <c r="H47" i="37"/>
  <c r="K24" i="6"/>
  <c r="M24" i="6"/>
  <c r="I24" i="6"/>
  <c r="S24" i="6"/>
  <c r="K21" i="6"/>
  <c r="K26" i="6"/>
  <c r="M26" i="6"/>
  <c r="I26" i="6"/>
  <c r="S26" i="6"/>
  <c r="K25" i="6"/>
  <c r="M25" i="6"/>
  <c r="I25" i="6"/>
  <c r="S25" i="6"/>
  <c r="K20" i="6"/>
  <c r="E31" i="6"/>
  <c r="K23" i="6"/>
  <c r="M23" i="6"/>
  <c r="I23" i="6"/>
  <c r="S23" i="6"/>
  <c r="K22" i="6"/>
  <c r="M22" i="6"/>
  <c r="I22" i="6"/>
  <c r="S22" i="6"/>
  <c r="K19" i="6"/>
  <c r="F67" i="40"/>
  <c r="G65" i="40"/>
  <c r="G70" i="39"/>
  <c r="F72" i="39"/>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AC7" i="21"/>
  <c r="V48" i="21"/>
  <c r="I48" i="21"/>
  <c r="C43" i="37"/>
  <c r="B3" i="37"/>
  <c r="B2" i="37"/>
  <c r="C42" i="37"/>
  <c r="C39" i="35"/>
  <c r="B3" i="35"/>
  <c r="B2" i="35"/>
  <c r="C38" i="35"/>
  <c r="G59" i="34"/>
  <c r="H59" i="34"/>
  <c r="I59" i="34"/>
  <c r="J59" i="34"/>
  <c r="K59" i="34"/>
  <c r="L59" i="34"/>
  <c r="M59" i="34"/>
  <c r="N59" i="34"/>
  <c r="O59" i="34"/>
  <c r="F7" i="33"/>
  <c r="C11" i="59"/>
  <c r="D12" i="59"/>
  <c r="W7" i="33"/>
  <c r="F5" i="59"/>
  <c r="V6"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c r="C13" i="11"/>
  <c r="L38" i="9"/>
  <c r="B14" i="66"/>
  <c r="B1" i="66"/>
  <c r="D45" i="9"/>
  <c r="C21" i="4"/>
  <c r="O5" i="54"/>
  <c r="B45" i="63"/>
  <c r="D44" i="9"/>
  <c r="AA34" i="34"/>
  <c r="S34" i="34"/>
  <c r="AB34" i="34"/>
  <c r="U34" i="34"/>
  <c r="W34" i="34"/>
  <c r="AC34" i="34"/>
  <c r="AC12" i="39"/>
  <c r="W12" i="39"/>
  <c r="S12" i="39"/>
  <c r="AA12" i="39"/>
  <c r="AC12" i="40"/>
  <c r="W12" i="40"/>
  <c r="L16" i="1"/>
  <c r="C13" i="43"/>
  <c r="C17" i="43" s="1"/>
  <c r="N16" i="1"/>
  <c r="C29" i="43"/>
  <c r="S12" i="40"/>
  <c r="AA12" i="40"/>
  <c r="U12" i="40"/>
  <c r="AB12" i="40"/>
  <c r="U12" i="39"/>
  <c r="AB12" i="39"/>
  <c r="P7" i="1"/>
  <c r="O16" i="1"/>
  <c r="F7" i="34"/>
  <c r="S7" i="34"/>
  <c r="M21" i="6"/>
  <c r="I21" i="6"/>
  <c r="S8" i="1"/>
  <c r="M20" i="6"/>
  <c r="I20" i="6"/>
  <c r="S7" i="1"/>
  <c r="H23" i="6"/>
  <c r="S6" i="1"/>
  <c r="M19" i="6"/>
  <c r="K27" i="6"/>
  <c r="H65" i="40"/>
  <c r="G67" i="40"/>
  <c r="H70" i="39"/>
  <c r="G72" i="39"/>
  <c r="H7" i="34"/>
  <c r="U7" i="34"/>
  <c r="S7" i="21"/>
  <c r="AA7" i="21"/>
  <c r="R48" i="21"/>
  <c r="AA7" i="33"/>
  <c r="R48" i="33"/>
  <c r="S7" i="33"/>
  <c r="I52" i="33"/>
  <c r="J52" i="33"/>
  <c r="I52" i="21"/>
  <c r="J52" i="21"/>
  <c r="AB7" i="33"/>
  <c r="T48" i="33"/>
  <c r="G48" i="33"/>
  <c r="U7" i="33"/>
  <c r="G52" i="21"/>
  <c r="H52" i="21"/>
  <c r="G53" i="21"/>
  <c r="H53" i="21"/>
  <c r="J7" i="34"/>
  <c r="D77" i="9"/>
  <c r="N75" i="9"/>
  <c r="D11" i="59"/>
  <c r="C10" i="59"/>
  <c r="C7" i="66"/>
  <c r="C6" i="66"/>
  <c r="C8" i="66"/>
  <c r="D14" i="6"/>
  <c r="E63" i="40"/>
  <c r="F44" i="9"/>
  <c r="D28" i="6"/>
  <c r="D9" i="6"/>
  <c r="D26" i="6"/>
  <c r="E45" i="9"/>
  <c r="D15" i="6"/>
  <c r="E46" i="9"/>
  <c r="D20" i="6"/>
  <c r="D25" i="6"/>
  <c r="D24" i="6"/>
  <c r="H24" i="6"/>
  <c r="D8" i="6"/>
  <c r="F45" i="9"/>
  <c r="D11" i="6"/>
  <c r="E68" i="39"/>
  <c r="D23" i="6"/>
  <c r="R23" i="6"/>
  <c r="D12" i="6"/>
  <c r="H26" i="6"/>
  <c r="D6" i="6"/>
  <c r="I7" i="6"/>
  <c r="D22" i="6"/>
  <c r="K38" i="9"/>
  <c r="C14" i="66"/>
  <c r="B2" i="66"/>
  <c r="D29" i="6"/>
  <c r="F1" i="72"/>
  <c r="F46" i="9"/>
  <c r="H25" i="6"/>
  <c r="E44" i="9"/>
  <c r="D10" i="6"/>
  <c r="C22" i="4"/>
  <c r="D5" i="6"/>
  <c r="D19" i="6"/>
  <c r="D21" i="6"/>
  <c r="H22" i="6"/>
  <c r="D13" i="6"/>
  <c r="AA7" i="34"/>
  <c r="R49" i="34"/>
  <c r="E49" i="34"/>
  <c r="P16" i="1"/>
  <c r="C14" i="43"/>
  <c r="AB7" i="34"/>
  <c r="T49" i="34"/>
  <c r="G49" i="34"/>
  <c r="G53" i="34"/>
  <c r="H53" i="34"/>
  <c r="S20" i="6"/>
  <c r="H20" i="6"/>
  <c r="R20" i="6"/>
  <c r="R7" i="1"/>
  <c r="S21" i="6"/>
  <c r="H21" i="6"/>
  <c r="R21" i="6"/>
  <c r="R8" i="1"/>
  <c r="S16" i="1"/>
  <c r="T6" i="1"/>
  <c r="I19" i="6"/>
  <c r="M27" i="6"/>
  <c r="I70" i="39"/>
  <c r="H72" i="39"/>
  <c r="H67" i="40"/>
  <c r="I65" i="40"/>
  <c r="G52" i="33"/>
  <c r="H52" i="33"/>
  <c r="G53" i="33"/>
  <c r="H53" i="33"/>
  <c r="R49" i="33"/>
  <c r="E48" i="33"/>
  <c r="R49" i="21"/>
  <c r="E48" i="21"/>
  <c r="W7" i="34"/>
  <c r="AC7" i="34"/>
  <c r="V49" i="34"/>
  <c r="I49" i="34"/>
  <c r="C9" i="59"/>
  <c r="D10" i="59"/>
  <c r="T10" i="59"/>
  <c r="R24" i="6"/>
  <c r="R26" i="6"/>
  <c r="D30" i="6"/>
  <c r="D16" i="6"/>
  <c r="D7" i="66"/>
  <c r="D6" i="66"/>
  <c r="D8" i="66"/>
  <c r="R22" i="6"/>
  <c r="R25" i="6"/>
  <c r="G3" i="71"/>
  <c r="G3" i="46"/>
  <c r="G3" i="72"/>
  <c r="A6" i="64"/>
  <c r="A20" i="51"/>
  <c r="B15" i="63"/>
  <c r="N5" i="54"/>
  <c r="B43" i="63"/>
  <c r="A20" i="64"/>
  <c r="A6" i="51"/>
  <c r="B7" i="63"/>
  <c r="D27" i="6"/>
  <c r="D31" i="6"/>
  <c r="C34" i="77"/>
  <c r="F62" i="77"/>
  <c r="C61" i="77"/>
  <c r="R50" i="34"/>
  <c r="C49" i="34"/>
  <c r="U8" i="1"/>
  <c r="I27" i="6"/>
  <c r="H19" i="6"/>
  <c r="S19" i="6"/>
  <c r="S27" i="6"/>
  <c r="T8" i="1"/>
  <c r="T11" i="1"/>
  <c r="T7" i="1"/>
  <c r="T12" i="1"/>
  <c r="T9" i="1"/>
  <c r="T13" i="1"/>
  <c r="T10" i="1"/>
  <c r="J65" i="40"/>
  <c r="I67" i="40"/>
  <c r="J70" i="39"/>
  <c r="I72" i="39"/>
  <c r="C34" i="15"/>
  <c r="F62" i="15"/>
  <c r="C61" i="15"/>
  <c r="I53" i="34"/>
  <c r="J53" i="34"/>
  <c r="I54" i="34"/>
  <c r="J54" i="34"/>
  <c r="E53" i="21"/>
  <c r="F53" i="21"/>
  <c r="E52" i="21"/>
  <c r="F52" i="21"/>
  <c r="I53" i="21"/>
  <c r="J53" i="21"/>
  <c r="G54" i="34"/>
  <c r="H54" i="34"/>
  <c r="C48" i="21"/>
  <c r="C49" i="21"/>
  <c r="B3" i="21"/>
  <c r="B2" i="21"/>
  <c r="E52" i="33"/>
  <c r="F52" i="33"/>
  <c r="E53" i="33"/>
  <c r="F53" i="33"/>
  <c r="I53" i="33"/>
  <c r="J53" i="33"/>
  <c r="E54" i="34"/>
  <c r="F54" i="34"/>
  <c r="E53" i="34"/>
  <c r="F53" i="34"/>
  <c r="C49" i="33"/>
  <c r="B3" i="33"/>
  <c r="B2" i="33"/>
  <c r="C48" i="33"/>
  <c r="U7" i="1"/>
  <c r="I6" i="6"/>
  <c r="I5" i="6"/>
  <c r="D9" i="59"/>
  <c r="C8" i="59"/>
  <c r="H22" i="72"/>
  <c r="L101" i="72"/>
  <c r="AI11" i="72"/>
  <c r="AI13" i="72"/>
  <c r="M101" i="72"/>
  <c r="AJ11" i="72"/>
  <c r="AJ13" i="72"/>
  <c r="D101" i="72"/>
  <c r="E22" i="72"/>
  <c r="G22" i="72"/>
  <c r="N101" i="72"/>
  <c r="AE11" i="72"/>
  <c r="AE13" i="72"/>
  <c r="F22" i="72"/>
  <c r="G101" i="72"/>
  <c r="E101" i="72"/>
  <c r="AH11" i="72"/>
  <c r="AH13" i="72"/>
  <c r="AA11" i="72"/>
  <c r="AA13" i="72"/>
  <c r="AG11" i="72"/>
  <c r="AG13" i="72"/>
  <c r="AC11" i="72"/>
  <c r="AC13" i="72"/>
  <c r="AB11" i="72"/>
  <c r="AB13" i="72"/>
  <c r="Z7" i="72"/>
  <c r="H101" i="72"/>
  <c r="B113" i="72"/>
  <c r="AD11" i="72"/>
  <c r="AD13" i="72"/>
  <c r="Y11" i="72"/>
  <c r="Y13" i="72"/>
  <c r="J101" i="72"/>
  <c r="K101" i="72"/>
  <c r="AF11" i="72"/>
  <c r="AF13" i="72"/>
  <c r="Z11" i="72"/>
  <c r="Z13" i="72"/>
  <c r="F101" i="72"/>
  <c r="C101" i="72"/>
  <c r="I101" i="72"/>
  <c r="AF11" i="46"/>
  <c r="AF13" i="46"/>
  <c r="AE11" i="46"/>
  <c r="AE13" i="46"/>
  <c r="F101" i="46"/>
  <c r="B113" i="46"/>
  <c r="L101" i="46"/>
  <c r="J101" i="46"/>
  <c r="AJ11" i="46"/>
  <c r="AJ13" i="46"/>
  <c r="AI11" i="46"/>
  <c r="AI13" i="46"/>
  <c r="H22" i="46"/>
  <c r="AD11" i="46"/>
  <c r="AD13" i="46"/>
  <c r="M101" i="46"/>
  <c r="H101" i="46"/>
  <c r="K101" i="46"/>
  <c r="F22" i="46"/>
  <c r="G101" i="46"/>
  <c r="G22" i="46"/>
  <c r="AG11" i="46"/>
  <c r="AG13" i="46"/>
  <c r="D101" i="46"/>
  <c r="AB11" i="46"/>
  <c r="AB13" i="46"/>
  <c r="AH11" i="46"/>
  <c r="AH13" i="46"/>
  <c r="I101" i="46"/>
  <c r="Y11" i="46"/>
  <c r="Y13" i="46"/>
  <c r="AA11" i="46"/>
  <c r="AA13" i="46"/>
  <c r="Z11" i="46"/>
  <c r="Z13" i="46"/>
  <c r="N104" i="45"/>
  <c r="C101" i="46"/>
  <c r="E101" i="46"/>
  <c r="AC11" i="46"/>
  <c r="AC13" i="46"/>
  <c r="N101" i="46"/>
  <c r="E22" i="46"/>
  <c r="Z7" i="46"/>
  <c r="AC11" i="71"/>
  <c r="AC13" i="71"/>
  <c r="D101" i="71"/>
  <c r="H101" i="71"/>
  <c r="K101" i="71"/>
  <c r="H22" i="71"/>
  <c r="AG11" i="71"/>
  <c r="AG13" i="71"/>
  <c r="F22" i="71"/>
  <c r="F101" i="71"/>
  <c r="J101" i="71"/>
  <c r="N101" i="71"/>
  <c r="B113" i="71"/>
  <c r="Z7" i="71"/>
  <c r="Z11" i="71"/>
  <c r="Z13" i="71"/>
  <c r="AB11" i="71"/>
  <c r="AB13" i="71"/>
  <c r="AF11" i="71"/>
  <c r="AF13" i="71"/>
  <c r="AD11" i="71"/>
  <c r="AD13" i="71"/>
  <c r="AJ11" i="71"/>
  <c r="AJ13" i="71"/>
  <c r="C101" i="71"/>
  <c r="AA11" i="71"/>
  <c r="AA13" i="71"/>
  <c r="AH11" i="71"/>
  <c r="AH13" i="71"/>
  <c r="E22" i="71"/>
  <c r="I101" i="71"/>
  <c r="AE11" i="71"/>
  <c r="AE13" i="71"/>
  <c r="Y11" i="71"/>
  <c r="Y13" i="71"/>
  <c r="AI11" i="71"/>
  <c r="AI13" i="71"/>
  <c r="G101" i="71"/>
  <c r="M101" i="71"/>
  <c r="G22" i="71"/>
  <c r="E101" i="71"/>
  <c r="L101" i="71"/>
  <c r="S2" i="46"/>
  <c r="S5" i="46"/>
  <c r="C23" i="46"/>
  <c r="S7" i="46"/>
  <c r="S3" i="46"/>
  <c r="S6" i="46"/>
  <c r="S4" i="46"/>
  <c r="S7" i="72"/>
  <c r="S4" i="72"/>
  <c r="S3" i="72"/>
  <c r="S5" i="72"/>
  <c r="S6" i="72"/>
  <c r="C23" i="72"/>
  <c r="S2" i="72"/>
  <c r="S7" i="71"/>
  <c r="S3" i="71"/>
  <c r="C23" i="71"/>
  <c r="S6" i="71"/>
  <c r="S2" i="71"/>
  <c r="S4" i="71"/>
  <c r="S5" i="71"/>
  <c r="C50" i="34"/>
  <c r="B3" i="34"/>
  <c r="B2" i="34"/>
  <c r="R19" i="6"/>
  <c r="H27" i="6"/>
  <c r="T16" i="1"/>
  <c r="K70" i="39"/>
  <c r="J72" i="39"/>
  <c r="K65" i="40"/>
  <c r="J67" i="40"/>
  <c r="D8" i="59"/>
  <c r="C7" i="59"/>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c r="D117" i="46"/>
  <c r="E117" i="46"/>
  <c r="F117" i="46"/>
  <c r="G117" i="46"/>
  <c r="H117" i="46"/>
  <c r="D118" i="46"/>
  <c r="E118" i="46"/>
  <c r="F118" i="46"/>
  <c r="I116" i="46"/>
  <c r="J116" i="46"/>
  <c r="K116" i="46"/>
  <c r="L116" i="46"/>
  <c r="M116" i="46"/>
  <c r="D116" i="46"/>
  <c r="E116" i="46"/>
  <c r="F116" i="46"/>
  <c r="G116" i="46"/>
  <c r="H116" i="46"/>
  <c r="D115" i="46"/>
  <c r="E115" i="46"/>
  <c r="F115" i="46"/>
  <c r="G115" i="46"/>
  <c r="H115" i="46"/>
  <c r="B118" i="46"/>
  <c r="C118" i="46"/>
  <c r="I115" i="46"/>
  <c r="J115" i="46"/>
  <c r="K115" i="46"/>
  <c r="L115" i="46"/>
  <c r="M115" i="46"/>
  <c r="I117" i="46"/>
  <c r="J117" i="46"/>
  <c r="K117" i="46"/>
  <c r="L117" i="46"/>
  <c r="M117" i="46"/>
  <c r="I118" i="46"/>
  <c r="J118" i="46"/>
  <c r="K118" i="46"/>
  <c r="L118" i="46"/>
  <c r="M118" i="46"/>
  <c r="B117" i="46"/>
  <c r="C117" i="46"/>
  <c r="G118" i="46"/>
  <c r="H118" i="46"/>
  <c r="B115" i="46"/>
  <c r="E102" i="72"/>
  <c r="E103" i="72"/>
  <c r="E109" i="72"/>
  <c r="E107" i="72"/>
  <c r="E105" i="72"/>
  <c r="E106" i="72"/>
  <c r="E104" i="72"/>
  <c r="I115" i="71"/>
  <c r="J115" i="71"/>
  <c r="K115" i="71"/>
  <c r="L115" i="71"/>
  <c r="M115" i="71"/>
  <c r="I117" i="71"/>
  <c r="J117" i="71"/>
  <c r="K117" i="71"/>
  <c r="L117" i="71"/>
  <c r="M117" i="71"/>
  <c r="B117" i="71"/>
  <c r="C117" i="71"/>
  <c r="B115" i="71"/>
  <c r="C115" i="71"/>
  <c r="I118" i="71"/>
  <c r="J118" i="71"/>
  <c r="K118" i="71"/>
  <c r="L118" i="71"/>
  <c r="M118" i="71"/>
  <c r="B118" i="71"/>
  <c r="C118" i="71"/>
  <c r="D116" i="71"/>
  <c r="E116" i="71"/>
  <c r="F116" i="71"/>
  <c r="G116" i="71"/>
  <c r="H116" i="71"/>
  <c r="G118" i="71"/>
  <c r="H118" i="71"/>
  <c r="B116" i="71"/>
  <c r="C116" i="71"/>
  <c r="D118" i="71"/>
  <c r="E118" i="71"/>
  <c r="F118" i="71"/>
  <c r="D117" i="71"/>
  <c r="E117" i="71"/>
  <c r="F117" i="71"/>
  <c r="G117" i="71"/>
  <c r="H117" i="71"/>
  <c r="D115" i="71"/>
  <c r="E115" i="71"/>
  <c r="F115" i="71"/>
  <c r="G115" i="71"/>
  <c r="H115" i="71"/>
  <c r="I116" i="71"/>
  <c r="J116" i="71"/>
  <c r="K116" i="71"/>
  <c r="L116" i="71"/>
  <c r="M116" i="7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c r="K117" i="72"/>
  <c r="L117" i="72"/>
  <c r="M117" i="72"/>
  <c r="B118" i="72"/>
  <c r="C118" i="72"/>
  <c r="B117" i="72"/>
  <c r="C117" i="72"/>
  <c r="B116" i="72"/>
  <c r="C116" i="72"/>
  <c r="I116" i="72"/>
  <c r="J116" i="72"/>
  <c r="K116" i="72"/>
  <c r="L116" i="72"/>
  <c r="M116" i="72"/>
  <c r="B115" i="72"/>
  <c r="C115" i="72"/>
  <c r="I115" i="72"/>
  <c r="J115" i="72"/>
  <c r="K115" i="72"/>
  <c r="L115" i="72"/>
  <c r="M115" i="72"/>
  <c r="G118" i="72"/>
  <c r="H118" i="72"/>
  <c r="D118" i="72"/>
  <c r="E118" i="72"/>
  <c r="F118" i="72"/>
  <c r="D116" i="72"/>
  <c r="E116" i="72"/>
  <c r="F116" i="72"/>
  <c r="G116" i="72"/>
  <c r="H116" i="72"/>
  <c r="D117" i="72"/>
  <c r="E117" i="72"/>
  <c r="F117" i="72"/>
  <c r="G117" i="72"/>
  <c r="H117" i="72"/>
  <c r="I118" i="72"/>
  <c r="J118" i="72"/>
  <c r="K118" i="72"/>
  <c r="L118" i="72"/>
  <c r="M118" i="72"/>
  <c r="D115" i="72"/>
  <c r="E115" i="72"/>
  <c r="F115" i="72"/>
  <c r="G115" i="72"/>
  <c r="H115" i="72"/>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R27" i="6"/>
  <c r="R6" i="1"/>
  <c r="K67" i="40"/>
  <c r="L65" i="40"/>
  <c r="L70" i="39"/>
  <c r="K72" i="39"/>
  <c r="D7" i="59"/>
  <c r="C6" i="59"/>
  <c r="D113" i="71"/>
  <c r="J22" i="71"/>
  <c r="C21" i="71"/>
  <c r="H3" i="68"/>
  <c r="D113" i="72"/>
  <c r="J22" i="72"/>
  <c r="C21" i="72"/>
  <c r="C115" i="46"/>
  <c r="D113" i="46"/>
  <c r="J22" i="46"/>
  <c r="C21" i="46"/>
  <c r="R16" i="1"/>
  <c r="M65" i="40"/>
  <c r="L67" i="40"/>
  <c r="L72" i="39"/>
  <c r="M70" i="39"/>
  <c r="T6" i="59"/>
  <c r="C5" i="59"/>
  <c r="D6" i="59"/>
  <c r="H4" i="68"/>
  <c r="M67" i="40"/>
  <c r="H9" i="40"/>
  <c r="N65" i="40"/>
  <c r="N67" i="40"/>
  <c r="F9" i="40"/>
  <c r="M72" i="39"/>
  <c r="N70" i="39"/>
  <c r="N72" i="39"/>
  <c r="J9" i="39"/>
  <c r="D5" i="59"/>
  <c r="M20" i="72"/>
  <c r="M20" i="46"/>
  <c r="M20" i="71"/>
  <c r="W9" i="39"/>
  <c r="AC9" i="39"/>
  <c r="V49" i="39"/>
  <c r="I49" i="39"/>
  <c r="AA9" i="40"/>
  <c r="R44" i="40"/>
  <c r="S9" i="40"/>
  <c r="F9" i="39"/>
  <c r="H9" i="39"/>
  <c r="U9" i="40"/>
  <c r="AB9" i="40"/>
  <c r="T44" i="40"/>
  <c r="G44" i="40"/>
  <c r="G48" i="40"/>
  <c r="H48" i="40"/>
  <c r="J9" i="40"/>
  <c r="W9" i="40"/>
  <c r="AC9" i="40"/>
  <c r="V44" i="40"/>
  <c r="I44" i="40"/>
  <c r="AB9" i="39"/>
  <c r="T49" i="39"/>
  <c r="G49" i="39"/>
  <c r="U9" i="39"/>
  <c r="I53" i="39"/>
  <c r="J53" i="39"/>
  <c r="AA9" i="39"/>
  <c r="R49" i="39"/>
  <c r="S9" i="39"/>
  <c r="E44" i="40"/>
  <c r="R45" i="40"/>
  <c r="E49" i="40"/>
  <c r="F49" i="40"/>
  <c r="E48" i="40"/>
  <c r="F48" i="40"/>
  <c r="C45" i="40"/>
  <c r="C44" i="40"/>
  <c r="G49" i="40"/>
  <c r="H49" i="40"/>
  <c r="I48" i="40"/>
  <c r="J48" i="40"/>
  <c r="I49" i="40"/>
  <c r="J49" i="40"/>
  <c r="E49" i="39"/>
  <c r="R50" i="39"/>
  <c r="G53" i="39"/>
  <c r="H53" i="39"/>
  <c r="G54" i="39"/>
  <c r="H54" i="39"/>
  <c r="C49" i="39"/>
  <c r="C50" i="39"/>
  <c r="B61" i="40"/>
  <c r="F61" i="40"/>
  <c r="B55" i="40"/>
  <c r="F55" i="40"/>
  <c r="B57" i="40"/>
  <c r="F57" i="40"/>
  <c r="B54" i="40"/>
  <c r="F54" i="40"/>
  <c r="B58" i="40"/>
  <c r="F58" i="40"/>
  <c r="B56" i="40"/>
  <c r="F56" i="40"/>
  <c r="B60" i="40"/>
  <c r="F60" i="40"/>
  <c r="B53" i="40"/>
  <c r="F53" i="40"/>
  <c r="B62" i="40"/>
  <c r="F62" i="40"/>
  <c r="B59" i="40"/>
  <c r="F59" i="40"/>
  <c r="F63" i="40"/>
  <c r="B2" i="40"/>
  <c r="E54" i="39"/>
  <c r="F54" i="39"/>
  <c r="E53" i="39"/>
  <c r="F53" i="39"/>
  <c r="I54" i="39"/>
  <c r="J54" i="39"/>
  <c r="B4" i="40"/>
  <c r="B3" i="40"/>
  <c r="B5" i="40"/>
  <c r="B67" i="39"/>
  <c r="F67" i="39"/>
  <c r="B59" i="39"/>
  <c r="F59" i="39"/>
  <c r="B66" i="39"/>
  <c r="F66" i="39"/>
  <c r="B62" i="39"/>
  <c r="F62" i="39"/>
  <c r="B64" i="39"/>
  <c r="F64" i="39"/>
  <c r="B60" i="39"/>
  <c r="F60" i="39"/>
  <c r="F68" i="39"/>
  <c r="B2" i="39"/>
  <c r="B63" i="39"/>
  <c r="F63" i="39"/>
  <c r="B65" i="39"/>
  <c r="F65" i="39"/>
  <c r="B61" i="39"/>
  <c r="F61" i="39"/>
  <c r="B58" i="39"/>
  <c r="F58" i="39"/>
  <c r="B5" i="39"/>
  <c r="B4" i="39"/>
  <c r="B3" i="39"/>
  <c r="D66" i="9"/>
  <c r="N72" i="9"/>
  <c r="E5" i="52" l="1"/>
  <c r="E8" i="52"/>
  <c r="B11" i="52"/>
  <c r="B6" i="52"/>
  <c r="E10" i="52"/>
  <c r="E13" i="52"/>
  <c r="B9" i="52"/>
  <c r="E9" i="52"/>
  <c r="E6" i="52"/>
  <c r="B7" i="52"/>
  <c r="C18" i="43"/>
  <c r="C19" i="43" s="1"/>
  <c r="C25" i="43" s="1"/>
  <c r="C24" i="43" s="1"/>
  <c r="F8" i="67"/>
  <c r="C13" i="12"/>
  <c r="F14" i="67"/>
  <c r="F18" i="44"/>
  <c r="F11" i="67"/>
  <c r="F10" i="44"/>
  <c r="B12" i="67"/>
  <c r="E14" i="67"/>
  <c r="M22" i="15"/>
  <c r="M6" i="15"/>
  <c r="N7" i="65"/>
  <c r="F45" i="44"/>
  <c r="N4" i="65"/>
  <c r="F40" i="15"/>
  <c r="J15" i="15"/>
  <c r="M22" i="77"/>
  <c r="F33" i="70"/>
  <c r="F43" i="77"/>
  <c r="C15" i="69"/>
  <c r="C14" i="15"/>
  <c r="M21" i="15"/>
  <c r="N6" i="65"/>
  <c r="J5" i="65"/>
  <c r="F9" i="44"/>
  <c r="J17" i="44"/>
  <c r="F13" i="67"/>
  <c r="E13" i="67"/>
  <c r="F15" i="44"/>
  <c r="E11" i="67"/>
  <c r="F40" i="44"/>
  <c r="F37" i="15"/>
  <c r="F26" i="15"/>
  <c r="D21" i="12"/>
  <c r="J3" i="65"/>
  <c r="F38" i="44"/>
  <c r="N3" i="65"/>
  <c r="F10" i="67"/>
  <c r="B13" i="67"/>
  <c r="I6" i="65"/>
  <c r="M11" i="44"/>
  <c r="F38" i="15"/>
  <c r="F9" i="15"/>
  <c r="F33" i="12"/>
  <c r="M24" i="44"/>
  <c r="F8" i="77"/>
  <c r="F26" i="77"/>
  <c r="F43" i="15"/>
  <c r="M23" i="77"/>
  <c r="J15" i="77"/>
  <c r="M27" i="77"/>
  <c r="M29" i="15"/>
  <c r="M6" i="77"/>
  <c r="F7" i="67"/>
  <c r="C19" i="44"/>
  <c r="C16" i="44"/>
  <c r="D16" i="70"/>
  <c r="M23" i="44"/>
  <c r="C13" i="69"/>
  <c r="M24" i="15"/>
  <c r="D21" i="70"/>
  <c r="E10" i="67"/>
  <c r="L48" i="44"/>
  <c r="M10" i="44"/>
  <c r="F8" i="15"/>
  <c r="L48" i="15"/>
  <c r="I3" i="65"/>
  <c r="F38" i="77"/>
  <c r="F9" i="77"/>
  <c r="F13" i="77"/>
  <c r="C15" i="70"/>
  <c r="L48" i="77"/>
  <c r="D16" i="12"/>
  <c r="D22" i="70"/>
  <c r="F6" i="15"/>
  <c r="L49" i="44"/>
  <c r="B10" i="67"/>
  <c r="B14" i="67"/>
  <c r="B8" i="67"/>
  <c r="F13" i="15"/>
  <c r="M28" i="44"/>
  <c r="F36" i="15"/>
  <c r="M26" i="15"/>
  <c r="J4" i="65"/>
  <c r="B9" i="67"/>
  <c r="N5" i="65"/>
  <c r="M31" i="44"/>
  <c r="M27" i="15"/>
  <c r="F46" i="44"/>
  <c r="L47" i="77"/>
  <c r="M28" i="77"/>
  <c r="M29" i="77"/>
  <c r="F37" i="44"/>
  <c r="D22" i="69"/>
  <c r="C13" i="70"/>
  <c r="M25" i="44"/>
  <c r="F12" i="67"/>
  <c r="F11" i="44"/>
  <c r="J6" i="65"/>
  <c r="E12" i="67"/>
  <c r="E9" i="67"/>
  <c r="F16" i="15"/>
  <c r="I7" i="65"/>
  <c r="M9" i="15"/>
  <c r="J36" i="15"/>
  <c r="M8" i="44"/>
  <c r="B11" i="67"/>
  <c r="F39" i="44"/>
  <c r="M30" i="44"/>
  <c r="F43" i="44"/>
  <c r="M29" i="44"/>
  <c r="F9" i="67"/>
  <c r="M8" i="15"/>
  <c r="D21" i="69"/>
  <c r="F8" i="44"/>
  <c r="J7" i="65"/>
  <c r="M26" i="77"/>
  <c r="M8" i="77"/>
  <c r="F37" i="77"/>
  <c r="F7" i="15"/>
  <c r="F16" i="77"/>
  <c r="F33" i="69"/>
  <c r="C15" i="12"/>
  <c r="F7" i="77"/>
  <c r="M24" i="77"/>
  <c r="B7" i="67"/>
  <c r="F6" i="77"/>
  <c r="E7" i="67"/>
  <c r="M21" i="77"/>
  <c r="I5" i="65"/>
  <c r="E2" i="65" s="1"/>
  <c r="F42" i="15"/>
  <c r="E8" i="67"/>
  <c r="I4" i="65"/>
  <c r="M23" i="15"/>
  <c r="F42" i="77"/>
  <c r="J36" i="77"/>
  <c r="D22" i="12"/>
  <c r="D16" i="69"/>
  <c r="M28" i="15"/>
  <c r="M26" i="44"/>
  <c r="F28" i="44"/>
  <c r="L47" i="15"/>
  <c r="F36" i="77"/>
  <c r="M9" i="77"/>
  <c r="F40" i="77"/>
  <c r="C14" i="77"/>
  <c r="C15" i="77" l="1"/>
  <c r="C18" i="77"/>
  <c r="F67" i="77"/>
  <c r="F63" i="77"/>
  <c r="L58" i="15"/>
  <c r="L59" i="15"/>
  <c r="Q62" i="15" s="1"/>
  <c r="C29" i="44"/>
  <c r="C16" i="69"/>
  <c r="D19" i="69"/>
  <c r="C19" i="69" s="1"/>
  <c r="C22" i="12"/>
  <c r="Q72" i="77"/>
  <c r="E20" i="46"/>
  <c r="P28" i="46" s="1"/>
  <c r="E20" i="71"/>
  <c r="E20" i="72"/>
  <c r="P28" i="72" s="1"/>
  <c r="B40" i="1"/>
  <c r="J20" i="77"/>
  <c r="E3" i="67"/>
  <c r="F31" i="77"/>
  <c r="C6" i="77"/>
  <c r="B2" i="67"/>
  <c r="B4" i="67" s="1"/>
  <c r="F49" i="77"/>
  <c r="M7" i="77"/>
  <c r="M17" i="77" s="1"/>
  <c r="C34" i="69"/>
  <c r="D33" i="69" s="1"/>
  <c r="M7" i="15"/>
  <c r="J6" i="15" s="1"/>
  <c r="F49" i="15"/>
  <c r="F64" i="77"/>
  <c r="F33" i="44"/>
  <c r="C8" i="44"/>
  <c r="C34" i="44" s="1"/>
  <c r="C21" i="69"/>
  <c r="Q73" i="44"/>
  <c r="Q72" i="15"/>
  <c r="C14" i="70"/>
  <c r="C17" i="70"/>
  <c r="C22" i="69"/>
  <c r="C36" i="44"/>
  <c r="L58" i="77"/>
  <c r="Q61" i="77" s="1"/>
  <c r="L59" i="77"/>
  <c r="F63" i="15"/>
  <c r="J54" i="44"/>
  <c r="I55" i="44"/>
  <c r="J61" i="44"/>
  <c r="Q50" i="44" s="1"/>
  <c r="J58" i="44"/>
  <c r="J56" i="44" s="1"/>
  <c r="J59" i="44" s="1"/>
  <c r="Q52" i="44" s="1"/>
  <c r="L47" i="44"/>
  <c r="L57" i="44"/>
  <c r="J60" i="44"/>
  <c r="F31" i="15"/>
  <c r="C6" i="15"/>
  <c r="C22" i="70"/>
  <c r="D19" i="12"/>
  <c r="C19" i="12" s="1"/>
  <c r="C16" i="12"/>
  <c r="J53" i="77"/>
  <c r="I54" i="77"/>
  <c r="L60" i="77"/>
  <c r="J59" i="77"/>
  <c r="L56" i="77"/>
  <c r="J57" i="77"/>
  <c r="J55" i="77" s="1"/>
  <c r="J58" i="77" s="1"/>
  <c r="Q51" i="77" s="1"/>
  <c r="L57" i="77"/>
  <c r="J60" i="77"/>
  <c r="Q49" i="77" s="1"/>
  <c r="F65" i="77"/>
  <c r="L56" i="15"/>
  <c r="J53" i="15"/>
  <c r="J60" i="15"/>
  <c r="Q49" i="15" s="1"/>
  <c r="J59" i="15"/>
  <c r="L46" i="15"/>
  <c r="J57" i="15"/>
  <c r="J55" i="15" s="1"/>
  <c r="J58" i="15" s="1"/>
  <c r="Q51" i="15" s="1"/>
  <c r="I54" i="15"/>
  <c r="L57" i="15"/>
  <c r="L60" i="15"/>
  <c r="Q58" i="15" s="1"/>
  <c r="F50" i="15"/>
  <c r="C48" i="15" s="1"/>
  <c r="L59" i="44"/>
  <c r="Q62" i="44" s="1"/>
  <c r="L60" i="44"/>
  <c r="Q76" i="44" s="1"/>
  <c r="C21" i="70"/>
  <c r="C20" i="70" s="1"/>
  <c r="C14" i="69"/>
  <c r="C17" i="69"/>
  <c r="J22" i="44"/>
  <c r="D19" i="70"/>
  <c r="C19" i="70" s="1"/>
  <c r="C16" i="70"/>
  <c r="C17" i="44"/>
  <c r="C20" i="44"/>
  <c r="E4" i="67"/>
  <c r="F70" i="15"/>
  <c r="C27" i="77"/>
  <c r="F50" i="77"/>
  <c r="C48" i="77" s="1"/>
  <c r="C34" i="12"/>
  <c r="D33" i="12" s="1"/>
  <c r="F65" i="15"/>
  <c r="J1" i="65"/>
  <c r="C21" i="12"/>
  <c r="C27" i="15"/>
  <c r="F64" i="15"/>
  <c r="M9" i="44"/>
  <c r="M19" i="44" s="1"/>
  <c r="J20" i="15"/>
  <c r="C15" i="15"/>
  <c r="C18" i="15"/>
  <c r="F70" i="77"/>
  <c r="C34" i="70"/>
  <c r="D33" i="70" s="1"/>
  <c r="F67" i="15"/>
  <c r="C4" i="65"/>
  <c r="B39" i="1" s="1"/>
  <c r="M11" i="77" s="1"/>
  <c r="J10" i="77" s="1"/>
  <c r="M17" i="15"/>
  <c r="C17" i="12"/>
  <c r="C14" i="12"/>
  <c r="C18" i="12" s="1"/>
  <c r="F24" i="77"/>
  <c r="C24" i="77" s="1"/>
  <c r="F26" i="70"/>
  <c r="C27" i="70" s="1"/>
  <c r="D26" i="70" s="1"/>
  <c r="C32" i="70" s="1"/>
  <c r="D30" i="70" s="1"/>
  <c r="F21" i="43"/>
  <c r="F26" i="44"/>
  <c r="C26" i="44" s="1"/>
  <c r="F26" i="69"/>
  <c r="C27" i="69" s="1"/>
  <c r="D26" i="69" s="1"/>
  <c r="C32" i="69" s="1"/>
  <c r="D30" i="69" s="1"/>
  <c r="F24" i="15"/>
  <c r="C24" i="15" s="1"/>
  <c r="F26" i="12"/>
  <c r="C27" i="12" s="1"/>
  <c r="D26" i="12" s="1"/>
  <c r="C32" i="12" s="1"/>
  <c r="D30" i="12" s="1"/>
  <c r="Q63" i="44"/>
  <c r="F11" i="77"/>
  <c r="C52" i="77" s="1"/>
  <c r="C47" i="77" s="1"/>
  <c r="F13" i="44"/>
  <c r="C12" i="44" s="1"/>
  <c r="M11" i="15"/>
  <c r="J10" i="15" s="1"/>
  <c r="J5" i="15" s="1"/>
  <c r="M28" i="72"/>
  <c r="O28" i="72"/>
  <c r="M28" i="71"/>
  <c r="G20" i="71" s="1"/>
  <c r="P28" i="71"/>
  <c r="O28" i="71"/>
  <c r="N28" i="71"/>
  <c r="Q75" i="15"/>
  <c r="Q67" i="15"/>
  <c r="Q75" i="77"/>
  <c r="Q62" i="77"/>
  <c r="F58" i="77"/>
  <c r="Q58" i="77"/>
  <c r="Q67" i="77"/>
  <c r="F1" i="77"/>
  <c r="Q53" i="77"/>
  <c r="B3" i="67"/>
  <c r="F1" i="44"/>
  <c r="Q54" i="44"/>
  <c r="J18" i="15"/>
  <c r="Q75" i="44"/>
  <c r="M28" i="46"/>
  <c r="O28" i="46"/>
  <c r="G20" i="46" s="1"/>
  <c r="Q74" i="15"/>
  <c r="Q61" i="15"/>
  <c r="F1" i="15"/>
  <c r="Q53" i="15"/>
  <c r="Q74" i="77"/>
  <c r="F58" i="15"/>
  <c r="C32" i="77"/>
  <c r="C32" i="15"/>
  <c r="C16" i="15"/>
  <c r="C17" i="15"/>
  <c r="C17" i="77"/>
  <c r="AE7" i="1"/>
  <c r="C16" i="77"/>
  <c r="E3" i="65"/>
  <c r="C18" i="44"/>
  <c r="AE8" i="1"/>
  <c r="C10" i="77" l="1"/>
  <c r="C5" i="77" s="1"/>
  <c r="N28" i="46"/>
  <c r="J6" i="77"/>
  <c r="N28" i="72"/>
  <c r="G20" i="72" s="1"/>
  <c r="C7" i="44"/>
  <c r="C20" i="12"/>
  <c r="C23" i="12" s="1"/>
  <c r="C18" i="70"/>
  <c r="J8" i="44"/>
  <c r="J20" i="44" s="1"/>
  <c r="C23" i="70"/>
  <c r="C18" i="69"/>
  <c r="C21" i="44"/>
  <c r="F17" i="11"/>
  <c r="C17" i="11" s="1"/>
  <c r="C19" i="11" s="1"/>
  <c r="C19" i="77"/>
  <c r="C19" i="15"/>
  <c r="C20" i="15" s="1"/>
  <c r="C23" i="15" s="1"/>
  <c r="C20" i="69"/>
  <c r="M13" i="44"/>
  <c r="J12" i="44" s="1"/>
  <c r="F11" i="15"/>
  <c r="C52" i="15" s="1"/>
  <c r="C47" i="15" s="1"/>
  <c r="L46" i="77"/>
  <c r="C10" i="15"/>
  <c r="C5" i="15" s="1"/>
  <c r="C38" i="15" s="1"/>
  <c r="C38" i="77"/>
  <c r="E41" i="46"/>
  <c r="C41" i="46" s="1"/>
  <c r="C20" i="46"/>
  <c r="J24" i="15"/>
  <c r="J26" i="15"/>
  <c r="J5" i="77"/>
  <c r="J18" i="77"/>
  <c r="C40" i="44"/>
  <c r="C59" i="15"/>
  <c r="C65" i="15"/>
  <c r="E41" i="71"/>
  <c r="C41" i="71" s="1"/>
  <c r="C20" i="71"/>
  <c r="C20" i="72"/>
  <c r="E41" i="72"/>
  <c r="C41" i="72" s="1"/>
  <c r="C20" i="11"/>
  <c r="C21" i="11" s="1"/>
  <c r="C22" i="11" s="1"/>
  <c r="C23" i="11" s="1"/>
  <c r="B2" i="11" s="1"/>
  <c r="C65" i="77"/>
  <c r="C59" i="77"/>
  <c r="C23" i="43"/>
  <c r="D21" i="43" s="1"/>
  <c r="C22" i="43"/>
  <c r="C21" i="43" s="1"/>
  <c r="C20" i="77"/>
  <c r="C26" i="77" s="1"/>
  <c r="C22" i="44"/>
  <c r="C28" i="44" s="1"/>
  <c r="F41" i="77"/>
  <c r="F41" i="15"/>
  <c r="C35" i="12" l="1"/>
  <c r="C33" i="12" s="1"/>
  <c r="C28" i="12"/>
  <c r="C26" i="12" s="1"/>
  <c r="C31" i="12" s="1"/>
  <c r="C30" i="12" s="1"/>
  <c r="C36" i="12" s="1"/>
  <c r="C37" i="12" s="1"/>
  <c r="J7" i="44"/>
  <c r="C23" i="69"/>
  <c r="F68" i="77"/>
  <c r="F68" i="15"/>
  <c r="J29" i="15"/>
  <c r="C26" i="15"/>
  <c r="C29" i="15" s="1"/>
  <c r="C28" i="43"/>
  <c r="C30" i="43" s="1"/>
  <c r="C32" i="43" s="1"/>
  <c r="B2" i="43" s="1"/>
  <c r="B4" i="43" s="1"/>
  <c r="B5" i="11"/>
  <c r="B3" i="11"/>
  <c r="B4" i="11"/>
  <c r="C25" i="44"/>
  <c r="C31" i="44" s="1"/>
  <c r="C23" i="77"/>
  <c r="C29" i="77" s="1"/>
  <c r="C38" i="72"/>
  <c r="C39" i="72"/>
  <c r="T16" i="71"/>
  <c r="V16" i="71" s="1"/>
  <c r="T13" i="71"/>
  <c r="V13" i="71" s="1"/>
  <c r="G3" i="68"/>
  <c r="J3" i="68" s="1"/>
  <c r="T12" i="71"/>
  <c r="V12" i="71" s="1"/>
  <c r="T9" i="71"/>
  <c r="V9" i="71" s="1"/>
  <c r="C37" i="71"/>
  <c r="T15" i="71"/>
  <c r="V15" i="71" s="1"/>
  <c r="C33" i="71"/>
  <c r="C34" i="71"/>
  <c r="C36" i="71"/>
  <c r="T11" i="71"/>
  <c r="V11" i="71" s="1"/>
  <c r="T14" i="71"/>
  <c r="V14" i="71" s="1"/>
  <c r="T3" i="71"/>
  <c r="V3" i="71" s="1"/>
  <c r="T6" i="71"/>
  <c r="V6" i="71" s="1"/>
  <c r="T4" i="71"/>
  <c r="V4" i="71" s="1"/>
  <c r="C35" i="71"/>
  <c r="T8" i="71"/>
  <c r="V8" i="71" s="1"/>
  <c r="T10" i="71"/>
  <c r="V10" i="71" s="1"/>
  <c r="T7" i="71"/>
  <c r="V7" i="71" s="1"/>
  <c r="T2" i="71"/>
  <c r="V2" i="71" s="1"/>
  <c r="T5" i="71"/>
  <c r="V5" i="71" s="1"/>
  <c r="C29" i="71"/>
  <c r="J26" i="77"/>
  <c r="J29" i="77" s="1"/>
  <c r="J24" i="77"/>
  <c r="C38" i="46"/>
  <c r="C39" i="46"/>
  <c r="T13" i="72"/>
  <c r="V13" i="72" s="1"/>
  <c r="T12" i="72"/>
  <c r="V12" i="72" s="1"/>
  <c r="C33" i="72"/>
  <c r="T10" i="72"/>
  <c r="V10" i="72" s="1"/>
  <c r="T8" i="72"/>
  <c r="V8" i="72" s="1"/>
  <c r="C37" i="72"/>
  <c r="T14" i="72"/>
  <c r="V14" i="72" s="1"/>
  <c r="T11" i="72"/>
  <c r="V11" i="72" s="1"/>
  <c r="T15" i="72"/>
  <c r="V15" i="72" s="1"/>
  <c r="C35" i="72"/>
  <c r="T9" i="72"/>
  <c r="V9" i="72" s="1"/>
  <c r="C36" i="72"/>
  <c r="C34" i="72"/>
  <c r="G4" i="68"/>
  <c r="J4" i="68" s="1"/>
  <c r="T16" i="72"/>
  <c r="V16" i="72" s="1"/>
  <c r="T7" i="72"/>
  <c r="V7" i="72" s="1"/>
  <c r="T3" i="72"/>
  <c r="V3" i="72" s="1"/>
  <c r="T6" i="72"/>
  <c r="V6" i="72" s="1"/>
  <c r="T2" i="72"/>
  <c r="V2" i="72" s="1"/>
  <c r="T4" i="72"/>
  <c r="V4" i="72" s="1"/>
  <c r="T5" i="72"/>
  <c r="V5" i="72" s="1"/>
  <c r="C29" i="72"/>
  <c r="C38" i="71"/>
  <c r="C39" i="71"/>
  <c r="C35" i="46"/>
  <c r="C37" i="46"/>
  <c r="T16" i="46"/>
  <c r="V16" i="46" s="1"/>
  <c r="T12" i="46"/>
  <c r="V12" i="46" s="1"/>
  <c r="T15" i="46"/>
  <c r="V15" i="46" s="1"/>
  <c r="T11" i="46"/>
  <c r="V11" i="46" s="1"/>
  <c r="T13" i="46"/>
  <c r="V13" i="46" s="1"/>
  <c r="T9" i="46"/>
  <c r="V9" i="46" s="1"/>
  <c r="C36" i="46"/>
  <c r="C34" i="46"/>
  <c r="T10" i="46"/>
  <c r="V10" i="46" s="1"/>
  <c r="C33" i="46"/>
  <c r="T14" i="46"/>
  <c r="V14" i="46" s="1"/>
  <c r="T5" i="46"/>
  <c r="V5" i="46" s="1"/>
  <c r="T7" i="46"/>
  <c r="V7" i="46" s="1"/>
  <c r="T6" i="46"/>
  <c r="V6" i="46" s="1"/>
  <c r="T8" i="46"/>
  <c r="V8" i="46" s="1"/>
  <c r="T2" i="46"/>
  <c r="V2" i="46" s="1"/>
  <c r="T3" i="46"/>
  <c r="V3" i="46" s="1"/>
  <c r="T4" i="46"/>
  <c r="V4" i="46" s="1"/>
  <c r="C29" i="46"/>
  <c r="J26" i="44" l="1"/>
  <c r="J28" i="44"/>
  <c r="J31" i="44" s="1"/>
  <c r="B2" i="12"/>
  <c r="B3" i="43"/>
  <c r="B5" i="43"/>
  <c r="C33" i="15"/>
  <c r="C31" i="15" s="1"/>
  <c r="C13" i="15"/>
  <c r="C37" i="15" s="1"/>
  <c r="J19" i="15"/>
  <c r="J17" i="15" s="1"/>
  <c r="J14" i="15"/>
  <c r="J13" i="15" s="1"/>
  <c r="J23" i="15" s="1"/>
  <c r="C56" i="15"/>
  <c r="C60" i="15" s="1"/>
  <c r="C58" i="15" s="1"/>
  <c r="Q50" i="15"/>
  <c r="C36" i="15"/>
  <c r="C33" i="77"/>
  <c r="C31" i="77" s="1"/>
  <c r="C56" i="77"/>
  <c r="J14" i="77"/>
  <c r="C36" i="77"/>
  <c r="C13" i="77"/>
  <c r="J19" i="77"/>
  <c r="J17" i="77" s="1"/>
  <c r="Q50" i="77"/>
  <c r="Q51" i="44"/>
  <c r="J16" i="44"/>
  <c r="C15" i="44"/>
  <c r="C38" i="44"/>
  <c r="J21" i="44"/>
  <c r="J19" i="44" s="1"/>
  <c r="C35" i="44"/>
  <c r="C33" i="44" s="1"/>
  <c r="E33" i="46"/>
  <c r="G33" i="46"/>
  <c r="I33" i="46" s="1"/>
  <c r="G37" i="46"/>
  <c r="I37" i="46" s="1"/>
  <c r="E37" i="46"/>
  <c r="E38" i="71"/>
  <c r="G38" i="71"/>
  <c r="I38" i="71" s="1"/>
  <c r="E34" i="72"/>
  <c r="G34" i="72"/>
  <c r="I34" i="72" s="1"/>
  <c r="E33" i="72"/>
  <c r="G33" i="72"/>
  <c r="I33" i="72" s="1"/>
  <c r="G38" i="46"/>
  <c r="I38" i="46" s="1"/>
  <c r="E38" i="46"/>
  <c r="E29" i="71"/>
  <c r="C30" i="71"/>
  <c r="E30" i="71" s="1"/>
  <c r="E35" i="71"/>
  <c r="G35" i="71"/>
  <c r="I35" i="71" s="1"/>
  <c r="E36" i="71"/>
  <c r="G36" i="71"/>
  <c r="I36" i="71" s="1"/>
  <c r="G33" i="71"/>
  <c r="I33" i="71" s="1"/>
  <c r="E33" i="71"/>
  <c r="E37" i="71"/>
  <c r="G37" i="71"/>
  <c r="I37" i="71" s="1"/>
  <c r="E39" i="72"/>
  <c r="G39" i="72"/>
  <c r="I39" i="72" s="1"/>
  <c r="E34" i="46"/>
  <c r="G34" i="46"/>
  <c r="I34" i="46" s="1"/>
  <c r="E29" i="46"/>
  <c r="C30" i="46"/>
  <c r="E30" i="46" s="1"/>
  <c r="G36" i="46"/>
  <c r="I36" i="46" s="1"/>
  <c r="E36" i="46"/>
  <c r="G35" i="46"/>
  <c r="I35" i="46" s="1"/>
  <c r="E35" i="46"/>
  <c r="G39" i="71"/>
  <c r="I39" i="71" s="1"/>
  <c r="E39" i="71"/>
  <c r="C30" i="72"/>
  <c r="E30" i="72" s="1"/>
  <c r="E29" i="72"/>
  <c r="K4" i="68"/>
  <c r="B12" i="68"/>
  <c r="G36" i="72"/>
  <c r="I36" i="72" s="1"/>
  <c r="E36" i="72"/>
  <c r="E35" i="72"/>
  <c r="G35" i="72"/>
  <c r="I35" i="72" s="1"/>
  <c r="E37" i="72"/>
  <c r="G37" i="72"/>
  <c r="I37" i="72" s="1"/>
  <c r="E39" i="46"/>
  <c r="G39" i="46"/>
  <c r="I39" i="46" s="1"/>
  <c r="G34" i="71"/>
  <c r="I34" i="71" s="1"/>
  <c r="E34" i="71"/>
  <c r="K3" i="68"/>
  <c r="B11" i="68"/>
  <c r="E38" i="72"/>
  <c r="G38" i="72"/>
  <c r="I38" i="72" s="1"/>
  <c r="B5" i="12"/>
  <c r="B3" i="12"/>
  <c r="Q49" i="44" l="1"/>
  <c r="Q55" i="44" s="1"/>
  <c r="Q58" i="44"/>
  <c r="Q67" i="44"/>
  <c r="Q71" i="15"/>
  <c r="C30" i="15"/>
  <c r="C39" i="15" s="1"/>
  <c r="C40" i="15" s="1"/>
  <c r="C55" i="15"/>
  <c r="C64" i="15" s="1"/>
  <c r="J22" i="15"/>
  <c r="J16" i="15" s="1"/>
  <c r="J25" i="15" s="1"/>
  <c r="J35" i="15"/>
  <c r="C63" i="15"/>
  <c r="C27" i="72"/>
  <c r="C26" i="46"/>
  <c r="B2" i="46" s="1"/>
  <c r="C26" i="71"/>
  <c r="B2" i="71" s="1"/>
  <c r="C39" i="44"/>
  <c r="C32" i="44" s="1"/>
  <c r="C42" i="44" s="1"/>
  <c r="Q72" i="44"/>
  <c r="C43" i="44"/>
  <c r="C60" i="77"/>
  <c r="C58" i="77" s="1"/>
  <c r="C63" i="77"/>
  <c r="C26" i="72"/>
  <c r="B2" i="72" s="1"/>
  <c r="C27" i="46"/>
  <c r="C27" i="71"/>
  <c r="J24" i="44"/>
  <c r="J15" i="44"/>
  <c r="J25" i="44" s="1"/>
  <c r="C55" i="77"/>
  <c r="C64" i="77" s="1"/>
  <c r="C37" i="77"/>
  <c r="C30" i="77" s="1"/>
  <c r="C39" i="77" s="1"/>
  <c r="Q71" i="77"/>
  <c r="J35" i="77"/>
  <c r="J22" i="77"/>
  <c r="J13" i="77"/>
  <c r="J23" i="77" s="1"/>
  <c r="C19" i="9"/>
  <c r="B4" i="12"/>
  <c r="L51" i="15"/>
  <c r="Q70" i="15" l="1"/>
  <c r="Q69" i="15" s="1"/>
  <c r="J39" i="15"/>
  <c r="J40" i="15" s="1"/>
  <c r="C57" i="15"/>
  <c r="C66" i="15" s="1"/>
  <c r="C67" i="15" s="1"/>
  <c r="C46" i="15" s="1"/>
  <c r="J16" i="77"/>
  <c r="J25" i="77" s="1"/>
  <c r="J18" i="44"/>
  <c r="J27" i="44" s="1"/>
  <c r="C57" i="77"/>
  <c r="C66" i="77" s="1"/>
  <c r="C67" i="77" s="1"/>
  <c r="C70" i="77" s="1"/>
  <c r="Q68" i="15"/>
  <c r="L43" i="9"/>
  <c r="Q71" i="44"/>
  <c r="Q70" i="44" s="1"/>
  <c r="C44" i="44"/>
  <c r="C45" i="44" s="1"/>
  <c r="C10" i="70"/>
  <c r="C6" i="70" s="1"/>
  <c r="Q57" i="15"/>
  <c r="Q63" i="15" s="1"/>
  <c r="C43" i="15"/>
  <c r="C8" i="70" s="1"/>
  <c r="B8" i="68" s="1"/>
  <c r="I8" i="68" s="1"/>
  <c r="Q48" i="15"/>
  <c r="Q54" i="15" s="1"/>
  <c r="B2" i="15"/>
  <c r="B3" i="15" s="1"/>
  <c r="Q66" i="15"/>
  <c r="Q76" i="15" s="1"/>
  <c r="J42" i="15"/>
  <c r="J43" i="15" s="1"/>
  <c r="B3" i="71"/>
  <c r="D4" i="71"/>
  <c r="B4" i="71"/>
  <c r="J39" i="77"/>
  <c r="J40" i="77" s="1"/>
  <c r="B3" i="72"/>
  <c r="B4" i="72"/>
  <c r="D4" i="72"/>
  <c r="B3" i="46"/>
  <c r="B4" i="46"/>
  <c r="D4" i="46"/>
  <c r="Q70" i="77"/>
  <c r="Q69" i="77" s="1"/>
  <c r="C40" i="77"/>
  <c r="L51" i="77"/>
  <c r="C20" i="9"/>
  <c r="C21" i="9"/>
  <c r="C70" i="15" l="1"/>
  <c r="C46" i="77"/>
  <c r="Q68" i="77"/>
  <c r="C29" i="70"/>
  <c r="C24" i="70"/>
  <c r="C10" i="69"/>
  <c r="C6" i="69" s="1"/>
  <c r="C43" i="77"/>
  <c r="C8" i="69" s="1"/>
  <c r="B9" i="68" s="1"/>
  <c r="I9" i="68" s="1"/>
  <c r="Q48" i="77"/>
  <c r="Q54" i="77" s="1"/>
  <c r="Q57" i="77"/>
  <c r="Q63" i="77" s="1"/>
  <c r="Q66" i="77"/>
  <c r="Q76" i="77" s="1"/>
  <c r="B2" i="77"/>
  <c r="B3" i="77" s="1"/>
  <c r="J42" i="77"/>
  <c r="J43" i="77" s="1"/>
  <c r="L52" i="44"/>
  <c r="B2" i="44"/>
  <c r="B4" i="44" l="1"/>
  <c r="B3" i="44"/>
  <c r="B5" i="44"/>
  <c r="C29" i="69"/>
  <c r="C24" i="69"/>
  <c r="C28" i="70"/>
  <c r="C26" i="70" s="1"/>
  <c r="C31" i="70" s="1"/>
  <c r="C30" i="70" s="1"/>
  <c r="C35" i="70"/>
  <c r="C33" i="70" s="1"/>
  <c r="Q69" i="44"/>
  <c r="L58" i="44"/>
  <c r="L61" i="44" s="1"/>
  <c r="C36" i="70" l="1"/>
  <c r="C37" i="70" s="1"/>
  <c r="J8" i="68" s="1"/>
  <c r="Q68" i="44"/>
  <c r="Q77" i="44" s="1"/>
  <c r="Q59" i="44"/>
  <c r="Q64" i="44" s="1"/>
  <c r="C28" i="69"/>
  <c r="C26" i="69" s="1"/>
  <c r="C35" i="69"/>
  <c r="C33" i="69" s="1"/>
  <c r="C31" i="69"/>
  <c r="C30" i="69" s="1"/>
  <c r="B2" i="70" l="1"/>
  <c r="C36" i="69"/>
  <c r="C37" i="69" s="1"/>
  <c r="J9" i="68" s="1"/>
  <c r="D11" i="68"/>
  <c r="J11" i="68" s="1"/>
  <c r="K8" i="68"/>
  <c r="B4" i="70"/>
  <c r="B5" i="70"/>
  <c r="B3" i="70"/>
  <c r="B2" i="69" l="1"/>
  <c r="K9" i="68"/>
  <c r="D12" i="68"/>
  <c r="J12" i="68" s="1"/>
  <c r="B3" i="73"/>
  <c r="B8" i="73" s="1"/>
  <c r="K11" i="68"/>
  <c r="B4" i="69"/>
  <c r="B5" i="69"/>
  <c r="D19" i="9"/>
  <c r="B3" i="69"/>
  <c r="L44" i="9" l="1"/>
  <c r="G19" i="9"/>
  <c r="N43" i="9" s="1"/>
  <c r="D22" i="9"/>
  <c r="I12" i="68"/>
  <c r="I13" i="68" s="1"/>
  <c r="B4" i="73"/>
  <c r="K12" i="68"/>
  <c r="D21" i="9"/>
  <c r="D20" i="9"/>
  <c r="G22" i="9" l="1"/>
  <c r="C32" i="9"/>
  <c r="O43" i="9" s="1"/>
  <c r="G20" i="9"/>
  <c r="G21" i="9"/>
  <c r="B9" i="73"/>
  <c r="D9" i="73" s="1"/>
  <c r="D10" i="73" s="1"/>
  <c r="D4" i="73"/>
  <c r="D5" i="73" s="1"/>
  <c r="L12" i="68"/>
  <c r="I20" i="68" s="1"/>
  <c r="I14" i="68"/>
  <c r="I16" i="68" s="1"/>
  <c r="C42" i="9" l="1"/>
  <c r="O38" i="9"/>
  <c r="K26" i="9" s="1"/>
  <c r="C33" i="9"/>
  <c r="C34" i="9"/>
  <c r="M38" i="9" s="1"/>
  <c r="K27" i="9" s="1"/>
  <c r="C35" i="9"/>
  <c r="F42" i="9" s="1"/>
  <c r="K25" i="9"/>
  <c r="D63" i="9"/>
  <c r="R5" i="54"/>
  <c r="B48" i="63" s="1"/>
  <c r="D14" i="66"/>
  <c r="N68" i="9"/>
  <c r="N38" i="9"/>
  <c r="K28" i="9" s="1"/>
  <c r="D42" i="9"/>
  <c r="Q5" i="54" s="1"/>
  <c r="B47" i="63" s="1"/>
  <c r="E42" i="9" l="1"/>
  <c r="P5" i="54" s="1"/>
  <c r="B46" i="63" s="1"/>
  <c r="F14" i="66"/>
  <c r="E14" i="66"/>
  <c r="B5" i="66"/>
  <c r="C111" i="9"/>
  <c r="C104" i="9" s="1"/>
  <c r="D70" i="9"/>
  <c r="C82" i="9"/>
  <c r="C81" i="9" s="1"/>
  <c r="C85" i="9" s="1"/>
  <c r="C86" i="9" s="1"/>
  <c r="D72" i="9" s="1"/>
  <c r="D73" i="9"/>
  <c r="N73" i="9" s="1"/>
  <c r="C103" i="9"/>
  <c r="C113" i="9" s="1"/>
  <c r="C96" i="9"/>
  <c r="C91" i="9" s="1"/>
  <c r="C90" i="9"/>
  <c r="D71" i="9"/>
  <c r="C97" i="9" l="1"/>
  <c r="C114" i="9"/>
  <c r="E114" i="9" s="1"/>
  <c r="E115" i="9" s="1"/>
  <c r="C5" i="66"/>
  <c r="D5" i="66"/>
  <c r="C98" i="9" l="1"/>
  <c r="E98" i="9" s="1"/>
  <c r="E99" i="9" s="1"/>
  <c r="C115" i="9"/>
  <c r="D76" i="9" s="1"/>
  <c r="D74" i="9" s="1"/>
  <c r="N74" i="9" s="1"/>
  <c r="O77" i="9" s="1"/>
  <c r="C99" i="9" l="1"/>
  <c r="O78" i="9"/>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<sst xmlns="http://schemas.openxmlformats.org/spreadsheetml/2006/main" count="8359" uniqueCount="3177">
  <si>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</si>
  <si>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</si>
  <si>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</si>
  <si>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</si>
  <si>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</si>
  <si>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</si>
  <si>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</si>
  <si>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</si>
  <si>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</si>
  <si>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</si>
  <si>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</si>
  <si>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</si>
  <si>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</si>
  <si>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</si>
  <si>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</si>
  <si>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</si>
  <si>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</si>
  <si>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</si>
  <si>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</si>
  <si>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</si>
  <si>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</si>
  <si>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</si>
  <si>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</si>
  <si>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</si>
  <si>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</si>
  <si>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</si>
  <si>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</si>
  <si>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</si>
  <si>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</si>
  <si>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</si>
  <si>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</si>
  <si>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</si>
  <si>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</si>
  <si>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</si>
  <si>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</si>
  <si>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</si>
  <si>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</si>
  <si>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</si>
  <si>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</si>
  <si>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</si>
  <si>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</si>
  <si>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</si>
  <si>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</si>
  <si>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</si>
  <si>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</si>
  <si>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</si>
  <si>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</si>
  <si>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</si>
  <si>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</si>
  <si>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</si>
  <si>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</si>
  <si>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</si>
  <si>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</si>
  <si>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</si>
  <si>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</si>
  <si>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</si>
  <si>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</si>
  <si>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</si>
  <si>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</si>
  <si>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</si>
  <si>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</si>
  <si>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</si>
  <si>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</si>
  <si>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</si>
  <si>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</si>
  <si>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</si>
  <si>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</si>
  <si>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</si>
  <si>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</si>
  <si>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</si>
  <si>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</si>
  <si>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</si>
  <si>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</si>
  <si>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</si>
  <si>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</si>
  <si>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</si>
  <si>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</si>
  <si>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</si>
  <si>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</si>
  <si>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</si>
  <si>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</si>
  <si>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</si>
  <si>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</si>
  <si>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</si>
  <si>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</si>
  <si>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</si>
  <si>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</si>
  <si>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</si>
  <si>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</si>
  <si>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</si>
  <si>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</si>
  <si>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</si>
  <si>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</si>
  <si>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</si>
  <si>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</si>
  <si>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</si>
  <si>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</si>
  <si>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</si>
  <si>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</si>
  <si>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</si>
  <si>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</si>
  <si>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</si>
  <si>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</si>
  <si>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</si>
  <si>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</si>
  <si>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</si>
  <si>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</si>
  <si>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</si>
  <si>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</si>
  <si>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</si>
  <si>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</si>
  <si>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</si>
  <si>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</si>
  <si>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</si>
  <si>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</si>
  <si>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</si>
  <si>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</si>
  <si>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</si>
  <si>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</si>
  <si>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</si>
  <si>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</si>
  <si>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</si>
  <si>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</si>
  <si>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</si>
  <si>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</si>
  <si>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</si>
  <si>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</si>
  <si>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</si>
  <si>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</si>
  <si>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</si>
  <si>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</si>
  <si>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</si>
  <si>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</si>
  <si>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</si>
  <si>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</si>
  <si>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</si>
  <si>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</si>
  <si>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</si>
  <si>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</si>
  <si>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</si>
  <si>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</si>
  <si>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</si>
  <si>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</si>
  <si>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</si>
  <si>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</si>
  <si>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</si>
  <si>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</si>
  <si>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</si>
  <si>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</si>
  <si>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</si>
  <si>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</si>
  <si>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</si>
  <si>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</si>
  <si>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</si>
  <si>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</si>
  <si>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</si>
  <si>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</si>
  <si>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</si>
  <si>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</si>
  <si>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</si>
  <si>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</si>
  <si>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</si>
  <si>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</si>
  <si>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</si>
  <si>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</si>
  <si>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</si>
  <si>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</si>
  <si>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</si>
  <si>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</si>
  <si>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</si>
  <si>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</si>
  <si>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</si>
  <si>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</si>
  <si>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</si>
  <si>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</si>
  <si>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</si>
  <si>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</si>
  <si>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</si>
  <si>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</si>
  <si>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</si>
  <si>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</si>
  <si>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</si>
  <si>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</si>
  <si>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</si>
  <si>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</si>
  <si>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</si>
  <si>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</si>
  <si>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</si>
  <si>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</si>
  <si>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</si>
  <si>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</si>
  <si>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</si>
  <si>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</si>
  <si>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</si>
  <si>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</si>
  <si>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</si>
  <si>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</si>
  <si>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</si>
  <si>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</si>
  <si>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</si>
  <si>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</si>
  <si>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</si>
  <si>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</si>
  <si>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</si>
  <si>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</si>
  <si>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</si>
  <si>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</si>
  <si>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</si>
  <si>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</si>
  <si>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</si>
  <si>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</si>
  <si>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</si>
  <si>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</si>
  <si>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</si>
  <si>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</si>
  <si>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</si>
  <si>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</si>
  <si>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</si>
  <si>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</si>
  <si>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</si>
  <si>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</si>
  <si>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</si>
  <si>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</si>
  <si>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</si>
  <si>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</si>
  <si>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</si>
  <si>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</si>
  <si>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</si>
  <si>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</si>
  <si>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</si>
  <si>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</si>
  <si>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</si>
  <si>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</si>
  <si>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</si>
  <si>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</si>
  <si>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</si>
  <si>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</si>
  <si>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</si>
  <si>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</si>
  <si>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</si>
  <si>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</si>
  <si>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</si>
  <si>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</si>
  <si>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</si>
  <si>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</si>
  <si>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</si>
  <si>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</si>
  <si>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</si>
  <si>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</si>
  <si>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</si>
  <si>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</si>
  <si>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</si>
  <si>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</si>
  <si>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</si>
  <si>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</si>
  <si>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</si>
  <si>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</si>
  <si>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</si>
  <si>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</si>
  <si>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</si>
  <si>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</si>
  <si>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</si>
  <si>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</si>
  <si>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</si>
  <si>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</si>
  <si>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</si>
  <si>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</si>
  <si>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</si>
  <si>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</si>
  <si>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</si>
  <si>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</si>
  <si>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</si>
  <si>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</si>
  <si>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</si>
  <si>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</si>
  <si>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</si>
  <si>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</si>
  <si>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</si>
  <si>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</si>
  <si>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</si>
  <si>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</si>
  <si>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</si>
  <si>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</si>
  <si>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</si>
  <si>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</si>
  <si>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</si>
  <si>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</si>
  <si>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</si>
  <si>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</si>
  <si>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</si>
  <si>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</si>
  <si>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</si>
  <si>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</si>
  <si>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</si>
  <si>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</si>
  <si>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</si>
  <si>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</si>
  <si>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</si>
  <si>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</si>
  <si>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</si>
  <si>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</si>
  <si>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</si>
  <si>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</si>
  <si>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</si>
  <si>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</si>
  <si>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</si>
  <si>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</si>
  <si>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</si>
  <si>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</si>
  <si>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</si>
  <si>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</si>
  <si>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</si>
  <si>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</si>
  <si>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</si>
  <si>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</si>
  <si>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</si>
  <si>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</si>
  <si>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</si>
  <si>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</si>
  <si>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</si>
  <si>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</si>
  <si>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</si>
  <si>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</si>
  <si>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</si>
  <si>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</si>
  <si>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</si>
  <si>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</si>
  <si>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</si>
  <si>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</si>
  <si>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</si>
  <si>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</si>
  <si>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</si>
  <si>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</si>
  <si>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</si>
  <si>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</si>
  <si>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</si>
  <si>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</si>
  <si>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</si>
  <si>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</si>
  <si>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</si>
  <si>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</si>
  <si>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</si>
  <si>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</si>
  <si>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</si>
  <si>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</si>
  <si>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</si>
  <si>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</si>
  <si>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</si>
  <si>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</si>
  <si>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</si>
  <si>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</si>
  <si>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</si>
  <si>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</si>
  <si>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</si>
  <si>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</si>
  <si>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</si>
  <si>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</si>
  <si>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</si>
  <si>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</si>
  <si>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</si>
  <si>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</si>
  <si>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</si>
  <si>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</si>
  <si>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</si>
  <si>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</si>
  <si>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</si>
  <si>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</si>
  <si>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</si>
  <si>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</si>
  <si>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</si>
  <si>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</si>
  <si>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</si>
  <si>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</si>
  <si>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</si>
  <si>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</si>
  <si>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</si>
  <si>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</si>
  <si>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</si>
  <si>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</si>
  <si>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</si>
  <si>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</si>
  <si>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</si>
  <si>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</si>
  <si>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</si>
  <si>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</si>
  <si>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</si>
  <si>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</si>
  <si>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</si>
  <si>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</si>
  <si>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</si>
  <si>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</si>
  <si>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</si>
  <si>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</si>
  <si>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</si>
  <si>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</si>
  <si>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</si>
  <si>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</si>
  <si>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</si>
  <si>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</si>
  <si>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</si>
  <si>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</si>
  <si>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</si>
  <si>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</si>
  <si>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</si>
  <si>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</si>
  <si>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</si>
  <si>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</si>
  <si>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</si>
  <si>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</si>
  <si>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</si>
  <si>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</si>
  <si>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</si>
  <si>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</si>
  <si>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</si>
  <si>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</si>
  <si>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</si>
  <si>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</si>
  <si>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</si>
  <si>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</si>
  <si>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</si>
  <si>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</si>
  <si>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</si>
  <si>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</si>
  <si>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</si>
  <si>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</si>
  <si>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</si>
  <si>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</si>
  <si>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</si>
  <si>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</si>
  <si>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</si>
  <si>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</si>
  <si>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</si>
  <si>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</si>
  <si>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</si>
  <si>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</si>
  <si>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</si>
  <si>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</si>
  <si>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</si>
  <si>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</si>
  <si>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</si>
  <si>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</si>
  <si>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</si>
  <si>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</si>
  <si>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</si>
  <si>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</si>
  <si>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</si>
  <si>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</si>
  <si>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</si>
  <si>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</si>
  <si>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</si>
  <si>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</si>
  <si>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</si>
  <si>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</si>
  <si>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</si>
  <si>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</si>
  <si>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</si>
  <si>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</si>
  <si>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</si>
  <si>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</si>
  <si>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</si>
  <si>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</si>
  <si>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</si>
  <si>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</si>
  <si>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</si>
  <si>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</si>
  <si>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</si>
  <si>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</si>
  <si>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</si>
  <si>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</si>
  <si>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</si>
  <si>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</si>
  <si>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</si>
  <si>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</si>
  <si>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</si>
  <si>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</si>
  <si>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</si>
  <si>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</si>
  <si>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</si>
  <si>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</si>
  <si>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</si>
  <si>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</si>
  <si>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</si>
  <si>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</si>
  <si>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</si>
  <si>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</si>
  <si>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</si>
  <si>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</si>
  <si>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</si>
  <si>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</si>
  <si>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</si>
  <si>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</si>
  <si>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</si>
  <si>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</si>
  <si>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</si>
  <si>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</si>
  <si>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</si>
  <si>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</si>
  <si>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</si>
  <si>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</si>
  <si>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</si>
  <si>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</si>
  <si>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</si>
  <si>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</si>
  <si>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</si>
  <si>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</si>
  <si>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</si>
  <si>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</si>
  <si>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</si>
  <si>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</si>
  <si>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</si>
  <si>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</si>
  <si>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</si>
  <si>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</si>
  <si>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</si>
  <si>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</si>
  <si>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</si>
  <si>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</si>
  <si>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</si>
  <si>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</si>
  <si>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</si>
  <si>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</si>
  <si>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</si>
  <si>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</si>
  <si>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</si>
  <si>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</si>
  <si>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</si>
  <si>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</si>
  <si>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</si>
  <si>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</si>
  <si>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</si>
  <si>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</si>
  <si>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</si>
  <si>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</si>
  <si>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</si>
  <si>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</si>
  <si>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</si>
  <si>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</si>
  <si>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</si>
  <si>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</si>
  <si>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</si>
  <si>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</si>
  <si>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</si>
  <si>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</si>
  <si>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</si>
  <si>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</si>
  <si>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</si>
  <si>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</si>
  <si>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</si>
  <si>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</si>
  <si>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</si>
  <si>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</si>
  <si>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</si>
  <si>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</si>
  <si>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</si>
  <si>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</si>
  <si>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</si>
  <si>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</si>
  <si>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</si>
  <si>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</si>
  <si>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</si>
  <si>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</si>
  <si>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</si>
  <si>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</si>
  <si>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</si>
  <si>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</si>
  <si>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</si>
  <si>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</si>
  <si>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</si>
  <si>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</si>
  <si>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</si>
  <si>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</si>
  <si>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</si>
  <si>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</si>
  <si>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</si>
  <si>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</si>
  <si>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</si>
  <si>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</si>
  <si>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</si>
  <si>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</si>
  <si>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</si>
  <si>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</si>
  <si>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</si>
  <si>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</si>
  <si>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</si>
  <si>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</si>
  <si>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</si>
  <si>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</si>
  <si>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</si>
  <si>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</si>
  <si>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</si>
  <si>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</si>
  <si>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</si>
  <si>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</si>
  <si>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</si>
  <si>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</si>
  <si>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</si>
  <si>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</si>
  <si>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</si>
  <si>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</si>
  <si>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</si>
  <si>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</si>
  <si>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</si>
  <si>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</si>
  <si>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</si>
  <si>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</si>
  <si>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</si>
  <si>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</si>
  <si>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</si>
  <si>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</si>
  <si>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</si>
  <si>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</si>
  <si>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</si>
  <si>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</si>
  <si>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</si>
  <si>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</si>
  <si>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</si>
  <si>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</si>
  <si>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</si>
  <si>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</si>
  <si>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</si>
  <si>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</si>
  <si>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</si>
  <si>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</si>
  <si>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</si>
  <si>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</si>
  <si>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</si>
  <si>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</si>
  <si>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</si>
  <si>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</si>
  <si>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</si>
  <si>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</si>
  <si>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</si>
  <si>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</si>
  <si>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</si>
  <si>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</si>
  <si>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</si>
  <si>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</si>
  <si>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</si>
  <si>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</si>
  <si>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</si>
  <si>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</si>
  <si>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</si>
  <si>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</si>
  <si>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</si>
  <si>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</si>
  <si>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</si>
  <si>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</si>
  <si>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</si>
  <si>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</si>
  <si>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</si>
  <si>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</si>
  <si>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</si>
  <si>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</si>
  <si>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</si>
  <si>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</si>
  <si>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</si>
  <si>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</si>
  <si>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</si>
  <si>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</si>
  <si>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</si>
  <si>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</si>
  <si>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</si>
  <si>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</si>
  <si>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</si>
  <si>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</si>
  <si>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</si>
  <si>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</si>
  <si>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</si>
  <si>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</si>
  <si>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</si>
  <si>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</si>
  <si>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</si>
  <si>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</si>
  <si>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</si>
  <si>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</si>
  <si>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</si>
  <si>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</si>
  <si>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</si>
  <si>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</si>
  <si>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</si>
  <si>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</si>
  <si>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</si>
  <si>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</si>
  <si>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</si>
  <si>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</si>
  <si>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</si>
  <si>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</si>
  <si>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</si>
  <si>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</si>
  <si>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</si>
  <si>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</si>
  <si>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</si>
  <si>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</si>
  <si>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</si>
  <si>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</si>
  <si>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</si>
  <si>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</si>
  <si>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</si>
  <si>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</si>
  <si>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</si>
  <si>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</si>
  <si>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</si>
  <si>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</si>
  <si>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</si>
  <si>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</si>
  <si>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</si>
  <si>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</si>
  <si>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</si>
  <si>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</si>
  <si>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</si>
  <si>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</si>
  <si>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</si>
  <si>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</si>
  <si>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</si>
  <si>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</si>
  <si>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</si>
  <si>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</si>
  <si>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</si>
  <si>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</si>
  <si>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</si>
  <si>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</si>
  <si>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</si>
  <si>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</si>
  <si>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</si>
  <si>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</si>
  <si>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</si>
  <si>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</si>
  <si>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</si>
  <si>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</si>
  <si>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</si>
  <si>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</si>
  <si>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</si>
  <si>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</si>
  <si>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</si>
  <si>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</si>
  <si>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</si>
  <si>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</si>
  <si>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</si>
  <si>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</si>
  <si>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</si>
  <si>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</si>
  <si>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</si>
  <si>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</si>
  <si>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</si>
  <si>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</si>
  <si>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</si>
  <si>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</si>
  <si>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</si>
  <si>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</si>
  <si>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</si>
  <si>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</si>
  <si>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</si>
  <si>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</si>
  <si>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</si>
  <si>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</si>
  <si>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</si>
  <si>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</si>
  <si>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</si>
  <si>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</si>
  <si>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</si>
  <si>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</si>
  <si>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</si>
  <si>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</si>
  <si>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</si>
  <si>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</si>
  <si>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</si>
  <si>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</si>
  <si>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</si>
  <si>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</si>
  <si>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</si>
  <si>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</si>
  <si>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</si>
  <si>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</si>
  <si>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</si>
  <si>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</si>
  <si>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</si>
  <si>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</si>
  <si>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</si>
  <si>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</si>
  <si>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</si>
  <si>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</si>
  <si>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</si>
  <si>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</si>
  <si>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</si>
  <si>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</si>
  <si>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</si>
  <si>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</si>
  <si>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</si>
  <si>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</si>
  <si>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</si>
  <si>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</si>
  <si>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</si>
  <si>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</si>
  <si>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</si>
  <si>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</si>
  <si>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</si>
  <si>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</si>
  <si>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</si>
  <si>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</si>
  <si>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</si>
  <si>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</si>
  <si>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</si>
  <si>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</si>
  <si>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</si>
  <si>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</si>
  <si>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</si>
  <si>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</si>
  <si>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</si>
  <si>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</si>
  <si>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</si>
  <si>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</si>
  <si>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</si>
  <si>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</si>
  <si>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</si>
  <si>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</si>
  <si>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</si>
  <si>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</si>
  <si>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</si>
  <si>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</si>
  <si>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</si>
  <si>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</si>
  <si>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</si>
  <si>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</si>
  <si>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</si>
  <si>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</si>
  <si>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</si>
  <si>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</si>
  <si>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</si>
  <si>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</si>
  <si>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</si>
  <si>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</si>
  <si>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</si>
  <si>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</si>
  <si>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</si>
  <si>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</si>
  <si>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</si>
  <si>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</si>
  <si>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</si>
  <si>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</si>
  <si>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</si>
  <si>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</si>
  <si>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</si>
  <si>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</si>
  <si>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</si>
  <si>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</si>
  <si>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</si>
  <si>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</si>
  <si>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</si>
  <si>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</si>
  <si>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</si>
  <si>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</si>
  <si>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</si>
  <si>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</si>
  <si>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</si>
  <si>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</si>
  <si>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</si>
  <si>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</si>
  <si>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</si>
  <si>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</si>
  <si>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</si>
  <si>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</si>
  <si>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</si>
  <si>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</si>
  <si>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</si>
  <si>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</si>
  <si>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</si>
  <si>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</si>
  <si>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</si>
  <si>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</si>
  <si>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</si>
  <si>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</si>
  <si>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</si>
  <si>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</si>
  <si>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</si>
  <si>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</si>
  <si>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</si>
  <si>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</si>
  <si>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</si>
  <si>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</si>
  <si>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</si>
  <si>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</si>
  <si>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</si>
  <si>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</si>
  <si>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</si>
  <si>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</si>
  <si>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</si>
  <si>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</si>
  <si>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</si>
  <si>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</si>
  <si>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</si>
  <si>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</si>
  <si>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</si>
  <si>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</si>
  <si>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</si>
  <si>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</si>
  <si>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</si>
  <si>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</si>
  <si>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</si>
  <si>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</si>
  <si>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</si>
  <si>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</si>
  <si>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</si>
  <si>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</si>
  <si>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</si>
  <si>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</si>
  <si>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</si>
  <si>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</si>
  <si>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</si>
  <si>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</si>
  <si>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</si>
  <si>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</si>
  <si>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</si>
  <si>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</si>
  <si>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</si>
  <si>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</si>
  <si>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</si>
  <si>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</si>
  <si>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</si>
  <si>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</si>
  <si>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</si>
  <si>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</si>
  <si>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</si>
  <si>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</si>
  <si>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</si>
  <si>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</si>
  <si>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</si>
  <si>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</si>
  <si>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</si>
  <si>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</si>
  <si>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</si>
  <si>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</si>
  <si>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</si>
  <si>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</si>
  <si>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</si>
  <si>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</si>
  <si>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</si>
  <si>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</si>
  <si>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</si>
  <si>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</si>
  <si>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</si>
  <si>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</si>
  <si>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</si>
  <si>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</si>
  <si>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</si>
  <si>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</si>
  <si>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</si>
  <si>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</si>
  <si>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</si>
  <si>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</si>
  <si>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</si>
  <si>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</si>
  <si>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</si>
  <si>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</si>
  <si>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</si>
  <si>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</si>
  <si>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</si>
  <si>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</si>
  <si>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</si>
  <si>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</si>
  <si>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</si>
  <si>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</si>
  <si>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</si>
  <si>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</si>
  <si>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</si>
  <si>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</si>
  <si>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</si>
  <si>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</si>
  <si>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</si>
  <si>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</si>
  <si>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</si>
  <si>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</si>
  <si>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</si>
  <si>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</si>
  <si>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</si>
  <si>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</si>
  <si>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</si>
  <si>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</si>
  <si>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</si>
  <si>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</si>
  <si>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</si>
  <si>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</si>
  <si>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</si>
  <si>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</si>
  <si>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</si>
  <si>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</si>
  <si>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</si>
  <si>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</si>
  <si>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</si>
  <si>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</si>
  <si>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</si>
  <si>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</si>
  <si>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</si>
  <si>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</si>
  <si>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</si>
  <si>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</si>
  <si>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</si>
  <si>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</si>
  <si>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</si>
  <si>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</si>
  <si>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</si>
  <si>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</si>
  <si>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</si>
  <si>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</si>
  <si>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</si>
  <si>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</si>
  <si>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</si>
  <si>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</si>
  <si>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</si>
  <si>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</si>
  <si>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</si>
  <si>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</si>
  <si>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</si>
  <si>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</si>
  <si>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</si>
  <si>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</si>
  <si>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</si>
  <si>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</si>
  <si>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</si>
  <si>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</si>
  <si>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</si>
  <si>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</si>
  <si>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</si>
  <si>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</si>
  <si>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</si>
  <si>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</si>
  <si>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</si>
  <si>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</si>
  <si>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</si>
  <si>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</si>
  <si>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</si>
  <si>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</si>
  <si>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</si>
  <si>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</si>
  <si>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</si>
  <si>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</si>
  <si>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</si>
  <si>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</si>
  <si>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</si>
  <si>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</si>
  <si>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</si>
  <si>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</si>
  <si>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</si>
  <si>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</si>
  <si>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</si>
  <si>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</si>
  <si>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</si>
  <si>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</si>
  <si>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</si>
  <si>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</si>
  <si>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</si>
  <si>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</si>
  <si>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</si>
  <si>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</si>
  <si>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</si>
  <si>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</si>
  <si>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</si>
  <si>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</si>
  <si>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</si>
  <si>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</si>
  <si>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</si>
  <si>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</si>
  <si>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</si>
  <si>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</si>
  <si>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</si>
  <si>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</si>
  <si>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</si>
  <si>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</si>
  <si>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</si>
  <si>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</si>
  <si>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</si>
  <si>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</si>
  <si>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</si>
  <si>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</si>
  <si>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</si>
  <si>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</si>
  <si>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</si>
  <si>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</si>
  <si>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</si>
  <si>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</si>
  <si>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</si>
  <si>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</si>
  <si>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</si>
  <si>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</si>
  <si>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</si>
  <si>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</si>
  <si>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</si>
  <si>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</si>
  <si>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</si>
  <si>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</si>
  <si>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</si>
  <si>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</si>
  <si>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</si>
  <si>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</si>
  <si>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</si>
  <si>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</si>
  <si>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</si>
  <si>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</si>
  <si>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</si>
  <si>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</si>
  <si>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</si>
  <si>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</si>
  <si>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</si>
  <si>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</si>
  <si>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</si>
  <si>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</si>
  <si>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</si>
  <si>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</si>
  <si>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</si>
  <si>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</si>
  <si>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</si>
  <si>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</si>
  <si>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</si>
  <si>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</si>
  <si>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</si>
  <si>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</si>
  <si>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</si>
  <si>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</si>
  <si>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</si>
  <si>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</si>
  <si>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</si>
  <si>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</si>
  <si>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</si>
  <si>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</si>
  <si>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</si>
  <si>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</si>
  <si>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</si>
  <si>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</si>
  <si>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</si>
  <si>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</si>
  <si>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</si>
  <si>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</si>
  <si>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</si>
  <si>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</si>
  <si>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</si>
  <si>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</si>
  <si>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</si>
  <si>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</si>
  <si>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</si>
  <si>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</si>
  <si>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</si>
  <si>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</si>
  <si>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</si>
  <si>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</si>
  <si>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</si>
  <si>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</si>
  <si>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</si>
  <si>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</si>
  <si>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</si>
  <si>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</si>
  <si>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</si>
  <si>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</si>
  <si>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</si>
  <si>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</si>
  <si>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</si>
  <si>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</si>
  <si>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</si>
  <si>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</si>
  <si>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</si>
  <si>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</si>
  <si>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</si>
  <si>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</si>
  <si>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</si>
  <si>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</si>
  <si>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</si>
  <si>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</si>
  <si>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</si>
  <si>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</si>
  <si>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</si>
  <si>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</si>
  <si>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</si>
  <si>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</si>
  <si>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</si>
  <si>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</si>
  <si>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</si>
  <si>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</si>
  <si>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</si>
  <si>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</si>
  <si>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</si>
  <si>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</si>
  <si>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</si>
  <si>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</si>
  <si>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</si>
  <si>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</si>
  <si>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</si>
  <si>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</si>
  <si>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</si>
  <si>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</si>
  <si>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</si>
  <si>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</si>
  <si>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</si>
  <si>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</si>
  <si>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</si>
  <si>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</si>
  <si>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</si>
  <si>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</si>
  <si>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</si>
  <si>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</si>
  <si>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</si>
  <si>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</si>
  <si>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</si>
  <si>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</si>
  <si>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</si>
  <si>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</si>
  <si>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</si>
  <si>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</si>
  <si>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</si>
  <si>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</si>
  <si>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</si>
  <si>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</si>
  <si>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</si>
  <si>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</si>
  <si>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</si>
  <si>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</si>
  <si>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</si>
  <si>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</si>
  <si>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</si>
  <si>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</si>
  <si>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</si>
  <si>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</si>
  <si>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</si>
  <si>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</si>
  <si>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</si>
  <si>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</si>
  <si>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</si>
  <si>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</si>
  <si>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</si>
  <si>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</si>
  <si>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</si>
  <si>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</si>
  <si>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</si>
  <si>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</si>
  <si>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</si>
  <si>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</si>
  <si>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</si>
  <si>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</si>
  <si>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</si>
  <si>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</si>
  <si>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</si>
  <si>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</si>
  <si>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</si>
  <si>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</si>
  <si>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</si>
  <si>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</si>
  <si>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</si>
  <si>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</si>
  <si>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</si>
  <si>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</si>
  <si>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</si>
  <si>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</si>
  <si>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</si>
  <si>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</si>
  <si>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</si>
  <si>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</si>
  <si>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</si>
  <si>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</si>
  <si>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</si>
  <si>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</si>
  <si>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</si>
  <si>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</si>
  <si>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</si>
  <si>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</si>
  <si>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</si>
  <si>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</si>
  <si>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</si>
  <si>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</si>
  <si>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</si>
  <si>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</si>
  <si>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</si>
  <si>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</si>
  <si>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</si>
  <si>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</si>
  <si>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</si>
  <si>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</si>
  <si>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</si>
  <si>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</si>
  <si>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</si>
  <si>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</si>
  <si>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</si>
  <si>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</si>
  <si>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</si>
  <si>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</si>
  <si>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</si>
  <si>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</si>
  <si>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</si>
  <si>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</si>
  <si>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</si>
  <si>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</si>
  <si>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</si>
  <si>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</si>
  <si>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</si>
  <si>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</si>
  <si>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</si>
  <si>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</si>
  <si>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</si>
  <si>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</si>
  <si>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</si>
  <si>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</si>
  <si>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</si>
  <si>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</si>
  <si>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</si>
  <si>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</si>
  <si>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</si>
  <si>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</si>
  <si>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</si>
  <si>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</si>
  <si>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</si>
  <si>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</si>
  <si>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</si>
  <si>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</si>
  <si>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</si>
  <si>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</si>
  <si>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</si>
  <si>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</si>
  <si>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</si>
  <si>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</si>
  <si>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</si>
  <si>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</si>
  <si>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</si>
  <si>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</si>
  <si>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</si>
  <si>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</si>
  <si>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</si>
  <si>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</si>
  <si>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</si>
  <si>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</si>
  <si>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</si>
  <si>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</si>
  <si>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</si>
  <si>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</si>
  <si>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</si>
  <si>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</si>
  <si>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</si>
  <si>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</si>
  <si>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</si>
  <si>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</si>
  <si>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</si>
  <si>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</si>
  <si>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</si>
  <si>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</si>
  <si>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</si>
  <si>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</si>
  <si>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</si>
  <si>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</si>
  <si>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</si>
  <si>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</si>
  <si>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</si>
  <si>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</si>
  <si>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</si>
  <si>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</si>
  <si>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</si>
  <si>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</si>
  <si>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</si>
  <si>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</si>
  <si>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</si>
  <si>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</si>
  <si>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</si>
  <si>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</si>
  <si>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</si>
  <si>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</si>
  <si>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</si>
  <si>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</si>
  <si>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</si>
  <si>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</si>
  <si>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</si>
  <si>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</si>
  <si>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</si>
  <si>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</si>
  <si>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</si>
  <si>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</si>
  <si>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</si>
  <si>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</si>
  <si>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</si>
  <si>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</si>
  <si>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</si>
  <si>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</si>
  <si>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</si>
  <si>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</si>
  <si>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</si>
  <si>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</si>
  <si>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</si>
  <si>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</si>
  <si>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</si>
  <si>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</si>
  <si>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</si>
  <si>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</si>
  <si>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</si>
  <si>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</si>
  <si>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</si>
  <si>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</si>
  <si>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</si>
  <si>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</si>
  <si>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</si>
  <si>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</si>
  <si>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</si>
  <si>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</si>
  <si>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</si>
  <si>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</si>
  <si>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</si>
  <si>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</si>
  <si>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</si>
  <si>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</si>
  <si>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</si>
  <si>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</si>
  <si>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</si>
  <si>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</si>
  <si>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</si>
  <si>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</si>
  <si>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</si>
  <si>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</si>
  <si>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</si>
  <si>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</si>
  <si>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</si>
  <si>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</si>
  <si>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</si>
  <si>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</si>
  <si>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</si>
  <si>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</si>
  <si>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</si>
  <si>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</si>
  <si>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</si>
  <si>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</si>
  <si>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</si>
  <si>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</si>
  <si>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</si>
  <si>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</si>
  <si>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</si>
  <si>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</si>
  <si>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</si>
  <si>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</si>
  <si>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</si>
  <si>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</si>
  <si>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</si>
  <si>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</si>
  <si>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</si>
  <si>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</si>
  <si>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</si>
  <si>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</si>
  <si>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</si>
  <si>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</si>
  <si>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</si>
  <si>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</si>
  <si>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</si>
  <si>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</si>
  <si>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</si>
  <si>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</si>
  <si>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</si>
  <si>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</si>
  <si>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</si>
  <si>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</si>
  <si>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</si>
  <si>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</si>
  <si>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</si>
  <si>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</si>
  <si>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</si>
  <si>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</si>
  <si>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</si>
  <si>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</si>
  <si>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</si>
  <si>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</si>
  <si>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</si>
  <si>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</si>
  <si>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</si>
  <si>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</si>
  <si>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</si>
  <si>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</si>
  <si>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</si>
  <si>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</si>
  <si>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</si>
  <si>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</si>
  <si>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</si>
  <si>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</si>
  <si>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</si>
  <si>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</si>
  <si>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</si>
  <si>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</si>
  <si>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</si>
  <si>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</si>
  <si>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</si>
  <si>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</si>
  <si>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</si>
  <si>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</si>
  <si>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</si>
  <si>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</si>
  <si>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</si>
  <si>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</si>
  <si>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</si>
  <si>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</si>
  <si>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</si>
  <si>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</si>
  <si>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</si>
  <si>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</si>
  <si>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</si>
  <si>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</si>
  <si>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</si>
  <si>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</si>
  <si>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</si>
  <si>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</si>
  <si>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</si>
  <si>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</si>
  <si>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</si>
  <si>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</si>
  <si>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</si>
  <si>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</si>
  <si>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</si>
  <si>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</si>
  <si>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</si>
  <si>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</si>
  <si>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</si>
  <si>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</si>
  <si>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</si>
  <si>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</si>
  <si>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</si>
  <si>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</si>
  <si>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</si>
  <si>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</si>
  <si>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</si>
  <si>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</si>
  <si>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</si>
  <si>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</si>
  <si>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</si>
  <si>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</si>
  <si>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</si>
  <si>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</si>
  <si>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</si>
  <si>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</si>
  <si>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</si>
  <si>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</si>
  <si>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</si>
  <si>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</si>
  <si>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</si>
  <si>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</si>
  <si>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</si>
  <si>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</si>
  <si>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</si>
  <si>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</si>
  <si>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</si>
  <si>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</si>
  <si>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</si>
  <si>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</si>
  <si>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</si>
  <si>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</si>
  <si>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</si>
  <si>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</si>
  <si>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</si>
  <si>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</si>
  <si>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</si>
  <si>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</si>
  <si>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</si>
  <si>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</si>
  <si>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</si>
  <si>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</si>
  <si>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</si>
  <si>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</si>
  <si>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</si>
  <si>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</si>
  <si>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</si>
  <si>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</si>
  <si>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</si>
  <si>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</si>
  <si>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</si>
  <si>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</si>
  <si>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</si>
  <si>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</si>
  <si>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</si>
  <si>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</si>
  <si>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</si>
  <si>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</si>
  <si>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</si>
  <si>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</si>
  <si>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</si>
  <si>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</si>
  <si>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</si>
  <si>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</si>
  <si>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</si>
  <si>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</si>
  <si>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</si>
  <si>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</si>
  <si>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</si>
  <si>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</si>
  <si>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</si>
  <si>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</si>
  <si>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</si>
  <si>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</si>
  <si>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</si>
  <si>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</si>
  <si>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</si>
  <si>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</si>
  <si>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</si>
  <si>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</si>
  <si>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</si>
  <si>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</si>
  <si>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</si>
  <si>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</si>
  <si>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</si>
  <si>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</si>
  <si>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</si>
  <si>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</si>
  <si>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</si>
  <si>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</si>
  <si>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</si>
  <si>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</si>
  <si>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</si>
  <si>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</si>
  <si>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</si>
  <si>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</si>
  <si>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</si>
  <si>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</si>
  <si>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</si>
  <si>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</si>
  <si>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</si>
  <si>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</si>
  <si>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</si>
  <si>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</si>
  <si>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</si>
  <si>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</si>
  <si>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</si>
  <si>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</si>
  <si>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</si>
  <si>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</si>
  <si>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</si>
  <si>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</si>
  <si>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</si>
  <si>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</si>
  <si>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</si>
  <si>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</si>
  <si>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</si>
  <si>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</si>
  <si>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</si>
  <si>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</si>
  <si>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</si>
  <si>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</si>
  <si>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</si>
  <si>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</si>
  <si>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</si>
  <si>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</si>
  <si>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</si>
  <si>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</si>
  <si>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</si>
  <si>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</si>
  <si>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</si>
  <si>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</si>
  <si>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</si>
  <si>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</si>
  <si>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</si>
  <si>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</si>
  <si>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</si>
  <si>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</si>
  <si>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</si>
  <si>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</si>
  <si>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</si>
  <si>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</si>
  <si>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</si>
  <si>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</si>
  <si>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</si>
  <si>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</si>
  <si>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</si>
  <si>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</si>
  <si>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</si>
  <si>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</si>
  <si>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</si>
  <si>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</si>
  <si>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</si>
  <si>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</si>
  <si>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</si>
  <si>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</si>
  <si>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</si>
  <si>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</si>
  <si>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</si>
  <si>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</si>
  <si>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</si>
  <si>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</si>
  <si>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</si>
  <si>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</si>
  <si>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</si>
  <si>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</si>
  <si>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</si>
  <si>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</si>
  <si>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</si>
  <si>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</si>
  <si>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</si>
  <si>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</si>
  <si>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</si>
  <si>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</si>
  <si>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</si>
  <si>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</si>
  <si>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</si>
  <si>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</si>
  <si>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</si>
  <si>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</si>
  <si>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</si>
  <si>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</si>
  <si>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</si>
  <si>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</si>
  <si>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</si>
  <si>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</si>
  <si>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</si>
  <si>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</si>
  <si>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</si>
  <si>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</si>
  <si>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</si>
  <si>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</si>
  <si>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</si>
  <si>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</si>
  <si>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</si>
  <si>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</si>
  <si>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</si>
  <si>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</si>
  <si>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</si>
  <si>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</si>
  <si>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</si>
  <si>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</si>
  <si>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</si>
  <si>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</si>
  <si>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</si>
  <si>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</si>
  <si>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</si>
  <si>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</si>
  <si>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</si>
  <si>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</si>
  <si>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</si>
  <si>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</si>
  <si>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</si>
  <si>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</si>
  <si>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</si>
  <si>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</si>
  <si>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</si>
  <si>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</si>
  <si>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</si>
  <si>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</si>
  <si>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</si>
  <si>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</si>
  <si>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</si>
  <si>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</si>
  <si>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</si>
  <si>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</si>
  <si>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</si>
  <si>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</si>
  <si>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</si>
  <si>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</si>
  <si>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</si>
  <si>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</si>
  <si>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</si>
  <si>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</si>
  <si>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</si>
  <si>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</si>
  <si>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</si>
  <si>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</si>
  <si>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</si>
  <si>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</si>
  <si>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</si>
  <si>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</si>
  <si>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</si>
  <si>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</si>
  <si>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</si>
  <si>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</si>
  <si>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</si>
  <si>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</si>
  <si>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</si>
  <si>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</si>
  <si>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</si>
  <si>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</si>
  <si>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</si>
  <si>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</si>
  <si>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</si>
  <si>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</si>
  <si>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</si>
  <si>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</si>
  <si>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</si>
  <si>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</si>
  <si>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</si>
  <si>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</si>
  <si>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</si>
  <si>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</si>
  <si>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</si>
  <si>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</si>
  <si>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</si>
  <si>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</si>
  <si>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</si>
  <si>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</si>
  <si>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</si>
  <si>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</si>
  <si>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</si>
  <si>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</si>
  <si>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</si>
  <si>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</si>
  <si>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</si>
  <si>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</si>
  <si>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</si>
  <si>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</si>
  <si>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</si>
  <si>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</si>
  <si>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</si>
  <si>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</si>
  <si>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</si>
  <si>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</si>
  <si>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</si>
  <si>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</si>
  <si>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</si>
  <si>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</si>
  <si>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</si>
  <si>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</si>
  <si>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</si>
  <si>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</si>
  <si>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</si>
  <si>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</si>
  <si>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</si>
  <si>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</si>
  <si>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</si>
  <si>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</si>
  <si>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</si>
  <si>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</si>
  <si>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</si>
  <si>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</si>
  <si>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</si>
  <si>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</si>
  <si>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</si>
  <si>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</si>
  <si>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</si>
  <si>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</si>
  <si>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</si>
  <si>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</si>
  <si>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</si>
  <si>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</si>
  <si>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</si>
  <si>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</si>
  <si>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</si>
  <si>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</si>
  <si>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</si>
  <si>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</si>
  <si>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</si>
  <si>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</si>
  <si>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</si>
  <si>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</si>
  <si>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</si>
  <si>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</si>
  <si>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</si>
  <si>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</si>
  <si>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</si>
  <si>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</si>
  <si>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</si>
  <si>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</si>
  <si>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</si>
  <si>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</si>
  <si>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</si>
  <si>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</si>
  <si>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</si>
  <si>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</si>
  <si>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</si>
  <si>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</si>
  <si>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</si>
  <si>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</si>
  <si>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</si>
  <si>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</si>
  <si>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</si>
  <si>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</si>
  <si>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</si>
  <si>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</si>
  <si>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</si>
  <si>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</si>
  <si>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</si>
  <si>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</si>
  <si>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</si>
  <si>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</si>
  <si>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</si>
  <si>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</si>
  <si>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</si>
  <si>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</si>
  <si>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</si>
  <si>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</si>
  <si>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</si>
  <si>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</si>
  <si>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</si>
  <si>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</si>
  <si>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</si>
  <si>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</si>
  <si>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</si>
  <si>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</si>
  <si>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</si>
  <si>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</si>
  <si>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</si>
  <si>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</si>
  <si>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</si>
  <si>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</si>
  <si>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</si>
  <si>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</si>
  <si>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</si>
  <si>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</si>
  <si>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</si>
  <si>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</si>
  <si>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</si>
  <si>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</si>
  <si>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</si>
  <si>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</si>
  <si>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</si>
  <si>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</si>
  <si>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</si>
  <si>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</si>
  <si>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</si>
  <si>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</si>
  <si>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</si>
  <si>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</si>
  <si>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</si>
  <si>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</si>
  <si>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</si>
  <si>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</si>
  <si>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</si>
  <si>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</si>
  <si>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</si>
  <si>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</si>
  <si>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</si>
  <si>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</si>
  <si>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</si>
  <si>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</si>
  <si>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</si>
  <si>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</si>
  <si>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</si>
  <si>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</si>
  <si>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</si>
  <si>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</si>
  <si>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</si>
  <si>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</si>
  <si>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</si>
  <si>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</si>
  <si>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</si>
  <si>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</si>
  <si>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</si>
  <si>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</si>
  <si>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</si>
  <si>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</si>
  <si>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</si>
  <si>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</si>
  <si>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</si>
  <si>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</si>
  <si>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</si>
  <si>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</si>
  <si>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</si>
  <si>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</si>
  <si>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</si>
  <si>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</si>
  <si>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</si>
  <si>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</si>
  <si>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</si>
  <si>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</si>
  <si>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</si>
  <si>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</si>
  <si>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</si>
  <si>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</si>
  <si>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</si>
  <si>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</si>
  <si>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</si>
  <si>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</si>
  <si>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</si>
  <si>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</si>
  <si>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</si>
  <si>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</si>
  <si>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</si>
  <si>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</si>
  <si>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</si>
  <si>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</si>
  <si>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</si>
  <si>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</si>
  <si>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</si>
  <si>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</si>
  <si>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</si>
  <si>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</si>
  <si>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</si>
  <si>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</si>
  <si>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</si>
  <si>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</si>
  <si>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</si>
  <si>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</si>
  <si>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</si>
  <si>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</si>
  <si>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</si>
  <si>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</si>
  <si>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</si>
  <si>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</si>
  <si>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</si>
  <si>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</si>
  <si>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</si>
  <si>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</si>
  <si>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</si>
  <si>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</si>
  <si>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</si>
  <si>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</si>
  <si>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</si>
  <si>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</si>
  <si>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</si>
  <si>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</si>
  <si>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</si>
  <si>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</si>
  <si>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</si>
  <si>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</si>
  <si>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</si>
  <si>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</si>
  <si>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</si>
  <si>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</si>
  <si>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</si>
  <si>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</si>
  <si>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</si>
  <si>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</si>
  <si>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</si>
  <si>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</si>
  <si>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</si>
  <si>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</si>
  <si>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</si>
  <si>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</si>
  <si>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</si>
  <si>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</si>
  <si>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</si>
  <si>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</si>
  <si>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</si>
  <si>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</si>
  <si>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</si>
  <si>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</si>
  <si>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</si>
  <si>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</si>
  <si>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</si>
  <si>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</si>
  <si>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</si>
  <si>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</si>
  <si>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</si>
  <si>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</si>
  <si>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</si>
  <si>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</si>
  <si>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</si>
  <si>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</si>
  <si>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</si>
  <si>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</si>
  <si>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</si>
  <si>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</si>
  <si>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</si>
  <si>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</si>
  <si>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</si>
  <si>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</si>
  <si>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</si>
  <si>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</si>
  <si>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</si>
  <si>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</si>
  <si>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</si>
  <si>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</si>
  <si>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</si>
  <si>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</si>
  <si>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</si>
  <si>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</si>
  <si>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</si>
  <si>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</si>
  <si>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</si>
  <si>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</si>
  <si>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</si>
  <si>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</si>
  <si>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</si>
  <si>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</si>
  <si>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</si>
  <si>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</si>
  <si>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</si>
  <si>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</si>
  <si>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</si>
  <si>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</si>
  <si>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</si>
  <si>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</si>
  <si>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</si>
  <si>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</si>
  <si>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</si>
  <si>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</si>
  <si>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</si>
  <si>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</si>
  <si>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</si>
  <si>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</si>
  <si>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</si>
  <si>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</si>
  <si>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</si>
  <si>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</si>
  <si>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</si>
  <si>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</si>
  <si>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</si>
  <si>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</si>
  <si>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</si>
  <si>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</si>
  <si>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</si>
  <si>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</si>
  <si>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</si>
  <si>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</si>
  <si>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</si>
  <si>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</si>
  <si>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</si>
  <si>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</si>
  <si>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</si>
  <si>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</si>
  <si>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</si>
  <si>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</si>
  <si>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</si>
  <si>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</si>
  <si>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</si>
  <si>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</si>
  <si>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</si>
  <si>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</si>
  <si>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</si>
  <si>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</si>
  <si>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</si>
  <si>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</si>
  <si>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</si>
  <si>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</si>
  <si>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</si>
  <si>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</si>
  <si>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</si>
  <si>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</si>
  <si>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</si>
  <si>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</si>
  <si>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</si>
  <si>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</si>
  <si>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</si>
  <si>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</si>
  <si>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</si>
  <si>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</si>
  <si>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</si>
  <si>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</si>
  <si>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</si>
  <si>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</si>
  <si>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</si>
  <si>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</si>
  <si>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</si>
  <si>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</si>
  <si>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</si>
  <si>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</si>
  <si>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</si>
  <si>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</si>
  <si>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</si>
  <si>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</si>
  <si>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</si>
  <si>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</si>
  <si>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</si>
  <si>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</si>
  <si>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</si>
  <si>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</si>
  <si>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</si>
  <si>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</si>
  <si>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</si>
  <si>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</si>
  <si>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</si>
  <si>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</si>
  <si>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</si>
  <si>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</si>
  <si>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</si>
  <si>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</si>
  <si>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</si>
  <si>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</si>
  <si>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</si>
  <si>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</si>
  <si>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</si>
  <si>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</si>
  <si>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</si>
  <si>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</si>
  <si>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</si>
  <si>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</si>
  <si>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</si>
  <si>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</si>
  <si>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</si>
  <si>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</si>
  <si>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</si>
  <si>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</si>
  <si>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</si>
  <si>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</si>
  <si>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</si>
  <si>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</si>
  <si>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</si>
  <si>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</si>
  <si>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</si>
  <si>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</si>
  <si>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</si>
  <si>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</si>
  <si>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</si>
  <si>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</si>
  <si>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</si>
  <si>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</si>
  <si>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</si>
  <si>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</si>
  <si>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</si>
  <si>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</si>
  <si>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</si>
  <si>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</si>
  <si>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</si>
  <si>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</si>
  <si>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</si>
  <si>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</si>
  <si>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</si>
  <si>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</si>
  <si>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</si>
  <si>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</si>
  <si>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</si>
  <si>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</si>
  <si>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</si>
  <si>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</si>
  <si>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</si>
  <si>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</si>
  <si>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</si>
  <si>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</si>
  <si>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</si>
  <si>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</si>
  <si>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</si>
  <si>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</si>
  <si>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</si>
  <si>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</si>
  <si>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</si>
  <si>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</si>
  <si>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</si>
  <si>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</si>
  <si>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</si>
  <si>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</si>
  <si>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</si>
  <si>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</si>
  <si>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</si>
  <si>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</si>
  <si>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</si>
  <si>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</si>
  <si>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</si>
  <si>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</si>
  <si>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</si>
  <si>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</si>
  <si>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</si>
  <si>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</si>
  <si>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</si>
  <si>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</si>
  <si>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</si>
  <si>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</si>
  <si>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</si>
  <si>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</si>
  <si>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</si>
  <si>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</si>
  <si>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</si>
  <si>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</si>
  <si>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</si>
  <si>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</si>
  <si>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</si>
  <si>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</si>
  <si>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</si>
  <si>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</si>
  <si>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</si>
  <si>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</si>
  <si>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</si>
  <si>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</si>
  <si>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</si>
  <si>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</si>
  <si>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</si>
  <si>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</si>
  <si>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</si>
  <si>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</si>
  <si>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</si>
  <si>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</si>
  <si>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</si>
  <si>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</si>
  <si>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</si>
  <si>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</si>
  <si>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</si>
  <si>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</si>
  <si>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</si>
  <si>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</si>
  <si>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</si>
  <si>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</si>
  <si>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</si>
  <si>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</si>
  <si>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</si>
  <si>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</si>
  <si>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</si>
  <si>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</si>
  <si>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</si>
  <si>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</si>
  <si>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</si>
  <si>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</si>
  <si>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</si>
  <si>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</si>
  <si>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</si>
  <si>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</si>
  <si>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</si>
  <si>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</si>
  <si>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</si>
  <si>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</si>
  <si>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</si>
  <si>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</si>
  <si>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</si>
  <si>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</si>
  <si>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</si>
  <si>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</si>
  <si>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</si>
  <si>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</si>
  <si>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</si>
  <si>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</si>
  <si>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</si>
  <si>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</si>
  <si>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</si>
  <si>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</si>
  <si>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</si>
  <si>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</si>
  <si>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</si>
  <si>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</si>
  <si>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</si>
  <si>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</si>
  <si>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</si>
  <si>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</si>
  <si>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</si>
  <si>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</si>
  <si>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</si>
  <si>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</si>
  <si>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</si>
  <si>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</si>
  <si>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</si>
  <si>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</si>
  <si>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</si>
  <si>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</si>
  <si>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</si>
  <si>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</si>
  <si>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</si>
  <si>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</si>
  <si>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</si>
  <si>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</si>
  <si>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</si>
  <si>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</si>
  <si>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</si>
  <si>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</si>
  <si>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</si>
  <si>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</si>
  <si>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</si>
  <si>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</si>
  <si>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</si>
  <si>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</si>
  <si>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</si>
  <si>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</si>
  <si>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</si>
  <si>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</si>
  <si>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</si>
  <si>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</si>
  <si>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</si>
  <si>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</si>
  <si>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</si>
  <si>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</si>
  <si>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</si>
  <si>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</si>
  <si>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</si>
  <si>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</si>
  <si>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</si>
  <si>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</si>
  <si>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</si>
  <si>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</si>
  <si>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</si>
  <si>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</si>
  <si>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</si>
  <si>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</si>
  <si>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</si>
  <si>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</si>
  <si>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</si>
  <si>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</si>
  <si>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</si>
  <si>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</si>
  <si>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</si>
  <si>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</si>
  <si>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</si>
  <si>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</si>
  <si>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</si>
  <si>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</si>
  <si>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</si>
  <si>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</si>
  <si>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</si>
  <si>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</si>
  <si>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</si>
  <si>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</si>
  <si>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</si>
  <si>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</si>
  <si>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</si>
  <si>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</si>
  <si>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</si>
  <si>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</si>
  <si>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</si>
  <si>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</si>
  <si>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</si>
  <si>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</si>
  <si>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</si>
  <si>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</si>
  <si>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</si>
  <si>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</si>
  <si>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</si>
  <si>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</si>
  <si>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</si>
  <si>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</si>
  <si>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</si>
  <si>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</si>
  <si>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</si>
  <si>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</si>
  <si>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</si>
  <si>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</si>
  <si>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</si>
  <si>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</si>
  <si>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</si>
  <si>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</si>
  <si>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</si>
  <si>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</si>
  <si>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</si>
  <si>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</si>
  <si>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</si>
  <si>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</si>
  <si>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</si>
  <si>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</si>
  <si>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</si>
  <si>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</si>
  <si>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</si>
  <si>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</si>
  <si>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</si>
  <si>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</si>
  <si>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</si>
  <si>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</si>
  <si>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</si>
  <si>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</si>
  <si>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</si>
  <si>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</si>
  <si>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</si>
  <si>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</si>
  <si>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</si>
  <si>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</si>
  <si>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</si>
  <si>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</si>
  <si>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</si>
  <si>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</si>
  <si>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</si>
  <si>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</si>
  <si>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</si>
  <si>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</si>
  <si>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</si>
  <si>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</si>
  <si>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</si>
  <si>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</si>
  <si>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</si>
  <si>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</si>
  <si>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</si>
  <si>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</si>
  <si>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</si>
  <si>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</si>
  <si>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</si>
  <si>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</si>
  <si>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</si>
  <si>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</si>
  <si>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</si>
  <si>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</si>
  <si>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</si>
  <si>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</si>
  <si>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</si>
  <si>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</si>
  <si>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</si>
  <si>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</si>
  <si>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</si>
  <si>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</si>
  <si>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</si>
  <si>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</si>
  <si>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</si>
  <si>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</si>
  <si>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</si>
  <si>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</si>
  <si>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</si>
  <si>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</si>
  <si>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</si>
  <si>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</si>
  <si>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</si>
  <si>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</si>
  <si>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</si>
  <si>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</si>
  <si>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</si>
  <si>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</si>
  <si>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</si>
  <si>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</si>
  <si>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</si>
  <si>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</si>
  <si>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</si>
  <si>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</si>
  <si>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</si>
  <si>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</si>
  <si>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</si>
  <si>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</si>
  <si>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</si>
  <si>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</si>
  <si>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</si>
  <si>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</si>
  <si>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</si>
  <si>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</si>
  <si>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</si>
  <si>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</si>
  <si>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</si>
  <si>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</si>
  <si>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</si>
  <si>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</si>
  <si>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</si>
  <si>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</si>
  <si>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</si>
  <si>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</si>
  <si>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</si>
  <si>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</si>
  <si>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</si>
  <si>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</si>
  <si>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</si>
  <si>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</si>
  <si>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</si>
  <si>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</si>
  <si>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</si>
  <si>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</si>
  <si>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</si>
  <si>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</si>
  <si>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</si>
  <si>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</si>
  <si>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</si>
  <si>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</si>
  <si>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</si>
  <si>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</si>
  <si>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</si>
  <si>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</si>
  <si>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</si>
  <si>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</si>
  <si>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</si>
  <si>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</si>
  <si>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</si>
  <si>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</si>
  <si>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</si>
  <si>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</si>
  <si>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</si>
  <si>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</si>
  <si>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</si>
  <si>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</si>
  <si>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</si>
  <si>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</si>
  <si>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</si>
  <si>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</si>
  <si>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</si>
  <si>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</si>
  <si>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</si>
  <si>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</si>
  <si>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</si>
  <si>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</si>
  <si>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</si>
  <si>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</si>
  <si>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</si>
  <si>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</si>
  <si>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</si>
  <si>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</si>
  <si>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</si>
  <si>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</si>
  <si>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</si>
  <si>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</si>
  <si>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</si>
  <si>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</si>
  <si>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</si>
  <si>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</si>
  <si>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</si>
  <si>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</si>
  <si>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</si>
  <si>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</si>
  <si>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</si>
  <si>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</si>
  <si>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</si>
  <si>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</si>
  <si>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</si>
  <si>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</si>
  <si>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</si>
  <si>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</si>
  <si>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</si>
  <si>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</si>
  <si>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</si>
  <si>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</si>
  <si>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</si>
  <si>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</si>
  <si>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</si>
  <si>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</si>
  <si>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</si>
  <si>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</si>
  <si>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</si>
  <si>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</si>
  <si>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</si>
  <si>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</si>
  <si>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</si>
  <si>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</si>
  <si>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</si>
  <si>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</si>
  <si>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</si>
  <si>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</si>
  <si>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</si>
  <si>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</si>
  <si>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</si>
  <si>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</si>
  <si>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</si>
  <si>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</si>
  <si>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</si>
  <si>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</si>
  <si>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</si>
  <si>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</si>
  <si>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</si>
  <si>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</si>
  <si>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</si>
  <si>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</si>
  <si>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</si>
  <si>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</si>
  <si>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</si>
  <si>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</si>
  <si>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</si>
  <si>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</si>
  <si>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</si>
  <si>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</si>
  <si>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</si>
  <si>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</si>
  <si>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</si>
  <si>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</si>
  <si>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</si>
  <si>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</si>
  <si>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</si>
  <si>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</si>
  <si>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</si>
  <si>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</si>
  <si>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</si>
  <si>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</si>
  <si>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</si>
  <si>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</si>
  <si>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</si>
  <si>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</si>
  <si>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</si>
  <si>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</si>
  <si>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</si>
  <si>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</si>
  <si>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</si>
  <si>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</si>
  <si>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</si>
  <si>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</si>
  <si>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</si>
  <si>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</si>
  <si>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</si>
  <si>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</si>
  <si>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</si>
  <si>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</si>
  <si>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</si>
  <si>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</si>
  <si>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</si>
  <si>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</si>
  <si>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</si>
  <si>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</si>
  <si>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</si>
  <si>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</si>
  <si>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</si>
  <si>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</si>
  <si>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</si>
  <si>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</si>
  <si>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</si>
  <si>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</si>
  <si>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</si>
  <si>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</si>
  <si>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</si>
  <si>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</si>
  <si>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</si>
  <si>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</si>
  <si>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</si>
  <si>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</si>
  <si>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</si>
  <si>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</si>
  <si>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</si>
  <si>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</si>
  <si>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</si>
  <si>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</si>
  <si>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</si>
  <si>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</si>
  <si>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</si>
  <si>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</si>
  <si>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</si>
  <si>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</si>
  <si>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</si>
  <si>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</si>
  <si>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</si>
  <si>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</si>
  <si>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</si>
  <si>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</si>
  <si>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</si>
  <si>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</si>
  <si>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</si>
  <si>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</si>
  <si>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</si>
  <si>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</si>
  <si>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</si>
  <si>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</si>
  <si>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</si>
  <si>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</si>
  <si>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</si>
  <si>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</si>
  <si>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</si>
  <si>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</si>
  <si>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</si>
  <si>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</si>
  <si>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</si>
  <si>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</si>
  <si>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</si>
  <si>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</si>
  <si>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</si>
  <si>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</si>
  <si>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</si>
  <si>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</si>
  <si>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</si>
  <si>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</si>
  <si>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</si>
  <si>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</si>
  <si>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</si>
  <si>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</si>
  <si>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</si>
  <si>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</si>
  <si>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</si>
  <si>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</si>
  <si>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</si>
  <si>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</si>
  <si>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</si>
  <si>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</si>
  <si>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</si>
  <si>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</si>
  <si>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</si>
  <si>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</si>
  <si>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</si>
  <si>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</si>
  <si>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</si>
  <si>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</si>
  <si>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</si>
  <si>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</si>
  <si>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</si>
  <si>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</si>
  <si>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</si>
  <si>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</si>
  <si>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</si>
  <si>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</si>
  <si>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</si>
  <si>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</si>
  <si>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</si>
  <si>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</si>
  <si>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</si>
  <si>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</si>
  <si>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</si>
  <si>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</si>
  <si>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</si>
  <si>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</si>
  <si>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</si>
  <si>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</si>
  <si>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</si>
  <si>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</si>
  <si>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</si>
  <si>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</si>
  <si>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</si>
  <si>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</si>
  <si>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</si>
  <si>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</si>
  <si>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</si>
  <si>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</si>
  <si>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</si>
  <si>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</si>
  <si>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</si>
  <si>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</si>
  <si>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</si>
  <si>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</si>
  <si>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</si>
  <si>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</si>
  <si>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</si>
  <si>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</si>
  <si>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</si>
  <si>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</si>
  <si>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</si>
  <si>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</si>
  <si>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</si>
  <si>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</si>
  <si>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</si>
  <si>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</si>
  <si>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</si>
  <si>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</si>
  <si>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</si>
  <si>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</si>
  <si>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</si>
  <si>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</si>
  <si>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</si>
  <si>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</si>
  <si>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</si>
  <si>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</si>
  <si>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</si>
  <si>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</si>
  <si>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</si>
  <si>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</si>
  <si>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</si>
  <si>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</si>
  <si>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</si>
  <si>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</si>
  <si>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</si>
  <si>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</si>
  <si>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</si>
  <si>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</si>
  <si>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</si>
  <si>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</si>
  <si>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</si>
  <si>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</si>
  <si>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</si>
  <si>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</si>
  <si>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</si>
  <si>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</si>
  <si>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</si>
  <si>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</si>
  <si>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</si>
  <si>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</si>
  <si>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</si>
  <si>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</si>
  <si>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</si>
  <si>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</si>
  <si>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</si>
  <si>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</si>
  <si>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</si>
  <si>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</si>
  <si>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</si>
  <si>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</si>
  <si>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</si>
  <si>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</si>
  <si>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</si>
  <si>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</si>
  <si>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</si>
  <si>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</si>
  <si>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</si>
  <si>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</si>
  <si>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</si>
  <si>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</si>
  <si>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</si>
  <si>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</si>
  <si>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</si>
  <si>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</si>
  <si>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</si>
  <si>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</si>
  <si>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</si>
  <si>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</si>
  <si>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</si>
  <si>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</si>
  <si>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</si>
  <si>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</si>
  <si>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</si>
  <si>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</si>
  <si>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</si>
  <si>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</si>
  <si>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</si>
  <si>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</si>
  <si>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</si>
  <si>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</si>
  <si>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</si>
  <si>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</si>
  <si>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</si>
  <si>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</si>
  <si>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</si>
  <si>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</si>
  <si>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</si>
  <si>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</si>
  <si>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</si>
  <si>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</si>
  <si>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</si>
  <si>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</si>
  <si>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</si>
  <si>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</si>
  <si>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</si>
  <si>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</si>
  <si>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</si>
  <si>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</si>
  <si>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</si>
  <si>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</si>
  <si>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</si>
  <si>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</si>
  <si>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</si>
  <si>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</si>
  <si>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</si>
  <si>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</si>
  <si>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</si>
  <si>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</si>
  <si>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</si>
  <si>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</si>
  <si>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</si>
  <si>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</si>
  <si>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</si>
  <si>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</si>
  <si>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</si>
  <si>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</si>
  <si>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</si>
  <si>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</si>
  <si>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</si>
  <si>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</si>
  <si>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</si>
  <si>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</si>
  <si>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</si>
  <si>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</si>
  <si>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</si>
  <si>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</si>
  <si>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</si>
  <si>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</si>
  <si>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</si>
  <si>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</si>
  <si>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</si>
  <si>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</si>
  <si>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</si>
  <si>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</si>
  <si>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</si>
  <si>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</si>
  <si>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</si>
  <si>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</si>
  <si>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</si>
  <si>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</si>
  <si>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</si>
  <si>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</si>
  <si>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</si>
  <si>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</si>
  <si>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</si>
  <si>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</si>
  <si>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</si>
  <si>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</si>
  <si>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</si>
  <si>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</si>
  <si>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</si>
  <si>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</si>
  <si>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</si>
  <si>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</si>
  <si>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</si>
  <si>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</si>
  <si>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</si>
  <si>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</si>
  <si>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</si>
  <si>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</si>
  <si>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</si>
  <si>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</si>
  <si>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</si>
  <si>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</si>
  <si>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</si>
  <si>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</si>
  <si>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</si>
  <si>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</si>
  <si>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</si>
  <si>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</si>
  <si>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</si>
  <si>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</si>
  <si>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</si>
  <si>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</si>
  <si>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</si>
  <si>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</si>
  <si>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</si>
  <si>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</si>
  <si>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</si>
  <si>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</si>
  <si>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</si>
  <si>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</si>
  <si>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</si>
  <si>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</si>
  <si>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</si>
  <si>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</si>
  <si>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</si>
  <si>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</si>
  <si>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</si>
  <si>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</si>
  <si>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</si>
  <si>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</si>
  <si>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</si>
  <si>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</si>
  <si>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</si>
  <si>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</si>
  <si>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</si>
  <si>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</si>
  <si>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</si>
  <si>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</si>
  <si>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</si>
  <si>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</si>
  <si>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</si>
  <si>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</si>
  <si>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</si>
  <si>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</si>
  <si>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</si>
  <si>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</si>
  <si>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</si>
  <si>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</si>
  <si>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</si>
  <si>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</si>
  <si>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</si>
  <si>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</si>
  <si>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</si>
  <si>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</si>
  <si>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</si>
  <si>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</si>
  <si>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</si>
  <si>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</si>
  <si>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</si>
  <si>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</si>
  <si>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</si>
  <si>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</si>
  <si>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</si>
  <si>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</si>
  <si>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</si>
  <si>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</si>
  <si>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</si>
  <si>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</si>
  <si>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</si>
  <si>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</si>
  <si>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</si>
  <si>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</si>
  <si>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</si>
  <si>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</si>
  <si>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</si>
  <si>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</si>
  <si>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</si>
  <si>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</si>
  <si>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</si>
  <si>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</si>
  <si>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</si>
  <si>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</si>
  <si>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</si>
  <si>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</si>
  <si>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</si>
  <si>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</si>
  <si>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</si>
  <si>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</si>
  <si>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</si>
  <si>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</si>
  <si>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</si>
  <si>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</si>
  <si>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</si>
  <si>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</si>
  <si>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</si>
  <si>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</si>
  <si>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</si>
  <si>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</si>
  <si>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</si>
  <si>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</si>
  <si>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</si>
  <si>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</si>
  <si>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</si>
  <si>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</si>
  <si>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</si>
  <si>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</si>
  <si>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</si>
  <si>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</si>
  <si>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</si>
  <si>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</si>
  <si>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</si>
  <si>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</si>
  <si>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</si>
  <si>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</si>
  <si>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</si>
  <si>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</si>
  <si>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</si>
  <si>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</si>
  <si>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</si>
  <si>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</si>
  <si>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</si>
  <si>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</si>
  <si>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</si>
  <si>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</si>
  <si>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</si>
  <si>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</si>
  <si>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</si>
  <si>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</si>
  <si>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</si>
  <si>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</si>
  <si>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</si>
  <si>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</si>
  <si>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</si>
  <si>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</si>
  <si>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</si>
  <si>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</si>
  <si>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</si>
  <si>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</si>
  <si>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</si>
  <si>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</si>
  <si>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</si>
  <si>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</si>
  <si>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</si>
  <si>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</si>
  <si>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</si>
  <si>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</si>
  <si>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</si>
  <si>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</si>
  <si>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</si>
  <si>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</si>
  <si>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</si>
  <si>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</si>
  <si>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</si>
  <si>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</si>
  <si>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</si>
  <si>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</si>
  <si>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</si>
  <si>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</si>
  <si>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</si>
  <si>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</si>
  <si>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</si>
  <si>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r>
      <t>玉桥西路1</t>
    </r>
    <r>
      <rPr>
        <sz val="11"/>
        <color theme="1"/>
        <rFont val="宋体"/>
        <family val="3"/>
        <charset val="134"/>
        <scheme val="minor"/>
      </rPr>
      <t>01号</t>
    </r>
    <phoneticPr fontId="228" type="noConversion"/>
  </si>
  <si>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</si>
  <si>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</si>
  <si>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</si>
  <si>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</si>
  <si>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</si>
  <si>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</si>
  <si>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</si>
  <si>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</si>
  <si>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</si>
  <si>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</si>
  <si>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</si>
  <si>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</si>
  <si>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</si>
  <si>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</si>
  <si>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</si>
  <si>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</si>
  <si>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</si>
  <si>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</si>
  <si>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</si>
  <si>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</si>
  <si>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</si>
  <si>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</si>
  <si>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</si>
  <si>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</si>
  <si>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</si>
  <si>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</si>
  <si>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</si>
  <si>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</si>
  <si>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</si>
  <si>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</si>
  <si>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</si>
  <si>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</si>
  <si>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</si>
  <si>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</si>
  <si>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</si>
  <si>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</si>
  <si>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</si>
  <si>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</si>
  <si>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</si>
  <si>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</si>
  <si>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</si>
  <si>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</si>
  <si>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</si>
  <si>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</si>
  <si>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</si>
  <si>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</si>
  <si>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</si>
  <si>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</si>
  <si>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</si>
  <si>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</si>
  <si>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</si>
  <si>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</si>
  <si>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大方居</t>
    <phoneticPr fontId="228"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</si>
  <si>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</si>
  <si>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</si>
  <si>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</si>
  <si>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</si>
  <si>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</si>
  <si>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</si>
  <si>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</si>
  <si>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</si>
  <si>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</si>
  <si>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</si>
  <si>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</si>
  <si>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</si>
  <si>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</si>
  <si>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</si>
  <si>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</si>
  <si>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</si>
  <si>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</si>
  <si>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</si>
  <si>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</si>
  <si>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</si>
  <si>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</si>
  <si>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</si>
  <si>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</si>
  <si>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</si>
  <si>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</si>
  <si>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</si>
  <si>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</si>
  <si>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</si>
  <si>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</si>
  <si>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</si>
  <si>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</si>
  <si>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</si>
  <si>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</si>
  <si>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</si>
  <si>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</si>
  <si>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商务金融用地（商业类）</t>
  </si>
  <si>
    <t>六通</t>
  </si>
  <si>
    <t>高速路</t>
  </si>
  <si>
    <t>商业配套</t>
  </si>
  <si>
    <t>商业配套</t>
    <phoneticPr fontId="27" type="noConversion"/>
  </si>
  <si>
    <t>1、北京市通州区永顺镇0401街区46号地（西马庄收储）B4综合性商业金融服务业用地(住商办六级VI-通2)</t>
    <phoneticPr fontId="28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</si>
</sst>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37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183" fontId="84" fillId="5" borderId="2" xfId="3" applyNumberFormat="1" applyFont="1" applyFill="1" applyBorder="1" applyAlignment="1" applyProtection="1">
      <alignment horizontal="center" vertical="center" wrapText="1"/>
    </xf>
    <xf numFmtId="183" fontId="152" fillId="5" borderId="2" xfId="3" applyNumberFormat="1" applyFont="1" applyFill="1" applyBorder="1" applyAlignment="1" applyProtection="1">
      <alignment horizontal="center" vertical="center" wrapText="1"/>
    </xf>
    <xf numFmtId="10" fontId="75" fillId="9"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90"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jpe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85275</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8534400" y="284554"/>
          <a:ext cx="3361652" cy="2239121"/>
        </a:xfrm>
        <a:prstGeom prst="rect">
          <a:avLst/>
        </a:prstGeom>
      </xdr:spPr>
    </xdr:pic>
    <xdr:clientData/>
  </xdr:twoCellAnchor>
  <xdr:twoCellAnchor editAs="oneCell">
    <xdr:from>
      <xdr:col>0</xdr:col>
      <xdr:colOff>514350</xdr:colOff>
      <xdr:row>27</xdr:row>
      <xdr:rowOff>28575</xdr:rowOff>
    </xdr:from>
    <xdr:to>
      <xdr:col>11</xdr:col>
      <xdr:colOff>675346</xdr:colOff>
      <xdr:row>43</xdr:row>
      <xdr:rowOff>37699</xdr:rowOff>
    </xdr:to>
    <xdr:pic>
      <xdr:nvPicPr>
        <xdr:cNvPr id="4" name="图片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514350" y="5391150"/>
          <a:ext cx="7438096" cy="3209524"/>
        </a:xfrm>
        <a:prstGeom prst="rect">
          <a:avLst/>
        </a:prstGeom>
      </xdr:spPr>
    </xdr:pic>
    <xdr:clientData/>
  </xdr:twoCellAnchor>
  <xdr:twoCellAnchor editAs="oneCell">
    <xdr:from>
      <xdr:col>14</xdr:col>
      <xdr:colOff>66674</xdr:colOff>
      <xdr:row>27</xdr:row>
      <xdr:rowOff>52457</xdr:rowOff>
    </xdr:from>
    <xdr:to>
      <xdr:col>18</xdr:col>
      <xdr:colOff>513774</xdr:colOff>
      <xdr:row>38</xdr:row>
      <xdr:rowOff>123380</xdr:rowOff>
    </xdr:to>
    <xdr:pic>
      <xdr:nvPicPr>
        <xdr:cNvPr id="5" name="图片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3" cstate="print"/>
        <a:stretch>
          <a:fillRect/>
        </a:stretch>
      </xdr:blipFill>
      <xdr:spPr>
        <a:xfrm>
          <a:off x="8296274" y="5415032"/>
          <a:ext cx="2933125" cy="2271198"/>
        </a:xfrm>
        <a:prstGeom prst="rect">
          <a:avLst/>
        </a:prstGeom>
      </xdr:spPr>
    </xdr:pic>
    <xdr:clientData/>
  </xdr:twoCellAnchor>
  <xdr:twoCellAnchor editAs="oneCell">
    <xdr:from>
      <xdr:col>11</xdr:col>
      <xdr:colOff>552450</xdr:colOff>
      <xdr:row>1</xdr:row>
      <xdr:rowOff>9525</xdr:rowOff>
    </xdr:from>
    <xdr:to>
      <xdr:col>12</xdr:col>
      <xdr:colOff>485775</xdr:colOff>
      <xdr:row>13</xdr:row>
      <xdr:rowOff>66675</xdr:rowOff>
    </xdr:to>
    <xdr:pic>
      <xdr:nvPicPr>
        <xdr:cNvPr id="121857"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7829550" y="190500"/>
          <a:ext cx="885825" cy="24955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1" cstate="print"/>
        <a:stretch>
          <a:fillRect/>
        </a:stretch>
      </xdr:blipFill>
      <xdr:spPr>
        <a:xfrm>
          <a:off x="0" y="1"/>
          <a:ext cx="4108120" cy="2343150"/>
        </a:xfrm>
        <a:prstGeom prst="rect">
          <a:avLst/>
        </a:prstGeom>
      </xdr:spPr>
    </xdr:pic>
    <xdr:clientData/>
  </xdr:twoCellAnchor>
  <xdr:twoCellAnchor editAs="oneCell">
    <xdr:from>
      <xdr:col>6</xdr:col>
      <xdr:colOff>466724</xdr:colOff>
      <xdr:row>1</xdr:row>
      <xdr:rowOff>46690</xdr:rowOff>
    </xdr:from>
    <xdr:to>
      <xdr:col>10</xdr:col>
      <xdr:colOff>466093</xdr:colOff>
      <xdr:row>13</xdr:row>
      <xdr:rowOff>28106</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2" cstate="print"/>
        <a:stretch>
          <a:fillRect/>
        </a:stretch>
      </xdr:blipFill>
      <xdr:spPr>
        <a:xfrm>
          <a:off x="4581524" y="218140"/>
          <a:ext cx="2742569" cy="2038816"/>
        </a:xfrm>
        <a:prstGeom prst="rect">
          <a:avLst/>
        </a:prstGeom>
      </xdr:spPr>
    </xdr:pic>
    <xdr:clientData/>
  </xdr:twoCellAnchor>
  <xdr:twoCellAnchor editAs="oneCell">
    <xdr:from>
      <xdr:col>11</xdr:col>
      <xdr:colOff>0</xdr:colOff>
      <xdr:row>1</xdr:row>
      <xdr:rowOff>0</xdr:rowOff>
    </xdr:from>
    <xdr:to>
      <xdr:col>20</xdr:col>
      <xdr:colOff>323850</xdr:colOff>
      <xdr:row>13</xdr:row>
      <xdr:rowOff>155367</xdr:rowOff>
    </xdr:to>
    <xdr:pic>
      <xdr:nvPicPr>
        <xdr:cNvPr id="5" name="图片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3" cstate="print"/>
        <a:stretch>
          <a:fillRect/>
        </a:stretch>
      </xdr:blipFill>
      <xdr:spPr>
        <a:xfrm>
          <a:off x="7543800" y="171450"/>
          <a:ext cx="6496050" cy="2212767"/>
        </a:xfrm>
        <a:prstGeom prst="rect">
          <a:avLst/>
        </a:prstGeom>
      </xdr:spPr>
    </xdr:pic>
    <xdr:clientData/>
  </xdr:twoCellAnchor>
  <xdr:twoCellAnchor editAs="oneCell">
    <xdr:from>
      <xdr:col>6</xdr:col>
      <xdr:colOff>326931</xdr:colOff>
      <xdr:row>16</xdr:row>
      <xdr:rowOff>104775</xdr:rowOff>
    </xdr:from>
    <xdr:to>
      <xdr:col>10</xdr:col>
      <xdr:colOff>675642</xdr:colOff>
      <xdr:row>30</xdr:row>
      <xdr:rowOff>75715</xdr:rowOff>
    </xdr:to>
    <xdr:pic>
      <xdr:nvPicPr>
        <xdr:cNvPr id="6" name="图片 5">
          <a:extLst>
            <a:ext uri="{FF2B5EF4-FFF2-40B4-BE49-F238E27FC236}">
              <a16:creationId xmlns:a16="http://schemas.microsoft.com/office/drawing/2014/main" xmlns="" id="{00000000-0008-0000-2800-000006000000}"/>
            </a:ext>
          </a:extLst>
        </xdr:cNvPr>
        <xdr:cNvPicPr>
          <a:picLocks noChangeAspect="1"/>
        </xdr:cNvPicPr>
      </xdr:nvPicPr>
      <xdr:blipFill>
        <a:blip xmlns:r="http://schemas.openxmlformats.org/officeDocument/2006/relationships" r:embed="rId4" cstate="print"/>
        <a:stretch>
          <a:fillRect/>
        </a:stretch>
      </xdr:blipFill>
      <xdr:spPr>
        <a:xfrm>
          <a:off x="4441731" y="2847975"/>
          <a:ext cx="3091911" cy="237124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xmlns="" id="{00000000-0008-0000-2800-000007000000}"/>
            </a:ext>
          </a:extLst>
        </xdr:cNvPr>
        <xdr:cNvPicPr>
          <a:picLocks noChangeAspect="1"/>
        </xdr:cNvPicPr>
      </xdr:nvPicPr>
      <xdr:blipFill>
        <a:blip xmlns:r="http://schemas.openxmlformats.org/officeDocument/2006/relationships" r:embed="rId5" cstate="print"/>
        <a:stretch>
          <a:fillRect/>
        </a:stretch>
      </xdr:blipFill>
      <xdr:spPr>
        <a:xfrm>
          <a:off x="0" y="2562225"/>
          <a:ext cx="3842504" cy="2199819"/>
        </a:xfrm>
        <a:prstGeom prst="rect">
          <a:avLst/>
        </a:prstGeom>
      </xdr:spPr>
    </xdr:pic>
    <xdr:clientData/>
  </xdr:twoCellAnchor>
  <xdr:twoCellAnchor editAs="oneCell">
    <xdr:from>
      <xdr:col>11</xdr:col>
      <xdr:colOff>352425</xdr:colOff>
      <xdr:row>15</xdr:row>
      <xdr:rowOff>138184</xdr:rowOff>
    </xdr:from>
    <xdr:to>
      <xdr:col>20</xdr:col>
      <xdr:colOff>674695</xdr:colOff>
      <xdr:row>28</xdr:row>
      <xdr:rowOff>152435</xdr:rowOff>
    </xdr:to>
    <xdr:pic>
      <xdr:nvPicPr>
        <xdr:cNvPr id="8" name="图片 7">
          <a:extLst>
            <a:ext uri="{FF2B5EF4-FFF2-40B4-BE49-F238E27FC236}">
              <a16:creationId xmlns:a16="http://schemas.microsoft.com/office/drawing/2014/main" xmlns="" id="{00000000-0008-0000-2800-000008000000}"/>
            </a:ext>
          </a:extLst>
        </xdr:cNvPr>
        <xdr:cNvPicPr>
          <a:picLocks noChangeAspect="1"/>
        </xdr:cNvPicPr>
      </xdr:nvPicPr>
      <xdr:blipFill>
        <a:blip xmlns:r="http://schemas.openxmlformats.org/officeDocument/2006/relationships" r:embed="rId6" cstate="print"/>
        <a:stretch>
          <a:fillRect/>
        </a:stretch>
      </xdr:blipFill>
      <xdr:spPr>
        <a:xfrm>
          <a:off x="7896225" y="2709934"/>
          <a:ext cx="6494470" cy="2243101"/>
        </a:xfrm>
        <a:prstGeom prst="rect">
          <a:avLst/>
        </a:prstGeom>
      </xdr:spPr>
    </xdr:pic>
    <xdr:clientData/>
  </xdr:twoCellAnchor>
  <xdr:twoCellAnchor editAs="oneCell">
    <xdr:from>
      <xdr:col>2</xdr:col>
      <xdr:colOff>0</xdr:colOff>
      <xdr:row>72</xdr:row>
      <xdr:rowOff>0</xdr:rowOff>
    </xdr:from>
    <xdr:to>
      <xdr:col>10</xdr:col>
      <xdr:colOff>361219</xdr:colOff>
      <xdr:row>98</xdr:row>
      <xdr:rowOff>132777</xdr:rowOff>
    </xdr:to>
    <xdr:pic>
      <xdr:nvPicPr>
        <xdr:cNvPr id="9" name="图片 8">
          <a:extLst>
            <a:ext uri="{FF2B5EF4-FFF2-40B4-BE49-F238E27FC236}">
              <a16:creationId xmlns:a16="http://schemas.microsoft.com/office/drawing/2014/main" xmlns="" id="{00000000-0008-0000-2800-000009000000}"/>
            </a:ext>
          </a:extLst>
        </xdr:cNvPr>
        <xdr:cNvPicPr>
          <a:picLocks noChangeAspect="1"/>
        </xdr:cNvPicPr>
      </xdr:nvPicPr>
      <xdr:blipFill>
        <a:blip xmlns:r="http://schemas.openxmlformats.org/officeDocument/2006/relationships" r:embed="rId7" cstate="print"/>
        <a:stretch>
          <a:fillRect/>
        </a:stretch>
      </xdr:blipFill>
      <xdr:spPr>
        <a:xfrm>
          <a:off x="1371600" y="12344400"/>
          <a:ext cx="5847619" cy="4590477"/>
        </a:xfrm>
        <a:prstGeom prst="rect">
          <a:avLst/>
        </a:prstGeom>
      </xdr:spPr>
    </xdr:pic>
    <xdr:clientData/>
  </xdr:twoCellAnchor>
  <xdr:twoCellAnchor editAs="oneCell">
    <xdr:from>
      <xdr:col>1</xdr:col>
      <xdr:colOff>47625</xdr:colOff>
      <xdr:row>31</xdr:row>
      <xdr:rowOff>104775</xdr:rowOff>
    </xdr:from>
    <xdr:to>
      <xdr:col>5</xdr:col>
      <xdr:colOff>479142</xdr:colOff>
      <xdr:row>42</xdr:row>
      <xdr:rowOff>9079</xdr:rowOff>
    </xdr:to>
    <xdr:pic>
      <xdr:nvPicPr>
        <xdr:cNvPr id="10" name="图片 9">
          <a:extLst>
            <a:ext uri="{FF2B5EF4-FFF2-40B4-BE49-F238E27FC236}">
              <a16:creationId xmlns:a16="http://schemas.microsoft.com/office/drawing/2014/main" xmlns="" id="{00000000-0008-0000-2800-00000A000000}"/>
            </a:ext>
          </a:extLst>
        </xdr:cNvPr>
        <xdr:cNvPicPr>
          <a:picLocks noChangeAspect="1"/>
        </xdr:cNvPicPr>
      </xdr:nvPicPr>
      <xdr:blipFill>
        <a:blip xmlns:r="http://schemas.openxmlformats.org/officeDocument/2006/relationships" r:embed="rId8" cstate="print"/>
        <a:stretch>
          <a:fillRect/>
        </a:stretch>
      </xdr:blipFill>
      <xdr:spPr>
        <a:xfrm>
          <a:off x="733425" y="5419725"/>
          <a:ext cx="3174717" cy="1790254"/>
        </a:xfrm>
        <a:prstGeom prst="rect">
          <a:avLst/>
        </a:prstGeom>
      </xdr:spPr>
    </xdr:pic>
    <xdr:clientData/>
  </xdr:twoCellAnchor>
  <xdr:twoCellAnchor editAs="oneCell">
    <xdr:from>
      <xdr:col>6</xdr:col>
      <xdr:colOff>200025</xdr:colOff>
      <xdr:row>33</xdr:row>
      <xdr:rowOff>26227</xdr:rowOff>
    </xdr:from>
    <xdr:to>
      <xdr:col>10</xdr:col>
      <xdr:colOff>561377</xdr:colOff>
      <xdr:row>45</xdr:row>
      <xdr:rowOff>104363</xdr:rowOff>
    </xdr:to>
    <xdr:pic>
      <xdr:nvPicPr>
        <xdr:cNvPr id="11" name="图片 10">
          <a:extLst>
            <a:ext uri="{FF2B5EF4-FFF2-40B4-BE49-F238E27FC236}">
              <a16:creationId xmlns:a16="http://schemas.microsoft.com/office/drawing/2014/main" xmlns="" id="{00000000-0008-0000-2800-00000B000000}"/>
            </a:ext>
          </a:extLst>
        </xdr:cNvPr>
        <xdr:cNvPicPr>
          <a:picLocks noChangeAspect="1"/>
        </xdr:cNvPicPr>
      </xdr:nvPicPr>
      <xdr:blipFill>
        <a:blip xmlns:r="http://schemas.openxmlformats.org/officeDocument/2006/relationships" r:embed="rId9" cstate="print"/>
        <a:stretch>
          <a:fillRect/>
        </a:stretch>
      </xdr:blipFill>
      <xdr:spPr>
        <a:xfrm>
          <a:off x="4314825" y="5684077"/>
          <a:ext cx="3104552" cy="2135536"/>
        </a:xfrm>
        <a:prstGeom prst="rect">
          <a:avLst/>
        </a:prstGeom>
      </xdr:spPr>
    </xdr:pic>
    <xdr:clientData/>
  </xdr:twoCellAnchor>
  <xdr:twoCellAnchor editAs="oneCell">
    <xdr:from>
      <xdr:col>10</xdr:col>
      <xdr:colOff>657224</xdr:colOff>
      <xdr:row>31</xdr:row>
      <xdr:rowOff>17939</xdr:rowOff>
    </xdr:from>
    <xdr:to>
      <xdr:col>19</xdr:col>
      <xdr:colOff>332395</xdr:colOff>
      <xdr:row>42</xdr:row>
      <xdr:rowOff>171109</xdr:rowOff>
    </xdr:to>
    <xdr:pic>
      <xdr:nvPicPr>
        <xdr:cNvPr id="12" name="图片 11">
          <a:extLst>
            <a:ext uri="{FF2B5EF4-FFF2-40B4-BE49-F238E27FC236}">
              <a16:creationId xmlns:a16="http://schemas.microsoft.com/office/drawing/2014/main" xmlns="" id="{00000000-0008-0000-2800-00000C000000}"/>
            </a:ext>
          </a:extLst>
        </xdr:cNvPr>
        <xdr:cNvPicPr>
          <a:picLocks noChangeAspect="1"/>
        </xdr:cNvPicPr>
      </xdr:nvPicPr>
      <xdr:blipFill>
        <a:blip xmlns:r="http://schemas.openxmlformats.org/officeDocument/2006/relationships" r:embed="rId10" cstate="print"/>
        <a:stretch>
          <a:fillRect/>
        </a:stretch>
      </xdr:blipFill>
      <xdr:spPr>
        <a:xfrm>
          <a:off x="7515224" y="5332889"/>
          <a:ext cx="5847371" cy="2039120"/>
        </a:xfrm>
        <a:prstGeom prst="rect">
          <a:avLst/>
        </a:prstGeom>
      </xdr:spPr>
    </xdr:pic>
    <xdr:clientData/>
  </xdr:twoCellAnchor>
  <xdr:twoCellAnchor editAs="oneCell">
    <xdr:from>
      <xdr:col>13</xdr:col>
      <xdr:colOff>0</xdr:colOff>
      <xdr:row>63</xdr:row>
      <xdr:rowOff>0</xdr:rowOff>
    </xdr:from>
    <xdr:to>
      <xdr:col>19</xdr:col>
      <xdr:colOff>275676</xdr:colOff>
      <xdr:row>85</xdr:row>
      <xdr:rowOff>37624</xdr:rowOff>
    </xdr:to>
    <xdr:pic>
      <xdr:nvPicPr>
        <xdr:cNvPr id="13" name="图片 12">
          <a:extLst>
            <a:ext uri="{FF2B5EF4-FFF2-40B4-BE49-F238E27FC236}">
              <a16:creationId xmlns:a16="http://schemas.microsoft.com/office/drawing/2014/main" xmlns="" id="{00000000-0008-0000-2800-00000D000000}"/>
            </a:ext>
          </a:extLst>
        </xdr:cNvPr>
        <xdr:cNvPicPr>
          <a:picLocks noChangeAspect="1"/>
        </xdr:cNvPicPr>
      </xdr:nvPicPr>
      <xdr:blipFill>
        <a:blip xmlns:r="http://schemas.openxmlformats.org/officeDocument/2006/relationships" r:embed="rId11" cstate="print"/>
        <a:stretch>
          <a:fillRect/>
        </a:stretch>
      </xdr:blipFill>
      <xdr:spPr>
        <a:xfrm>
          <a:off x="8915400" y="10801350"/>
          <a:ext cx="4390476"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1" cstate="print"/>
        <a:stretch>
          <a:fillRect/>
        </a:stretch>
      </xdr:blipFill>
      <xdr:spPr>
        <a:xfrm>
          <a:off x="0" y="2743200"/>
          <a:ext cx="3647619" cy="2238095"/>
        </a:xfrm>
        <a:prstGeom prst="rect">
          <a:avLst/>
        </a:prstGeom>
      </xdr:spPr>
    </xdr:pic>
    <xdr:clientData/>
  </xdr:twoCellAnchor>
  <xdr:twoCellAnchor editAs="oneCell">
    <xdr:from>
      <xdr:col>5</xdr:col>
      <xdr:colOff>419100</xdr:colOff>
      <xdr:row>0</xdr:row>
      <xdr:rowOff>136892</xdr:rowOff>
    </xdr:from>
    <xdr:to>
      <xdr:col>9</xdr:col>
      <xdr:colOff>361352</xdr:colOff>
      <xdr:row>13</xdr:row>
      <xdr:rowOff>80962</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2" cstate="print"/>
        <a:stretch>
          <a:fillRect/>
        </a:stretch>
      </xdr:blipFill>
      <xdr:spPr>
        <a:xfrm>
          <a:off x="3848100" y="2708642"/>
          <a:ext cx="2685452" cy="2172920"/>
        </a:xfrm>
        <a:prstGeom prst="rect">
          <a:avLst/>
        </a:prstGeom>
      </xdr:spPr>
    </xdr:pic>
    <xdr:clientData/>
  </xdr:twoCellAnchor>
  <xdr:twoCellAnchor editAs="oneCell">
    <xdr:from>
      <xdr:col>0</xdr:col>
      <xdr:colOff>0</xdr:colOff>
      <xdr:row>15</xdr:row>
      <xdr:rowOff>0</xdr:rowOff>
    </xdr:from>
    <xdr:to>
      <xdr:col>8</xdr:col>
      <xdr:colOff>276225</xdr:colOff>
      <xdr:row>35</xdr:row>
      <xdr:rowOff>69737</xdr:rowOff>
    </xdr:to>
    <xdr:pic>
      <xdr:nvPicPr>
        <xdr:cNvPr id="5" name="图片 4">
          <a:extLst>
            <a:ext uri="{FF2B5EF4-FFF2-40B4-BE49-F238E27FC236}">
              <a16:creationId xmlns:a16="http://schemas.microsoft.com/office/drawing/2014/main" xmlns="" id="{00000000-0008-0000-2A00-000005000000}"/>
            </a:ext>
          </a:extLst>
        </xdr:cNvPr>
        <xdr:cNvPicPr>
          <a:picLocks noChangeAspect="1"/>
        </xdr:cNvPicPr>
      </xdr:nvPicPr>
      <xdr:blipFill>
        <a:blip xmlns:r="http://schemas.openxmlformats.org/officeDocument/2006/relationships" r:embed="rId3" cstate="print"/>
        <a:stretch>
          <a:fillRect/>
        </a:stretch>
      </xdr:blipFill>
      <xdr:spPr>
        <a:xfrm>
          <a:off x="0" y="5143500"/>
          <a:ext cx="5762625" cy="3498737"/>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xmlns="" id="{00000000-0008-0000-2A00-000007000000}"/>
            </a:ext>
          </a:extLst>
        </xdr:cNvPr>
        <xdr:cNvPicPr>
          <a:picLocks noChangeAspect="1"/>
        </xdr:cNvPicPr>
      </xdr:nvPicPr>
      <xdr:blipFill>
        <a:blip xmlns:r="http://schemas.openxmlformats.org/officeDocument/2006/relationships" r:embed="rId4" cstate="print"/>
        <a:stretch>
          <a:fillRect/>
        </a:stretch>
      </xdr:blipFill>
      <xdr:spPr>
        <a:xfrm>
          <a:off x="0" y="6686550"/>
          <a:ext cx="4514286" cy="3495238"/>
        </a:xfrm>
        <a:prstGeom prst="rect">
          <a:avLst/>
        </a:prstGeom>
      </xdr:spPr>
    </xdr:pic>
    <xdr:clientData/>
  </xdr:twoCellAnchor>
  <xdr:twoCellAnchor editAs="oneCell">
    <xdr:from>
      <xdr:col>6</xdr:col>
      <xdr:colOff>590549</xdr:colOff>
      <xdr:row>36</xdr:row>
      <xdr:rowOff>109844</xdr:rowOff>
    </xdr:from>
    <xdr:to>
      <xdr:col>18</xdr:col>
      <xdr:colOff>17660</xdr:colOff>
      <xdr:row>52</xdr:row>
      <xdr:rowOff>56662</xdr:rowOff>
    </xdr:to>
    <xdr:pic>
      <xdr:nvPicPr>
        <xdr:cNvPr id="8" name="图片 7">
          <a:extLst>
            <a:ext uri="{FF2B5EF4-FFF2-40B4-BE49-F238E27FC236}">
              <a16:creationId xmlns:a16="http://schemas.microsoft.com/office/drawing/2014/main" xmlns="" id="{00000000-0008-0000-2A00-000008000000}"/>
            </a:ext>
          </a:extLst>
        </xdr:cNvPr>
        <xdr:cNvPicPr>
          <a:picLocks noChangeAspect="1"/>
        </xdr:cNvPicPr>
      </xdr:nvPicPr>
      <xdr:blipFill>
        <a:blip xmlns:r="http://schemas.openxmlformats.org/officeDocument/2006/relationships" r:embed="rId5" cstate="print"/>
        <a:stretch>
          <a:fillRect/>
        </a:stretch>
      </xdr:blipFill>
      <xdr:spPr>
        <a:xfrm>
          <a:off x="4705349" y="6282044"/>
          <a:ext cx="7656711" cy="2690018"/>
        </a:xfrm>
        <a:prstGeom prst="rect">
          <a:avLst/>
        </a:prstGeom>
      </xdr:spPr>
    </xdr:pic>
    <xdr:clientData/>
  </xdr:twoCellAnchor>
  <xdr:twoCellAnchor editAs="oneCell">
    <xdr:from>
      <xdr:col>7</xdr:col>
      <xdr:colOff>171450</xdr:colOff>
      <xdr:row>52</xdr:row>
      <xdr:rowOff>122850</xdr:rowOff>
    </xdr:from>
    <xdr:to>
      <xdr:col>13</xdr:col>
      <xdr:colOff>611474</xdr:colOff>
      <xdr:row>64</xdr:row>
      <xdr:rowOff>38099</xdr:rowOff>
    </xdr:to>
    <xdr:pic>
      <xdr:nvPicPr>
        <xdr:cNvPr id="9" name="图片 8">
          <a:extLst>
            <a:ext uri="{FF2B5EF4-FFF2-40B4-BE49-F238E27FC236}">
              <a16:creationId xmlns:a16="http://schemas.microsoft.com/office/drawing/2014/main" xmlns="" id="{00000000-0008-0000-2A00-000009000000}"/>
            </a:ext>
          </a:extLst>
        </xdr:cNvPr>
        <xdr:cNvPicPr>
          <a:picLocks noChangeAspect="1"/>
        </xdr:cNvPicPr>
      </xdr:nvPicPr>
      <xdr:blipFill>
        <a:blip xmlns:r="http://schemas.openxmlformats.org/officeDocument/2006/relationships" r:embed="rId6" cstate="print"/>
        <a:stretch>
          <a:fillRect/>
        </a:stretch>
      </xdr:blipFill>
      <xdr:spPr>
        <a:xfrm>
          <a:off x="4972050" y="9038250"/>
          <a:ext cx="4554824" cy="1972649"/>
        </a:xfrm>
        <a:prstGeom prst="rect">
          <a:avLst/>
        </a:prstGeom>
      </xdr:spPr>
    </xdr:pic>
    <xdr:clientData/>
  </xdr:twoCellAnchor>
  <xdr:twoCellAnchor editAs="oneCell">
    <xdr:from>
      <xdr:col>0</xdr:col>
      <xdr:colOff>0</xdr:colOff>
      <xdr:row>67</xdr:row>
      <xdr:rowOff>0</xdr:rowOff>
    </xdr:from>
    <xdr:to>
      <xdr:col>6</xdr:col>
      <xdr:colOff>66153</xdr:colOff>
      <xdr:row>85</xdr:row>
      <xdr:rowOff>142472</xdr:rowOff>
    </xdr:to>
    <xdr:pic>
      <xdr:nvPicPr>
        <xdr:cNvPr id="10" name="图片 9">
          <a:extLst>
            <a:ext uri="{FF2B5EF4-FFF2-40B4-BE49-F238E27FC236}">
              <a16:creationId xmlns:a16="http://schemas.microsoft.com/office/drawing/2014/main" xmlns="" id="{00000000-0008-0000-2A00-00000A000000}"/>
            </a:ext>
          </a:extLst>
        </xdr:cNvPr>
        <xdr:cNvPicPr>
          <a:picLocks noChangeAspect="1"/>
        </xdr:cNvPicPr>
      </xdr:nvPicPr>
      <xdr:blipFill>
        <a:blip xmlns:r="http://schemas.openxmlformats.org/officeDocument/2006/relationships" r:embed="rId7" cstate="print"/>
        <a:stretch>
          <a:fillRect/>
        </a:stretch>
      </xdr:blipFill>
      <xdr:spPr>
        <a:xfrm>
          <a:off x="0" y="11487150"/>
          <a:ext cx="4180953" cy="3228572"/>
        </a:xfrm>
        <a:prstGeom prst="rect">
          <a:avLst/>
        </a:prstGeom>
      </xdr:spPr>
    </xdr:pic>
    <xdr:clientData/>
  </xdr:twoCellAnchor>
  <xdr:twoCellAnchor editAs="oneCell">
    <xdr:from>
      <xdr:col>6</xdr:col>
      <xdr:colOff>523875</xdr:colOff>
      <xdr:row>65</xdr:row>
      <xdr:rowOff>24927</xdr:rowOff>
    </xdr:from>
    <xdr:to>
      <xdr:col>13</xdr:col>
      <xdr:colOff>361192</xdr:colOff>
      <xdr:row>85</xdr:row>
      <xdr:rowOff>47061</xdr:rowOff>
    </xdr:to>
    <xdr:pic>
      <xdr:nvPicPr>
        <xdr:cNvPr id="11" name="图片 10">
          <a:extLst>
            <a:ext uri="{FF2B5EF4-FFF2-40B4-BE49-F238E27FC236}">
              <a16:creationId xmlns:a16="http://schemas.microsoft.com/office/drawing/2014/main" xmlns="" id="{00000000-0008-0000-2A00-00000B000000}"/>
            </a:ext>
          </a:extLst>
        </xdr:cNvPr>
        <xdr:cNvPicPr>
          <a:picLocks noChangeAspect="1"/>
        </xdr:cNvPicPr>
      </xdr:nvPicPr>
      <xdr:blipFill>
        <a:blip xmlns:r="http://schemas.openxmlformats.org/officeDocument/2006/relationships" r:embed="rId8" cstate="print"/>
        <a:stretch>
          <a:fillRect/>
        </a:stretch>
      </xdr:blipFill>
      <xdr:spPr>
        <a:xfrm>
          <a:off x="4638675" y="11169177"/>
          <a:ext cx="4637917" cy="3451134"/>
        </a:xfrm>
        <a:prstGeom prst="rect">
          <a:avLst/>
        </a:prstGeom>
      </xdr:spPr>
    </xdr:pic>
    <xdr:clientData/>
  </xdr:twoCellAnchor>
  <xdr:twoCellAnchor editAs="oneCell">
    <xdr:from>
      <xdr:col>6</xdr:col>
      <xdr:colOff>371475</xdr:colOff>
      <xdr:row>86</xdr:row>
      <xdr:rowOff>5997</xdr:rowOff>
    </xdr:from>
    <xdr:to>
      <xdr:col>12</xdr:col>
      <xdr:colOff>208747</xdr:colOff>
      <xdr:row>91</xdr:row>
      <xdr:rowOff>85535</xdr:rowOff>
    </xdr:to>
    <xdr:pic>
      <xdr:nvPicPr>
        <xdr:cNvPr id="12" name="图片 11">
          <a:extLst>
            <a:ext uri="{FF2B5EF4-FFF2-40B4-BE49-F238E27FC236}">
              <a16:creationId xmlns:a16="http://schemas.microsoft.com/office/drawing/2014/main" xmlns="" id="{00000000-0008-0000-2A00-00000C000000}"/>
            </a:ext>
          </a:extLst>
        </xdr:cNvPr>
        <xdr:cNvPicPr>
          <a:picLocks noChangeAspect="1"/>
        </xdr:cNvPicPr>
      </xdr:nvPicPr>
      <xdr:blipFill>
        <a:blip xmlns:r="http://schemas.openxmlformats.org/officeDocument/2006/relationships" r:embed="rId9" cstate="print"/>
        <a:stretch>
          <a:fillRect/>
        </a:stretch>
      </xdr:blipFill>
      <xdr:spPr>
        <a:xfrm>
          <a:off x="4486275" y="14750697"/>
          <a:ext cx="3952072" cy="936788"/>
        </a:xfrm>
        <a:prstGeom prst="rect">
          <a:avLst/>
        </a:prstGeom>
      </xdr:spPr>
    </xdr:pic>
    <xdr:clientData/>
  </xdr:twoCellAnchor>
  <xdr:twoCellAnchor editAs="oneCell">
    <xdr:from>
      <xdr:col>9</xdr:col>
      <xdr:colOff>466725</xdr:colOff>
      <xdr:row>15</xdr:row>
      <xdr:rowOff>70768</xdr:rowOff>
    </xdr:from>
    <xdr:to>
      <xdr:col>16</xdr:col>
      <xdr:colOff>189628</xdr:colOff>
      <xdr:row>32</xdr:row>
      <xdr:rowOff>56591</xdr:rowOff>
    </xdr:to>
    <xdr:pic>
      <xdr:nvPicPr>
        <xdr:cNvPr id="6" name="图片 5">
          <a:extLst>
            <a:ext uri="{FF2B5EF4-FFF2-40B4-BE49-F238E27FC236}">
              <a16:creationId xmlns:a16="http://schemas.microsoft.com/office/drawing/2014/main" xmlns="" id="{00000000-0008-0000-2A00-000006000000}"/>
            </a:ext>
          </a:extLst>
        </xdr:cNvPr>
        <xdr:cNvPicPr>
          <a:picLocks noChangeAspect="1"/>
        </xdr:cNvPicPr>
      </xdr:nvPicPr>
      <xdr:blipFill>
        <a:blip xmlns:r="http://schemas.openxmlformats.org/officeDocument/2006/relationships" r:embed="rId10" cstate="print"/>
        <a:stretch>
          <a:fillRect/>
        </a:stretch>
      </xdr:blipFill>
      <xdr:spPr>
        <a:xfrm>
          <a:off x="6638925" y="2642518"/>
          <a:ext cx="4523503" cy="2900473"/>
        </a:xfrm>
        <a:prstGeom prst="rect">
          <a:avLst/>
        </a:prstGeom>
      </xdr:spPr>
    </xdr:pic>
    <xdr:clientData/>
  </xdr:twoCellAnchor>
  <xdr:twoCellAnchor editAs="oneCell">
    <xdr:from>
      <xdr:col>6</xdr:col>
      <xdr:colOff>114299</xdr:colOff>
      <xdr:row>92</xdr:row>
      <xdr:rowOff>36055</xdr:rowOff>
    </xdr:from>
    <xdr:to>
      <xdr:col>10</xdr:col>
      <xdr:colOff>523286</xdr:colOff>
      <xdr:row>105</xdr:row>
      <xdr:rowOff>104346</xdr:rowOff>
    </xdr:to>
    <xdr:pic>
      <xdr:nvPicPr>
        <xdr:cNvPr id="14" name="图片 13">
          <a:extLst>
            <a:ext uri="{FF2B5EF4-FFF2-40B4-BE49-F238E27FC236}">
              <a16:creationId xmlns:a16="http://schemas.microsoft.com/office/drawing/2014/main" xmlns="" id="{00000000-0008-0000-2A00-00000E000000}"/>
            </a:ext>
          </a:extLst>
        </xdr:cNvPr>
        <xdr:cNvPicPr>
          <a:picLocks noChangeAspect="1"/>
        </xdr:cNvPicPr>
      </xdr:nvPicPr>
      <xdr:blipFill>
        <a:blip xmlns:r="http://schemas.openxmlformats.org/officeDocument/2006/relationships" r:embed="rId11" cstate="print"/>
        <a:stretch>
          <a:fillRect/>
        </a:stretch>
      </xdr:blipFill>
      <xdr:spPr>
        <a:xfrm>
          <a:off x="4229099" y="15809455"/>
          <a:ext cx="3152187" cy="2297141"/>
        </a:xfrm>
        <a:prstGeom prst="rect">
          <a:avLst/>
        </a:prstGeom>
      </xdr:spPr>
    </xdr:pic>
    <xdr:clientData/>
  </xdr:twoCellAnchor>
  <xdr:twoCellAnchor editAs="oneCell">
    <xdr:from>
      <xdr:col>11</xdr:col>
      <xdr:colOff>85724</xdr:colOff>
      <xdr:row>93</xdr:row>
      <xdr:rowOff>56334</xdr:rowOff>
    </xdr:from>
    <xdr:to>
      <xdr:col>18</xdr:col>
      <xdr:colOff>218199</xdr:colOff>
      <xdr:row>112</xdr:row>
      <xdr:rowOff>161329</xdr:rowOff>
    </xdr:to>
    <xdr:pic>
      <xdr:nvPicPr>
        <xdr:cNvPr id="15" name="图片 14">
          <a:extLst>
            <a:ext uri="{FF2B5EF4-FFF2-40B4-BE49-F238E27FC236}">
              <a16:creationId xmlns:a16="http://schemas.microsoft.com/office/drawing/2014/main" xmlns="" id="{00000000-0008-0000-2A00-00000F000000}"/>
            </a:ext>
          </a:extLst>
        </xdr:cNvPr>
        <xdr:cNvPicPr>
          <a:picLocks noChangeAspect="1"/>
        </xdr:cNvPicPr>
      </xdr:nvPicPr>
      <xdr:blipFill>
        <a:blip xmlns:r="http://schemas.openxmlformats.org/officeDocument/2006/relationships" r:embed="rId12" cstate="print"/>
        <a:stretch>
          <a:fillRect/>
        </a:stretch>
      </xdr:blipFill>
      <xdr:spPr>
        <a:xfrm>
          <a:off x="7629524" y="16001184"/>
          <a:ext cx="4933075" cy="3362545"/>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3" cstate="print"/>
        <a:stretch>
          <a:fillRect/>
        </a:stretch>
      </xdr:blipFill>
      <xdr:spPr>
        <a:xfrm>
          <a:off x="92869" y="15563850"/>
          <a:ext cx="4080215" cy="24189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1" cstate="print"/>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受贵公司委托，我公司对北京市国有建设用地使用权进行了预评估。</v>
      </c>
      <c r="AM6" s="2617"/>
    </row>
    <row r="7" spans="1:55" s="2591" customFormat="1">
      <c r="A7" s="2592" t="s">
        <v>2635</v>
      </c>
      <c r="B7" s="2593" t="str">
        <f>'预评函-1'!A6</f>
        <v>估价对象为使用的、位于北京市国有建设用地使用权。根据《国有土地使用证》[]，估价对象（分摊）国有建设用地使用权面积为5500.65平方米。根据《建设工程规划许可证》[]、《出让合同》[]，估价对象规划建筑面积为30803.628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本次评估为委托估价方了解标的物之市场价格提供参考依据而评估国有建设用地使用权市场价格。</v>
      </c>
    </row>
    <row r="10" spans="1:55" s="2591" customFormat="1">
      <c r="A10" s="2592" t="s">
        <v>2637</v>
      </c>
      <c r="B10" s="2593" t="str">
        <f>'预评函-1'!A11</f>
        <v>2021年8月16日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根据《国有土地使用证》[]，估价对象（分摊）出让国有建设用地使用权面积为5500.65平方米。根据《建设工程规划许可证》[]、《出让合同》[]，估价对象规划建筑面积为30803.628平方米。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23" spans="1:48">
      <c r="A23" s="2592" t="s">
        <v>2654</v>
      </c>
      <c r="B23" s="2593" t="str">
        <f>'预评函-2'!K2</f>
        <v>估价期日：2021年8月16日</v>
      </c>
    </row>
    <row r="24" spans="1:48">
      <c r="A24" s="2592" t="s">
        <v>2655</v>
      </c>
      <c r="B24" s="2593" t="str">
        <f>'预评函-2'!R2</f>
        <v>估价期日的国有建设用地使用权性质：</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（分摊）国有建设用地使用权面积/㎡</v>
      </c>
    </row>
    <row r="43" spans="1:2">
      <c r="A43" s="2592" t="s">
        <v>2699</v>
      </c>
      <c r="B43" s="2593">
        <f>'预评函-2'!N5</f>
        <v>5500.65</v>
      </c>
    </row>
    <row r="44" spans="1:2">
      <c r="A44" s="2592" t="s">
        <v>2718</v>
      </c>
      <c r="B44" s="2593" t="str">
        <f>'预评函-2'!O3</f>
        <v>规划建筑面积/㎡</v>
      </c>
    </row>
    <row r="45" spans="1:2">
      <c r="A45" s="2592" t="s">
        <v>2700</v>
      </c>
      <c r="B45" s="2593">
        <f>'预评函-2'!O5</f>
        <v>30803.628000000001</v>
      </c>
    </row>
    <row r="46" spans="1:2">
      <c r="A46" s="2592" t="s">
        <v>2701</v>
      </c>
      <c r="B46" s="2593">
        <f ca="1">'预评函-2'!P5</f>
        <v>36576</v>
      </c>
    </row>
    <row r="47" spans="1:2">
      <c r="A47" s="2592" t="s">
        <v>2702</v>
      </c>
      <c r="B47" s="2593">
        <f ca="1">'预评函-2'!Q5</f>
        <v>6531</v>
      </c>
    </row>
    <row r="48" spans="1:2">
      <c r="A48" s="2592" t="s">
        <v>2703</v>
      </c>
      <c r="B48" s="2593">
        <f ca="1">'预评函-2'!R5</f>
        <v>20119</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 zoomScale="90" zoomScaleNormal="100" zoomScaleSheetLayoutView="90" workbookViewId="0">
      <selection activeCell="F18" sqref="F18"/>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4" t="s">
        <v>1923</v>
      </c>
      <c r="B1" s="3447" t="str">
        <f>IF(B10="北京市","北京市",C10)&amp;F10&amp;B16&amp;"国有建设用地使用权"&amp;B9&amp;"预评估"</f>
        <v>北京市国有建设用地使用权预评估</v>
      </c>
      <c r="C1" s="3448"/>
      <c r="D1" s="3448"/>
      <c r="E1" s="3448"/>
      <c r="F1" s="3448"/>
      <c r="G1" s="3448"/>
      <c r="H1" s="3448"/>
      <c r="I1" s="3449"/>
      <c r="J1" s="3071"/>
      <c r="K1" s="2307" t="str">
        <f>IF(B10="北京市","北京市",C10)&amp;F10&amp;B16&amp;"国有建设用地使用权"&amp;B9</f>
        <v>北京市国有建设用地使用权</v>
      </c>
      <c r="L1" s="3050"/>
      <c r="M1" s="3050"/>
      <c r="N1" s="3051"/>
      <c r="O1" s="3052"/>
      <c r="P1" s="3051"/>
      <c r="Q1" s="3051"/>
      <c r="R1" s="3051"/>
      <c r="S1" s="3051"/>
      <c r="T1" s="3051"/>
      <c r="U1" s="3051"/>
    </row>
    <row r="2" spans="1:21">
      <c r="A2" s="1585" t="s">
        <v>1924</v>
      </c>
      <c r="B2" s="1752"/>
      <c r="D2" s="3071"/>
      <c r="E2" s="3071"/>
      <c r="F2" s="3071"/>
      <c r="G2" s="3071"/>
      <c r="H2" s="3072"/>
      <c r="I2" s="3073"/>
      <c r="J2" s="3071"/>
      <c r="K2" s="2307" t="str">
        <f>IF(B10="北京市","北京市",C10)&amp;F10&amp;B16&amp;"国有建设用地使用权"</f>
        <v>北京市国有建设用地使用权</v>
      </c>
      <c r="L2" s="3050"/>
      <c r="M2" s="3050"/>
      <c r="N2" s="3051"/>
      <c r="O2" s="3052"/>
      <c r="P2" s="3051"/>
      <c r="Q2" s="3051"/>
      <c r="R2" s="3051"/>
      <c r="S2" s="3051"/>
      <c r="T2" s="3051"/>
      <c r="U2" s="3051"/>
    </row>
    <row r="3" spans="1:21">
      <c r="A3" s="1586" t="s">
        <v>1925</v>
      </c>
      <c r="B3" s="1587"/>
      <c r="C3" s="2994" t="s">
        <v>1981</v>
      </c>
      <c r="D3" s="1587">
        <v>44424</v>
      </c>
      <c r="E3" s="3071"/>
      <c r="F3" s="3071"/>
      <c r="G3" s="3071"/>
      <c r="H3" s="3072"/>
      <c r="I3" s="3073"/>
      <c r="J3" s="3071"/>
      <c r="K3" s="3054"/>
      <c r="L3" s="3050"/>
      <c r="M3" s="3050"/>
      <c r="N3" s="3051"/>
      <c r="O3" s="3052"/>
      <c r="P3" s="3051"/>
      <c r="Q3" s="3051"/>
      <c r="R3" s="3051"/>
      <c r="S3" s="3051"/>
      <c r="T3" s="3051"/>
      <c r="U3" s="3051"/>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71"/>
      <c r="K4" s="2307"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0" t="s">
        <v>1927</v>
      </c>
      <c r="B5" s="1700"/>
      <c r="C5" s="1591"/>
      <c r="D5" s="1592"/>
      <c r="E5" s="3071"/>
      <c r="F5" s="3071"/>
      <c r="G5" s="3071"/>
      <c r="H5" s="3072"/>
      <c r="I5" s="3073"/>
      <c r="J5" s="3071"/>
      <c r="K5" s="3054"/>
      <c r="L5" s="3050"/>
      <c r="M5" s="3050"/>
      <c r="N5" s="3051"/>
      <c r="O5" s="3052"/>
      <c r="P5" s="3051"/>
      <c r="Q5" s="3051"/>
      <c r="R5" s="3051"/>
      <c r="S5" s="3051"/>
      <c r="T5" s="3051"/>
      <c r="U5" s="3051"/>
    </row>
    <row r="6" spans="1:21" ht="26.25">
      <c r="A6" s="1588" t="s">
        <v>2684</v>
      </c>
      <c r="B6" s="1700"/>
      <c r="C6" s="1675"/>
      <c r="D6" s="1593"/>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4" t="s">
        <v>2685</v>
      </c>
      <c r="B7" s="1700"/>
      <c r="C7" s="1675"/>
      <c r="D7" s="1593"/>
      <c r="E7" s="3071"/>
      <c r="F7" s="3071"/>
      <c r="G7" s="3071"/>
      <c r="H7" s="3072"/>
      <c r="I7" s="3073"/>
      <c r="J7" s="3071"/>
      <c r="K7" s="3054"/>
      <c r="L7" s="3050"/>
      <c r="M7" s="3050"/>
      <c r="N7" s="3051"/>
      <c r="O7" s="3052"/>
      <c r="P7" s="3051"/>
      <c r="Q7" s="3051"/>
      <c r="R7" s="3051"/>
      <c r="S7" s="3051"/>
      <c r="T7" s="3051"/>
      <c r="U7" s="3051"/>
    </row>
    <row r="8" spans="1:21">
      <c r="A8" s="2995" t="s">
        <v>1928</v>
      </c>
      <c r="B8" s="1595" t="s">
        <v>3040</v>
      </c>
      <c r="C8" s="1596"/>
      <c r="D8" s="3453" t="s">
        <v>1930</v>
      </c>
      <c r="E8" s="1754"/>
      <c r="F8" s="1597"/>
      <c r="G8" s="3072"/>
      <c r="H8" s="3072"/>
      <c r="I8" s="3075"/>
      <c r="J8" s="3071"/>
      <c r="K8" s="3054"/>
      <c r="L8" s="3050"/>
      <c r="M8" s="3050"/>
      <c r="N8" s="3051"/>
      <c r="O8" s="3052"/>
      <c r="P8" s="3051"/>
      <c r="Q8" s="3051"/>
      <c r="R8" s="3051"/>
      <c r="S8" s="3051"/>
      <c r="T8" s="3051"/>
      <c r="U8" s="3051"/>
    </row>
    <row r="9" spans="1:21" ht="15" thickBot="1">
      <c r="A9" s="2996" t="s">
        <v>1929</v>
      </c>
      <c r="B9" s="1598"/>
      <c r="C9" s="1599"/>
      <c r="D9" s="3454"/>
      <c r="E9" s="1598"/>
      <c r="F9" s="1661"/>
      <c r="G9" s="3076"/>
      <c r="H9" s="3076"/>
      <c r="I9" s="3077"/>
      <c r="J9" s="3071"/>
      <c r="K9" s="3054"/>
      <c r="L9" s="3050"/>
      <c r="M9" s="3050"/>
      <c r="N9" s="3051"/>
      <c r="O9" s="3052"/>
      <c r="P9" s="3051"/>
      <c r="Q9" s="3051"/>
      <c r="R9" s="3051"/>
      <c r="S9" s="3051"/>
      <c r="T9" s="3051"/>
      <c r="U9" s="3051"/>
    </row>
    <row r="10" spans="1:21" ht="15" thickTop="1">
      <c r="A10" s="2997" t="s">
        <v>1985</v>
      </c>
      <c r="B10" s="1637" t="s">
        <v>1931</v>
      </c>
      <c r="C10" s="1600"/>
      <c r="D10" s="1592"/>
      <c r="E10" s="1601" t="s">
        <v>1932</v>
      </c>
      <c r="F10" s="1602"/>
      <c r="G10" s="1659"/>
      <c r="H10" s="1660"/>
      <c r="I10" s="1592"/>
      <c r="J10" s="3071"/>
      <c r="K10" s="3054"/>
      <c r="L10" s="3050"/>
      <c r="M10" s="3050"/>
      <c r="N10" s="3051"/>
      <c r="O10" s="3052"/>
      <c r="P10" s="3051"/>
      <c r="Q10" s="3051"/>
      <c r="R10" s="3051"/>
      <c r="S10" s="3051"/>
      <c r="T10" s="3051"/>
      <c r="U10" s="3051"/>
    </row>
    <row r="11" spans="1:21">
      <c r="A11" s="2998" t="s">
        <v>1986</v>
      </c>
      <c r="B11" s="1617"/>
      <c r="C11" s="1603"/>
      <c r="D11" s="1676"/>
      <c r="E11" s="3070"/>
      <c r="F11" s="3070"/>
      <c r="G11" s="3070"/>
      <c r="H11" s="3070"/>
      <c r="I11" s="3070"/>
      <c r="J11" s="3071"/>
      <c r="K11" s="3054"/>
      <c r="L11" s="3050"/>
      <c r="M11" s="3050"/>
      <c r="N11" s="3051"/>
      <c r="O11" s="3052"/>
      <c r="P11" s="3051"/>
      <c r="Q11" s="3051"/>
      <c r="R11" s="3051"/>
      <c r="S11" s="3051"/>
      <c r="T11" s="3051"/>
      <c r="U11" s="3051"/>
    </row>
    <row r="12" spans="1:21">
      <c r="A12" s="1696" t="s">
        <v>2044</v>
      </c>
      <c r="B12" s="3450"/>
      <c r="C12" s="3451"/>
      <c r="D12" s="3452"/>
      <c r="E12" s="1618" t="s">
        <v>2047</v>
      </c>
      <c r="F12" s="3468" t="s">
        <v>2866</v>
      </c>
      <c r="G12" s="3469"/>
      <c r="H12" s="3469"/>
      <c r="I12" s="3470"/>
      <c r="J12" s="3071"/>
      <c r="K12" s="3054"/>
      <c r="L12" s="3050"/>
      <c r="M12" s="3050"/>
      <c r="N12" s="3051"/>
      <c r="O12" s="3052"/>
      <c r="P12" s="3051"/>
      <c r="Q12" s="3051"/>
      <c r="R12" s="3051"/>
      <c r="S12" s="3051"/>
      <c r="T12" s="3051"/>
      <c r="U12" s="3051"/>
    </row>
    <row r="13" spans="1:21">
      <c r="A13" s="1609" t="s">
        <v>2045</v>
      </c>
      <c r="B13" s="3450"/>
      <c r="C13" s="3451"/>
      <c r="D13" s="3452"/>
      <c r="E13" s="1618" t="s">
        <v>2047</v>
      </c>
      <c r="F13" s="3468" t="s">
        <v>2867</v>
      </c>
      <c r="G13" s="3469"/>
      <c r="H13" s="3469"/>
      <c r="I13" s="3470"/>
      <c r="J13" s="3071"/>
      <c r="K13" s="3054"/>
      <c r="L13" s="3050"/>
      <c r="M13" s="3050"/>
      <c r="N13" s="3051"/>
      <c r="O13" s="3052"/>
      <c r="P13" s="3051"/>
      <c r="Q13" s="3051"/>
      <c r="R13" s="3051"/>
      <c r="S13" s="3051"/>
      <c r="T13" s="3051"/>
      <c r="U13" s="3051"/>
    </row>
    <row r="14" spans="1:21">
      <c r="A14" s="1586" t="s">
        <v>2048</v>
      </c>
      <c r="B14" s="1618"/>
      <c r="C14" s="1755"/>
      <c r="D14" s="1651" t="str">
        <f>IF(C14="不一致","是否符合证载地类范围","")</f>
        <v/>
      </c>
      <c r="E14" s="1618"/>
      <c r="F14" s="1701"/>
      <c r="G14" s="1646"/>
      <c r="H14" s="1646"/>
      <c r="I14" s="1748"/>
      <c r="J14" s="3071"/>
      <c r="K14" s="3054"/>
      <c r="L14" s="3050"/>
      <c r="M14" s="3050"/>
      <c r="N14" s="3051"/>
      <c r="O14" s="3052"/>
      <c r="P14" s="3051"/>
      <c r="Q14" s="3051"/>
      <c r="R14" s="3051"/>
      <c r="S14" s="3051"/>
      <c r="T14" s="3051"/>
      <c r="U14" s="3051"/>
    </row>
    <row r="15" spans="1:21" hidden="1">
      <c r="A15" s="2484"/>
      <c r="B15" s="1588"/>
      <c r="C15" s="1588"/>
      <c r="D15" s="1680" t="s">
        <v>1935</v>
      </c>
      <c r="E15" s="1680" t="s">
        <v>1936</v>
      </c>
      <c r="F15" s="1680" t="s">
        <v>1937</v>
      </c>
      <c r="G15" s="1608" t="s">
        <v>1938</v>
      </c>
      <c r="H15" s="1608" t="s">
        <v>1939</v>
      </c>
      <c r="I15" s="1608" t="s">
        <v>1940</v>
      </c>
      <c r="J15" s="3071"/>
      <c r="K15" s="3054"/>
      <c r="L15" s="3050"/>
      <c r="M15" s="3050"/>
      <c r="N15" s="3051"/>
      <c r="O15" s="3052"/>
      <c r="P15" s="3051"/>
      <c r="Q15" s="3051"/>
      <c r="R15" s="3051"/>
      <c r="S15" s="3051"/>
      <c r="T15" s="3051"/>
      <c r="U15" s="3051"/>
    </row>
    <row r="16" spans="1:21" ht="28.5">
      <c r="A16" s="2999" t="s">
        <v>1933</v>
      </c>
      <c r="B16" s="1604"/>
      <c r="C16" s="1618" t="s">
        <v>1934</v>
      </c>
      <c r="D16" s="2485" t="s">
        <v>1935</v>
      </c>
      <c r="E16" s="1640" t="s">
        <v>3028</v>
      </c>
      <c r="F16" s="1640" t="s">
        <v>1665</v>
      </c>
      <c r="G16" s="1640"/>
      <c r="H16" s="1640"/>
      <c r="I16" s="1608" t="s">
        <v>1940</v>
      </c>
      <c r="J16" s="3071"/>
      <c r="K16" s="2308" t="str">
        <f>IF(D17="","",D16&amp;TEXT(D17,"yyyy年m月d日;;"))</f>
        <v>住宅2091年8月21日</v>
      </c>
      <c r="L16" s="1618" t="str">
        <f>IF(OR(K16="",M16=""),"","、")</f>
        <v>、</v>
      </c>
      <c r="M16" s="2308" t="str">
        <f>IF(E17="","",E16&amp;TEXT(E17,"yyyy年m月d日;;"))</f>
        <v>商业2061年8月21日</v>
      </c>
      <c r="N16" s="1618" t="str">
        <f>IF(OR(M16="",O16=""),"","、")</f>
        <v>、</v>
      </c>
      <c r="O16" s="2308" t="str">
        <f>IF(F17="","",F16&amp;TEXT(F17,"yyyy年m月d日;;"))</f>
        <v>办公2071年8月21日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3000" t="s">
        <v>1941</v>
      </c>
      <c r="D17" s="3273">
        <v>69996</v>
      </c>
      <c r="E17" s="3273">
        <v>59039</v>
      </c>
      <c r="F17" s="3273">
        <v>62691</v>
      </c>
      <c r="G17" s="3273"/>
      <c r="H17" s="3273"/>
      <c r="I17" s="3273"/>
      <c r="J17" s="3071"/>
      <c r="K17" s="3049" t="str">
        <f>CONCATENATE(K16,L16,M16,N16,O16,P16,Q16,R16,S16,T16,,U16)</f>
        <v>住宅2091年8月21日、商业2061年8月21日、办公2071年8月21日</v>
      </c>
      <c r="L17" s="3050"/>
      <c r="M17" s="3050"/>
      <c r="N17" s="3051"/>
      <c r="O17" s="3052"/>
      <c r="P17" s="3051"/>
      <c r="Q17" s="3051"/>
      <c r="R17" s="3051"/>
      <c r="S17" s="3051"/>
      <c r="T17" s="3051"/>
      <c r="U17" s="3051"/>
    </row>
    <row r="18" spans="1:21">
      <c r="A18" s="1677"/>
      <c r="B18" s="1605"/>
      <c r="C18" s="3000" t="s">
        <v>1942</v>
      </c>
      <c r="D18" s="1606">
        <v>70</v>
      </c>
      <c r="E18" s="1606">
        <v>40</v>
      </c>
      <c r="F18" s="1606">
        <v>50</v>
      </c>
      <c r="G18" s="1606"/>
      <c r="H18" s="1606"/>
      <c r="I18" s="1606"/>
      <c r="J18" s="3071"/>
      <c r="K18" s="3054"/>
      <c r="L18" s="3050"/>
      <c r="M18" s="3050"/>
      <c r="N18" s="3051"/>
      <c r="O18" s="3052"/>
      <c r="P18" s="3051"/>
      <c r="Q18" s="3051"/>
      <c r="R18" s="3051"/>
      <c r="S18" s="3051"/>
      <c r="T18" s="3051"/>
      <c r="U18" s="3051"/>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71"/>
      <c r="K19" s="3054"/>
      <c r="L19" s="3050"/>
      <c r="M19" s="3050"/>
      <c r="N19" s="3051"/>
      <c r="O19" s="3052"/>
      <c r="P19" s="3051"/>
      <c r="Q19" s="3051"/>
      <c r="R19" s="3051"/>
      <c r="S19" s="3051"/>
      <c r="T19" s="3051"/>
      <c r="U19" s="3051"/>
    </row>
    <row r="20" spans="1:21">
      <c r="A20" s="1697"/>
      <c r="B20" s="1698"/>
      <c r="C20" s="1699" t="s">
        <v>2046</v>
      </c>
      <c r="D20" s="3465"/>
      <c r="E20" s="3466"/>
      <c r="F20" s="3466"/>
      <c r="G20" s="3466"/>
      <c r="H20" s="3466"/>
      <c r="I20" s="3467"/>
      <c r="J20" s="3071"/>
      <c r="K20" s="3054"/>
      <c r="L20" s="3050"/>
      <c r="M20" s="3050"/>
      <c r="N20" s="3051"/>
      <c r="O20" s="3052"/>
      <c r="P20" s="3051"/>
      <c r="Q20" s="3051"/>
      <c r="R20" s="3051"/>
      <c r="S20" s="3051"/>
      <c r="T20" s="3051"/>
      <c r="U20" s="3051"/>
    </row>
    <row r="21" spans="1:21">
      <c r="A21" s="1677" t="s">
        <v>1944</v>
      </c>
      <c r="B21" s="1678" t="s">
        <v>1945</v>
      </c>
      <c r="C21" s="1673">
        <f>'数据-汇总表'!E3</f>
        <v>30803.628000000001</v>
      </c>
      <c r="D21" s="1674" t="s">
        <v>1946</v>
      </c>
      <c r="E21" s="3455" t="s">
        <v>1984</v>
      </c>
      <c r="F21" s="3456"/>
      <c r="G21" s="3456"/>
      <c r="H21" s="3456"/>
      <c r="I21" s="3457"/>
      <c r="J21" s="3071"/>
      <c r="K21" s="3054"/>
      <c r="L21" s="3050"/>
      <c r="M21" s="3050"/>
      <c r="N21" s="3051"/>
      <c r="O21" s="3052"/>
      <c r="P21" s="3051"/>
      <c r="Q21" s="3051"/>
      <c r="R21" s="3051"/>
      <c r="S21" s="3051"/>
      <c r="T21" s="3051"/>
      <c r="U21" s="3051"/>
    </row>
    <row r="22" spans="1:21">
      <c r="A22" s="2799" t="s">
        <v>941</v>
      </c>
      <c r="B22" s="1586" t="s">
        <v>1947</v>
      </c>
      <c r="C22" s="1608">
        <f>'数据-汇总表'!D3</f>
        <v>5500.65</v>
      </c>
      <c r="D22" s="1609" t="s">
        <v>1946</v>
      </c>
      <c r="E22" s="3455" t="s">
        <v>2868</v>
      </c>
      <c r="F22" s="3456"/>
      <c r="G22" s="3456"/>
      <c r="H22" s="3456"/>
      <c r="I22" s="3457"/>
      <c r="J22" s="3071"/>
      <c r="K22" s="3054"/>
      <c r="L22" s="3050"/>
      <c r="M22" s="3050"/>
      <c r="N22" s="3051"/>
      <c r="O22" s="3052"/>
      <c r="P22" s="3051"/>
      <c r="Q22" s="3051"/>
      <c r="R22" s="3051"/>
      <c r="S22" s="3051"/>
      <c r="T22" s="3051"/>
      <c r="U22" s="3051"/>
    </row>
    <row r="23" spans="1:21" ht="43.5" thickBot="1">
      <c r="A23" s="1679" t="s">
        <v>1948</v>
      </c>
      <c r="B23" s="1619" t="s">
        <v>1949</v>
      </c>
      <c r="C23" s="1620"/>
      <c r="D23" s="1621" t="s">
        <v>1950</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1951</v>
      </c>
      <c r="B24" s="3458" t="s">
        <v>1952</v>
      </c>
      <c r="C24" s="3459"/>
      <c r="D24" s="3460" t="s">
        <v>1953</v>
      </c>
      <c r="E24" s="3461"/>
      <c r="F24" s="1626" t="s">
        <v>1954</v>
      </c>
      <c r="G24" s="3071"/>
      <c r="H24" s="3071"/>
      <c r="I24" s="3075"/>
      <c r="J24" s="3071"/>
      <c r="K24" s="3446"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2310</v>
      </c>
      <c r="C25" s="1627" t="s">
        <v>1956</v>
      </c>
      <c r="D25" s="1628"/>
      <c r="E25" s="1629" t="s">
        <v>941</v>
      </c>
      <c r="F25" s="1630"/>
      <c r="G25" s="3071"/>
      <c r="H25" s="3071"/>
      <c r="I25" s="3075"/>
      <c r="J25" s="3071"/>
      <c r="K25" s="3446"/>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1957</v>
      </c>
      <c r="C26" s="1627" t="s">
        <v>2311</v>
      </c>
      <c r="D26" s="3072"/>
      <c r="E26" s="3072"/>
      <c r="F26" s="3078"/>
      <c r="G26" s="3071"/>
      <c r="H26" s="3071"/>
      <c r="I26" s="3075"/>
      <c r="J26" s="3071"/>
      <c r="K26" s="3446"/>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1958</v>
      </c>
      <c r="B27" s="1667" t="s">
        <v>1959</v>
      </c>
      <c r="C27" s="1631"/>
      <c r="D27" s="2490" t="s">
        <v>1959</v>
      </c>
      <c r="E27" s="1632"/>
      <c r="F27" s="3078"/>
      <c r="G27" s="3071"/>
      <c r="H27" s="3071"/>
      <c r="I27" s="3075"/>
      <c r="J27" s="3071"/>
      <c r="K27" s="3054"/>
      <c r="L27" s="3050"/>
      <c r="M27" s="3050"/>
      <c r="N27" s="3051"/>
      <c r="O27" s="3052"/>
      <c r="P27" s="3051"/>
      <c r="Q27" s="3051"/>
      <c r="R27" s="3051"/>
      <c r="S27" s="3051"/>
      <c r="T27" s="3051"/>
      <c r="U27" s="3051"/>
    </row>
    <row r="28" spans="1:21">
      <c r="A28" s="1670"/>
      <c r="B28" s="1667" t="s">
        <v>1960</v>
      </c>
      <c r="C28" s="1633"/>
      <c r="D28" s="2491" t="s">
        <v>1960</v>
      </c>
      <c r="E28" s="1634"/>
      <c r="F28" s="3078"/>
      <c r="G28" s="3071"/>
      <c r="H28" s="3071"/>
      <c r="I28" s="3075"/>
      <c r="J28" s="3071"/>
      <c r="K28" s="3054"/>
      <c r="L28" s="3050"/>
      <c r="M28" s="3050"/>
      <c r="N28" s="3051"/>
      <c r="O28" s="3052"/>
      <c r="P28" s="3051"/>
      <c r="Q28" s="3051"/>
      <c r="R28" s="3051"/>
      <c r="S28" s="3051"/>
      <c r="T28" s="3051"/>
      <c r="U28" s="3051"/>
    </row>
    <row r="29" spans="1:21">
      <c r="A29" s="1670"/>
      <c r="B29" s="1667" t="s">
        <v>1961</v>
      </c>
      <c r="C29" s="1633"/>
      <c r="D29" s="2491" t="s">
        <v>1961</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1962</v>
      </c>
      <c r="C30" s="1635"/>
      <c r="D30" s="2492" t="s">
        <v>1962</v>
      </c>
      <c r="E30" s="1636"/>
      <c r="F30" s="3079"/>
      <c r="G30" s="3076"/>
      <c r="H30" s="3076"/>
      <c r="I30" s="3077"/>
      <c r="J30" s="3071"/>
      <c r="K30" s="3054"/>
      <c r="L30" s="3050"/>
      <c r="M30" s="3050"/>
      <c r="N30" s="3051"/>
      <c r="O30" s="3052"/>
      <c r="P30" s="3051"/>
      <c r="Q30" s="3051"/>
      <c r="R30" s="3051"/>
      <c r="S30" s="3051"/>
      <c r="T30" s="3051"/>
      <c r="U30" s="3051"/>
    </row>
    <row r="31" spans="1:21" ht="15" thickTop="1">
      <c r="A31" s="3432" t="s">
        <v>1987</v>
      </c>
      <c r="B31" s="1678" t="s">
        <v>1988</v>
      </c>
      <c r="C31" s="3471"/>
      <c r="D31" s="3472"/>
      <c r="E31" s="3071"/>
      <c r="F31" s="3071"/>
      <c r="G31" s="3071"/>
      <c r="H31" s="3071"/>
      <c r="I31" s="3075"/>
      <c r="J31" s="3071"/>
      <c r="K31" s="3057"/>
      <c r="L31" s="3051"/>
      <c r="M31" s="3051"/>
      <c r="N31" s="3051"/>
      <c r="O31" s="3051"/>
      <c r="P31" s="3051"/>
      <c r="Q31" s="3051"/>
      <c r="R31" s="3051"/>
      <c r="S31" s="3051"/>
      <c r="T31" s="3051"/>
      <c r="U31" s="3051"/>
    </row>
    <row r="32" spans="1:21">
      <c r="A32" s="3432"/>
      <c r="B32" s="1586" t="s">
        <v>1989</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432"/>
      <c r="B33" s="1586" t="s">
        <v>1990</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433"/>
      <c r="B34" s="1586" t="s">
        <v>1991</v>
      </c>
      <c r="C34" s="3434"/>
      <c r="D34" s="3435"/>
      <c r="E34" s="3071"/>
      <c r="F34" s="3071"/>
      <c r="G34" s="3071"/>
      <c r="H34" s="3071"/>
      <c r="I34" s="3075"/>
      <c r="J34" s="3071"/>
      <c r="K34" s="3057"/>
      <c r="L34" s="3051"/>
      <c r="M34" s="3051"/>
      <c r="N34" s="3051"/>
      <c r="O34" s="3051"/>
      <c r="P34" s="3051"/>
      <c r="Q34" s="3051"/>
      <c r="R34" s="3051"/>
      <c r="S34" s="3051"/>
      <c r="T34" s="3051"/>
      <c r="U34" s="3051"/>
    </row>
    <row r="35" spans="1:28">
      <c r="A35" s="3436" t="s">
        <v>837</v>
      </c>
      <c r="B35" s="1640"/>
      <c r="C35" s="1687" t="str">
        <f>IF(B35="场地平整","——","具体情况：")</f>
        <v>具体情况：</v>
      </c>
      <c r="D35" s="3438"/>
      <c r="E35" s="3439"/>
      <c r="F35" s="3439"/>
      <c r="G35" s="3439"/>
      <c r="H35" s="3439"/>
      <c r="I35" s="3440"/>
      <c r="J35" s="3071"/>
      <c r="K35" s="3058"/>
      <c r="L35" s="3050"/>
      <c r="M35" s="3050"/>
      <c r="N35" s="3051"/>
      <c r="O35" s="3052"/>
      <c r="P35" s="3051"/>
      <c r="Q35" s="3051"/>
      <c r="R35" s="3051"/>
      <c r="S35" s="3051"/>
      <c r="T35" s="3051"/>
      <c r="U35" s="3051"/>
    </row>
    <row r="36" spans="1:28">
      <c r="A36" s="3432"/>
      <c r="B36" s="3441" t="s">
        <v>2040</v>
      </c>
      <c r="C36" s="3442"/>
      <c r="D36" s="1703"/>
      <c r="E36" s="3443"/>
      <c r="F36" s="3443"/>
      <c r="G36" s="1609" t="str">
        <f>IF(B35="场地未平整","估价结果处理","")</f>
        <v/>
      </c>
      <c r="H36" s="3444"/>
      <c r="I36" s="3444"/>
      <c r="J36" s="3071"/>
      <c r="K36" s="3058"/>
      <c r="L36" s="3050"/>
      <c r="M36" s="3050"/>
      <c r="N36" s="3051"/>
      <c r="O36" s="3052"/>
      <c r="P36" s="3051"/>
      <c r="Q36" s="3051"/>
      <c r="R36" s="3051"/>
      <c r="S36" s="3051"/>
      <c r="T36" s="3051"/>
      <c r="U36" s="3051"/>
    </row>
    <row r="37" spans="1:28" ht="28.5">
      <c r="A37" s="3432"/>
      <c r="B37" s="3462" t="s">
        <v>838</v>
      </c>
      <c r="C37" s="1642" t="s">
        <v>839</v>
      </c>
      <c r="D37" s="1643"/>
      <c r="E37" s="1644"/>
      <c r="F37" s="3071"/>
      <c r="G37" s="3071"/>
      <c r="H37" s="3071"/>
      <c r="I37" s="3075"/>
      <c r="J37" s="3071"/>
      <c r="K37" s="3058"/>
      <c r="L37" s="3051"/>
      <c r="M37" s="3051"/>
      <c r="N37" s="3051"/>
      <c r="O37" s="3051"/>
      <c r="P37" s="3051"/>
      <c r="Q37" s="3051"/>
      <c r="R37" s="3051"/>
      <c r="S37" s="3051"/>
      <c r="T37" s="3051"/>
      <c r="U37" s="3051"/>
    </row>
    <row r="38" spans="1:28">
      <c r="A38" s="3432"/>
      <c r="B38" s="3463"/>
      <c r="C38" s="1594" t="s">
        <v>840</v>
      </c>
      <c r="D38" s="1702">
        <f>ROUNDDOWN(MIN(('数据-取费表'!$B$2-D37)/365,D34),1)</f>
        <v>121.7</v>
      </c>
      <c r="E38" s="1645" t="s">
        <v>841</v>
      </c>
      <c r="F38" s="3071"/>
      <c r="G38" s="3071"/>
      <c r="H38" s="3071"/>
      <c r="I38" s="3075"/>
      <c r="J38" s="3071"/>
      <c r="K38" s="3058"/>
      <c r="L38" s="3051"/>
      <c r="M38" s="3051"/>
      <c r="N38" s="3051"/>
      <c r="O38" s="3051"/>
      <c r="P38" s="3051"/>
      <c r="Q38" s="3051"/>
      <c r="R38" s="3051"/>
      <c r="S38" s="3051"/>
      <c r="T38" s="3051"/>
      <c r="U38" s="3051"/>
    </row>
    <row r="39" spans="1:28">
      <c r="A39" s="3433"/>
      <c r="B39" s="3464"/>
      <c r="C39" s="1616"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9" t="s">
        <v>1963</v>
      </c>
      <c r="B40" s="1610"/>
      <c r="C40" s="1610"/>
      <c r="D40" s="1610"/>
      <c r="E40" s="1610"/>
      <c r="F40" s="1610"/>
      <c r="G40" s="1610"/>
      <c r="H40" s="1610"/>
      <c r="I40" s="3075"/>
      <c r="J40" s="3071"/>
      <c r="K40" s="3019">
        <f>COUNTIF(B40:H40,"——")</f>
        <v>0</v>
      </c>
      <c r="L40" s="1618" t="s">
        <v>1964</v>
      </c>
      <c r="M40" s="1615" t="s">
        <v>1965</v>
      </c>
      <c r="N40" s="1615" t="s">
        <v>1966</v>
      </c>
      <c r="O40" s="1615" t="s">
        <v>1967</v>
      </c>
      <c r="P40" s="1615" t="s">
        <v>1968</v>
      </c>
      <c r="Q40" s="1615" t="s">
        <v>1969</v>
      </c>
      <c r="R40" s="1615" t="s">
        <v>1970</v>
      </c>
      <c r="S40" s="3445" t="s">
        <v>1971</v>
      </c>
      <c r="T40" s="1649" t="str">
        <f>NUMBERSTRING(7-K40,1)&amp;"通"</f>
        <v>七通</v>
      </c>
      <c r="U40" s="3051"/>
    </row>
    <row r="41" spans="1:28">
      <c r="A41" s="1588"/>
      <c r="B41" s="3437" t="s">
        <v>1709</v>
      </c>
      <c r="C41" s="3437"/>
      <c r="D41" s="3437"/>
      <c r="E41" s="3437"/>
      <c r="F41" s="1650">
        <f>C10</f>
        <v>0</v>
      </c>
      <c r="G41" s="3071"/>
      <c r="H41" s="3071"/>
      <c r="I41" s="3075"/>
      <c r="J41" s="3071"/>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445"/>
      <c r="T41" s="1651" t="str">
        <f>IF(T40="一通",L41,IF(T40="二通",M41,IF(T40="三通",N41,IF(T40="四通",O41,IF(T40="五通",P41,IF(T40="六通",Q41,R41))))))</f>
        <v>、、、、、、</v>
      </c>
      <c r="U41" s="3051"/>
    </row>
    <row r="42" spans="1:28">
      <c r="A42" s="1653"/>
      <c r="B42" s="1680" t="s">
        <v>1885</v>
      </c>
      <c r="C42" s="1680" t="s">
        <v>1886</v>
      </c>
      <c r="D42" s="1680" t="s">
        <v>1887</v>
      </c>
      <c r="E42" s="1618" t="s">
        <v>1888</v>
      </c>
      <c r="F42" s="1654"/>
      <c r="G42" s="3071"/>
      <c r="H42" s="3071"/>
      <c r="I42" s="3075"/>
      <c r="J42" s="3071"/>
      <c r="K42" s="3054"/>
      <c r="L42" s="3050"/>
      <c r="M42" s="3050"/>
      <c r="N42" s="3051"/>
      <c r="O42" s="3052"/>
      <c r="P42" s="3051"/>
      <c r="Q42" s="3051"/>
      <c r="R42" s="3051"/>
      <c r="S42" s="3051"/>
      <c r="T42" s="3051"/>
      <c r="U42" s="3051"/>
    </row>
    <row r="43" spans="1:28">
      <c r="A43" s="3022" t="s">
        <v>1694</v>
      </c>
      <c r="B43" s="1655" t="s">
        <v>1398</v>
      </c>
      <c r="C43" s="1655" t="s">
        <v>1398</v>
      </c>
      <c r="D43" s="1655" t="s">
        <v>1398</v>
      </c>
      <c r="E43" s="1655"/>
      <c r="F43" s="1656"/>
      <c r="G43" s="3071"/>
      <c r="H43" s="3071"/>
      <c r="I43" s="3075"/>
      <c r="J43" s="3071"/>
      <c r="K43" s="3054"/>
      <c r="L43" s="3050"/>
      <c r="M43" s="3050"/>
      <c r="N43" s="3051"/>
      <c r="O43" s="3052"/>
      <c r="P43" s="3051"/>
      <c r="Q43" s="3051"/>
      <c r="R43" s="3051"/>
      <c r="S43" s="3051"/>
      <c r="T43" s="3051"/>
      <c r="U43" s="3051"/>
    </row>
    <row r="44" spans="1:28">
      <c r="A44" s="3022" t="s">
        <v>1695</v>
      </c>
      <c r="B44" s="1655" t="s">
        <v>1304</v>
      </c>
      <c r="C44" s="1655" t="s">
        <v>1304</v>
      </c>
      <c r="D44" s="1655" t="s">
        <v>1304</v>
      </c>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2869</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5"/>
      <c r="J46" s="1613"/>
      <c r="K46" s="3054"/>
      <c r="L46" s="3050"/>
      <c r="M46" s="3050"/>
      <c r="N46" s="3051"/>
      <c r="O46" s="3052"/>
      <c r="P46" s="3051"/>
      <c r="Q46" s="3051"/>
      <c r="R46" s="3051"/>
      <c r="S46" s="3051"/>
      <c r="T46" s="3051"/>
      <c r="U46" s="3051"/>
    </row>
    <row r="47" spans="1:28">
      <c r="A47" s="1657" t="s">
        <v>1992</v>
      </c>
      <c r="B47" s="1658"/>
      <c r="C47" s="1647"/>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64" t="s">
        <v>2003</v>
      </c>
      <c r="L48" s="3064" t="s">
        <v>2004</v>
      </c>
      <c r="M48" s="3064" t="s">
        <v>2005</v>
      </c>
      <c r="N48" s="3065" t="s">
        <v>2006</v>
      </c>
      <c r="O48" s="3065" t="s">
        <v>2007</v>
      </c>
      <c r="P48" s="3065" t="s">
        <v>2008</v>
      </c>
      <c r="Q48" s="3056" t="s">
        <v>2009</v>
      </c>
      <c r="R48" s="3056" t="s">
        <v>2010</v>
      </c>
      <c r="S48" s="3051"/>
      <c r="T48" s="3051"/>
      <c r="U48" s="3051"/>
    </row>
    <row r="49" spans="1:21">
      <c r="A49" s="1615"/>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5"/>
      <c r="B50" s="1615"/>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5"/>
      <c r="B51" s="1615"/>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5"/>
      <c r="B52" s="1615"/>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5"/>
      <c r="B53" s="1615"/>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5"/>
      <c r="B54" s="1615"/>
      <c r="C54" s="1615"/>
      <c r="D54" s="1615"/>
      <c r="E54" s="1615"/>
      <c r="F54" s="1648"/>
      <c r="G54" s="1615"/>
      <c r="H54" s="1615"/>
      <c r="I54" s="1615"/>
      <c r="J54" s="1751"/>
      <c r="K54" s="3066"/>
      <c r="L54" s="3066"/>
      <c r="M54" s="3066"/>
      <c r="N54" s="3018"/>
      <c r="O54" s="3018"/>
      <c r="P54" s="3018"/>
      <c r="Q54" s="3018"/>
      <c r="R54" s="3018"/>
      <c r="S54" s="3051"/>
      <c r="T54" s="3051"/>
      <c r="U54" s="3051"/>
    </row>
    <row r="55" spans="1:21">
      <c r="A55" s="1615"/>
      <c r="B55" s="1615"/>
      <c r="C55" s="1615"/>
      <c r="D55" s="1615"/>
      <c r="E55" s="1615"/>
      <c r="F55" s="1648"/>
      <c r="G55" s="1615"/>
      <c r="H55" s="1615"/>
      <c r="I55" s="1615"/>
      <c r="J55" s="1751"/>
      <c r="K55" s="3066"/>
      <c r="L55" s="3066"/>
      <c r="M55" s="3066"/>
      <c r="N55" s="3018"/>
      <c r="O55" s="3018"/>
      <c r="P55" s="3018"/>
      <c r="Q55" s="3018"/>
      <c r="R55" s="3018"/>
      <c r="S55" s="3051"/>
      <c r="T55" s="3051"/>
      <c r="U55" s="3051"/>
    </row>
    <row r="56" spans="1:21">
      <c r="A56" s="1615"/>
      <c r="B56" s="1615"/>
      <c r="C56" s="1615"/>
      <c r="D56" s="1615"/>
      <c r="E56" s="1615"/>
      <c r="F56" s="1648"/>
      <c r="G56" s="1615"/>
      <c r="H56" s="1615"/>
      <c r="I56" s="1615"/>
      <c r="J56" s="1751"/>
      <c r="K56" s="3066"/>
      <c r="L56" s="3066"/>
      <c r="M56" s="3066"/>
      <c r="N56" s="3018"/>
      <c r="O56" s="3018"/>
      <c r="P56" s="3018"/>
      <c r="Q56" s="3018"/>
      <c r="R56" s="3018"/>
      <c r="S56" s="3051"/>
      <c r="T56" s="3051"/>
      <c r="U56" s="3051"/>
    </row>
    <row r="57" spans="1:21">
      <c r="A57" s="1615"/>
      <c r="B57" s="1615"/>
      <c r="C57" s="1615"/>
      <c r="D57" s="1615"/>
      <c r="E57" s="1615"/>
      <c r="F57" s="1648"/>
      <c r="G57" s="1615"/>
      <c r="H57" s="1615"/>
      <c r="I57" s="1615"/>
      <c r="J57" s="1751"/>
      <c r="K57" s="3066"/>
      <c r="L57" s="3066"/>
      <c r="M57" s="3066"/>
      <c r="N57" s="3018"/>
      <c r="O57" s="3018"/>
      <c r="P57" s="3018"/>
      <c r="Q57" s="3018"/>
      <c r="R57" s="3018"/>
      <c r="S57" s="3051"/>
      <c r="T57" s="3051"/>
      <c r="U57" s="3051"/>
    </row>
    <row r="58" spans="1:21">
      <c r="A58" s="1615"/>
      <c r="B58" s="1615"/>
      <c r="C58" s="1615"/>
      <c r="D58" s="1615"/>
      <c r="E58" s="1615"/>
      <c r="F58" s="1648"/>
      <c r="G58" s="1615"/>
      <c r="H58" s="1615"/>
      <c r="I58" s="1615"/>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4" sqref="M1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41">
        <v>5500.6480000000001</v>
      </c>
      <c r="B3" s="21">
        <f>IF(C3="否",G5-AT5,G5)</f>
        <v>30803.628000000001</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30803.628000000001</v>
      </c>
      <c r="H5" s="26">
        <f t="shared" ref="H5:AT5" si="0">SUM(H13:H641)</f>
        <v>30803.628000000001</v>
      </c>
      <c r="I5" s="26">
        <f t="shared" si="0"/>
        <v>0</v>
      </c>
      <c r="J5" s="26">
        <f t="shared" si="0"/>
        <v>0</v>
      </c>
      <c r="K5" s="26">
        <f t="shared" si="0"/>
        <v>15401.814</v>
      </c>
      <c r="L5" s="26">
        <f t="shared" si="0"/>
        <v>0</v>
      </c>
      <c r="M5" s="26">
        <f t="shared" si="0"/>
        <v>15401.814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30803.628000000001</v>
      </c>
      <c r="BA5" s="28">
        <f t="shared" si="1"/>
        <v>30803.628000000001</v>
      </c>
      <c r="BB5" s="28">
        <f t="shared" si="1"/>
        <v>0</v>
      </c>
      <c r="BC5" s="28">
        <f t="shared" si="1"/>
        <v>15401.814</v>
      </c>
      <c r="BD5" s="28">
        <f t="shared" si="1"/>
        <v>15401.814</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5500.64</v>
      </c>
      <c r="F6" s="26" t="s">
        <v>1</v>
      </c>
      <c r="G6" s="26" t="s">
        <v>2</v>
      </c>
      <c r="H6" s="32">
        <f>SUMIF(I$12:AB$12,"总值",I6:AB6)</f>
        <v>5500.64</v>
      </c>
      <c r="I6" s="26">
        <f t="shared" ref="I6:AB6" si="2">ROUND($A$3*I5/$B$3,2)</f>
        <v>0</v>
      </c>
      <c r="J6" s="26">
        <f t="shared" si="2"/>
        <v>0</v>
      </c>
      <c r="K6" s="26">
        <f t="shared" si="2"/>
        <v>2750.32</v>
      </c>
      <c r="L6" s="26">
        <f t="shared" si="2"/>
        <v>0</v>
      </c>
      <c r="M6" s="26">
        <f t="shared" si="2"/>
        <v>2750.32</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5500.65</v>
      </c>
      <c r="AZ6" s="26" t="s">
        <v>3</v>
      </c>
      <c r="BA6" s="26">
        <f>ROUND($AY$6*BA5/$AZ$5,2)</f>
        <v>5500.65</v>
      </c>
      <c r="BB6" s="26">
        <f>ROUND($AY$6*BB5/$AZ$5,2)</f>
        <v>0</v>
      </c>
      <c r="BC6" s="26">
        <f t="shared" ref="BC6:BH6" si="4">ROUND($AY$6*BC5/$AZ$5,2)</f>
        <v>2750.33</v>
      </c>
      <c r="BD6" s="26">
        <f t="shared" si="4"/>
        <v>2750.33</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3055</v>
      </c>
      <c r="J11" s="70"/>
      <c r="K11" s="2730" t="s">
        <v>3056</v>
      </c>
      <c r="L11" s="70"/>
      <c r="M11" s="69" t="s">
        <v>3057</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5500.65</v>
      </c>
      <c r="F13" s="80"/>
      <c r="G13" s="81">
        <f t="shared" ref="G13:G20" si="7">H13+AC13+AT13</f>
        <v>30803.628000000001</v>
      </c>
      <c r="H13" s="32">
        <f t="shared" ref="H13:H20" si="8">SUMIF(I$12:AB$12,"总值",I13:AB13)</f>
        <v>30803.628000000001</v>
      </c>
      <c r="I13" s="3332"/>
      <c r="J13" s="2728"/>
      <c r="K13" s="3332">
        <v>15401.814</v>
      </c>
      <c r="L13" s="3332"/>
      <c r="M13" s="3332">
        <f>K13</f>
        <v>15401.814</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75">
        <f>ROUND($AY$6*AZ13/$AZ$5,3)</f>
        <v>5500.65</v>
      </c>
      <c r="AZ13" s="26">
        <f t="shared" ref="AZ13:AZ20" si="11">BA13+BL13</f>
        <v>30803.628000000001</v>
      </c>
      <c r="BA13" s="26">
        <f t="shared" ref="BA13:BA20" si="12">SUM(BB13:BK13)</f>
        <v>30803.628000000001</v>
      </c>
      <c r="BB13" s="26">
        <f t="shared" ref="BB13:BB20" si="13">IF($D13="是",I13-J13,0)</f>
        <v>0</v>
      </c>
      <c r="BC13" s="26">
        <f t="shared" ref="BC13:BC20" si="14">IF($D13="是",K13-L13,0)</f>
        <v>15401.814</v>
      </c>
      <c r="BD13" s="26">
        <f t="shared" ref="BD13:BD20" si="15">IF($D13="是",M13-N13,0)</f>
        <v>15401.814</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3153</v>
      </c>
      <c r="E14" s="26">
        <f t="shared" si="6"/>
        <v>0</v>
      </c>
      <c r="F14" s="80"/>
      <c r="G14" s="81">
        <f t="shared" si="7"/>
        <v>0</v>
      </c>
      <c r="H14" s="32">
        <f t="shared" si="8"/>
        <v>0</v>
      </c>
      <c r="I14" s="3332">
        <v>0</v>
      </c>
      <c r="J14" s="2728"/>
      <c r="K14" s="3332">
        <v>0</v>
      </c>
      <c r="L14" s="2728"/>
      <c r="M14" s="3332">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3153</v>
      </c>
      <c r="E15" s="26">
        <f t="shared" si="6"/>
        <v>0</v>
      </c>
      <c r="F15" s="80"/>
      <c r="G15" s="81">
        <f t="shared" si="7"/>
        <v>0</v>
      </c>
      <c r="H15" s="32">
        <f t="shared" si="8"/>
        <v>0</v>
      </c>
      <c r="I15" s="3332">
        <v>0</v>
      </c>
      <c r="J15" s="2728"/>
      <c r="K15" s="3332">
        <f>ROUND(I15*1.36%,3)</f>
        <v>0</v>
      </c>
      <c r="L15" s="2728"/>
      <c r="M15" s="3332">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73" t="s">
        <v>0</v>
      </c>
      <c r="B1" s="3473" t="s">
        <v>4</v>
      </c>
      <c r="C1" s="3473" t="s">
        <v>5</v>
      </c>
      <c r="D1" s="3474" t="s">
        <v>40</v>
      </c>
      <c r="E1" s="3474" t="s">
        <v>41</v>
      </c>
      <c r="F1" s="3474"/>
      <c r="G1" s="3474"/>
      <c r="H1" s="3474"/>
      <c r="I1" s="3474"/>
      <c r="J1" s="3474"/>
      <c r="K1" s="3474"/>
      <c r="L1" s="3474"/>
      <c r="M1" s="3474"/>
    </row>
    <row r="2" spans="1:13" ht="27" customHeight="1">
      <c r="A2" s="3473"/>
      <c r="B2" s="3473"/>
      <c r="C2" s="3473"/>
      <c r="D2" s="3474"/>
      <c r="E2" s="3474" t="s">
        <v>24</v>
      </c>
      <c r="F2" s="3474" t="s">
        <v>25</v>
      </c>
      <c r="G2" s="3474"/>
      <c r="H2" s="3474"/>
      <c r="I2" s="3474"/>
      <c r="J2" s="3474" t="s">
        <v>26</v>
      </c>
      <c r="K2" s="3474"/>
      <c r="L2" s="3474"/>
      <c r="M2" s="3474"/>
    </row>
    <row r="3" spans="1:13" ht="28.5">
      <c r="A3" s="3473"/>
      <c r="B3" s="3473"/>
      <c r="C3" s="3473"/>
      <c r="D3" s="3474"/>
      <c r="E3" s="34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74" t="s">
        <v>42</v>
      </c>
      <c r="B9" s="3474"/>
      <c r="C9" s="34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484" t="s">
        <v>201</v>
      </c>
      <c r="B2" s="3484"/>
      <c r="C2" s="3484"/>
      <c r="D2" s="1886" t="s">
        <v>202</v>
      </c>
      <c r="E2" s="105" t="s">
        <v>203</v>
      </c>
      <c r="F2" s="3080"/>
      <c r="G2" s="1179"/>
      <c r="H2" s="1180"/>
      <c r="I2" s="1181" t="s">
        <v>847</v>
      </c>
      <c r="J2" s="3080"/>
      <c r="K2" s="3080"/>
      <c r="L2" s="3080"/>
      <c r="M2" s="3080"/>
      <c r="N2" s="3080"/>
      <c r="O2" s="3080"/>
      <c r="P2" s="3080"/>
    </row>
    <row r="3" spans="1:16" ht="15.75" thickBot="1">
      <c r="A3" s="3485" t="s">
        <v>204</v>
      </c>
      <c r="B3" s="3485"/>
      <c r="C3" s="3485"/>
      <c r="D3" s="3374">
        <f>'数据-基础表'!AY6</f>
        <v>5500.65</v>
      </c>
      <c r="E3" s="106">
        <f>'数据-基础表'!AZ5</f>
        <v>30803.628000000001</v>
      </c>
      <c r="F3" s="3080"/>
      <c r="G3" s="276" t="s">
        <v>848</v>
      </c>
      <c r="H3" s="271" t="s">
        <v>849</v>
      </c>
      <c r="I3" s="1887">
        <f>ROUND('数据-基础表'!B3/'数据-基础表'!A3,2)</f>
        <v>5.6</v>
      </c>
      <c r="J3" s="3080"/>
      <c r="K3" s="3080"/>
      <c r="L3" s="3080"/>
      <c r="M3" s="3080"/>
      <c r="N3" s="3080"/>
      <c r="O3" s="3080"/>
      <c r="P3" s="3080"/>
    </row>
    <row r="4" spans="1:16" ht="15">
      <c r="A4" s="3486"/>
      <c r="B4" s="3487"/>
      <c r="C4" s="3488"/>
      <c r="D4" s="107" t="s">
        <v>202</v>
      </c>
      <c r="E4" s="108" t="s">
        <v>203</v>
      </c>
      <c r="F4" s="3080"/>
      <c r="G4" s="1182"/>
      <c r="H4" s="271" t="s">
        <v>850</v>
      </c>
      <c r="I4" s="1887">
        <f>ROUND(SUMIF('数据-基础表'!I9:AS9,"地上",'数据-基础表'!I5:AS5)/'数据-基础表'!A3,2)</f>
        <v>5.6</v>
      </c>
      <c r="J4" s="3080"/>
      <c r="K4" s="3080"/>
      <c r="L4" s="3080"/>
      <c r="M4" s="3080"/>
      <c r="N4" s="3080"/>
      <c r="O4" s="3080"/>
      <c r="P4" s="3080"/>
    </row>
    <row r="5" spans="1:16">
      <c r="A5" s="109" t="s">
        <v>205</v>
      </c>
      <c r="B5" s="3489" t="s">
        <v>228</v>
      </c>
      <c r="C5" s="3489"/>
      <c r="D5" s="110">
        <f>ROUND($D$3*E5/$E$3,2)</f>
        <v>0</v>
      </c>
      <c r="E5" s="111">
        <f>SUMIF('数据-基础表'!$11:$11,"住宅",'数据-基础表'!$5:$5)</f>
        <v>0</v>
      </c>
      <c r="F5" s="3080"/>
      <c r="G5" s="276" t="s">
        <v>851</v>
      </c>
      <c r="H5" s="271" t="s">
        <v>849</v>
      </c>
      <c r="I5" s="1887">
        <f>ROUND(E31/D31,2)</f>
        <v>5.6</v>
      </c>
      <c r="J5" s="3080"/>
      <c r="K5" s="3080"/>
      <c r="L5" s="3080"/>
      <c r="M5" s="3080"/>
      <c r="N5" s="3080"/>
      <c r="O5" s="3080"/>
      <c r="P5" s="3080"/>
    </row>
    <row r="6" spans="1:16" ht="15" thickBot="1">
      <c r="A6" s="112"/>
      <c r="B6" s="3489" t="s">
        <v>206</v>
      </c>
      <c r="C6" s="3489"/>
      <c r="D6" s="110">
        <f>ROUND($D$3*E6/$E$3,2)</f>
        <v>5500.65</v>
      </c>
      <c r="E6" s="111">
        <f>E3-E5</f>
        <v>30803.628000000001</v>
      </c>
      <c r="F6" s="3080"/>
      <c r="G6" s="1182"/>
      <c r="H6" s="271" t="s">
        <v>850</v>
      </c>
      <c r="I6" s="1887">
        <f>ROUND(F31/D31,2)</f>
        <v>5.6</v>
      </c>
      <c r="J6" s="3080"/>
      <c r="K6" s="3080"/>
      <c r="L6" s="3080"/>
      <c r="M6" s="3080"/>
      <c r="N6" s="3080"/>
      <c r="O6" s="3080"/>
      <c r="P6" s="3080"/>
    </row>
    <row r="7" spans="1:16" ht="15">
      <c r="A7" s="3481"/>
      <c r="B7" s="3482"/>
      <c r="C7" s="3483"/>
      <c r="D7" s="107" t="s">
        <v>202</v>
      </c>
      <c r="E7" s="113" t="s">
        <v>229</v>
      </c>
      <c r="F7" s="3080"/>
      <c r="G7" s="1137" t="s">
        <v>1633</v>
      </c>
      <c r="H7" s="1138"/>
      <c r="I7" s="1757">
        <f>ROUND(F20/D3,2)</f>
        <v>2.8</v>
      </c>
      <c r="J7" s="3080"/>
      <c r="K7" s="3080"/>
      <c r="L7" s="3080"/>
      <c r="M7" s="3080"/>
      <c r="N7" s="3080"/>
      <c r="O7" s="3080"/>
      <c r="P7" s="3080"/>
    </row>
    <row r="8" spans="1:16">
      <c r="A8" s="109" t="s">
        <v>207</v>
      </c>
      <c r="B8" s="114" t="s">
        <v>208</v>
      </c>
      <c r="C8" s="110" t="s">
        <v>209</v>
      </c>
      <c r="D8" s="110">
        <f t="shared" ref="D8:D15" si="0">ROUND($D$3*E8/$E$3,2)</f>
        <v>5500.65</v>
      </c>
      <c r="E8" s="115">
        <f>SUMIF('数据-基础表'!BB10:BK10,"地上",'数据-基础表'!BB5:BK5)</f>
        <v>30803.628000000001</v>
      </c>
      <c r="F8" s="3080"/>
      <c r="G8" s="3081"/>
      <c r="H8" s="3081"/>
      <c r="I8" s="3080"/>
      <c r="J8" s="3080"/>
      <c r="K8" s="3080"/>
      <c r="L8" s="3080"/>
      <c r="M8" s="3080"/>
      <c r="N8" s="3080"/>
      <c r="O8" s="3080"/>
      <c r="P8" s="3080"/>
    </row>
    <row r="9" spans="1:16">
      <c r="A9" s="116"/>
      <c r="B9" s="117"/>
      <c r="C9" s="110" t="s">
        <v>210</v>
      </c>
      <c r="D9" s="110">
        <f t="shared" si="0"/>
        <v>0</v>
      </c>
      <c r="E9" s="118">
        <v>0</v>
      </c>
      <c r="F9" s="3080"/>
      <c r="G9" s="3081"/>
      <c r="H9" s="3081"/>
      <c r="I9" s="3080"/>
      <c r="J9" s="3080"/>
      <c r="K9" s="3080"/>
      <c r="L9" s="3080"/>
      <c r="M9" s="3080"/>
      <c r="N9" s="3080"/>
      <c r="O9" s="3080"/>
      <c r="P9" s="3080"/>
    </row>
    <row r="10" spans="1:16">
      <c r="A10" s="116"/>
      <c r="B10" s="117"/>
      <c r="C10" s="110" t="s">
        <v>211</v>
      </c>
      <c r="D10" s="110">
        <f t="shared" si="0"/>
        <v>0</v>
      </c>
      <c r="E10" s="115">
        <f>SUMPRODUCT(('数据-基础表'!BB10:BK10="地下")*('数据-基础表'!BB11:BK11="商业")*('数据-基础表'!BB5:BK5))</f>
        <v>0</v>
      </c>
      <c r="F10" s="3080"/>
      <c r="G10" s="3081"/>
      <c r="H10" s="3081"/>
      <c r="I10" s="3080"/>
      <c r="J10" s="3080"/>
      <c r="K10" s="3080"/>
      <c r="L10" s="3080"/>
      <c r="M10" s="3080"/>
      <c r="N10" s="3080"/>
      <c r="O10" s="3080"/>
      <c r="P10" s="3080"/>
    </row>
    <row r="11" spans="1:16">
      <c r="A11" s="116"/>
      <c r="B11" s="117"/>
      <c r="C11" s="2208" t="s">
        <v>2312</v>
      </c>
      <c r="D11" s="110">
        <f t="shared" si="0"/>
        <v>0</v>
      </c>
      <c r="E11" s="115">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6"/>
      <c r="B12" s="117"/>
      <c r="C12" s="110" t="s">
        <v>212</v>
      </c>
      <c r="D12" s="110">
        <f t="shared" si="0"/>
        <v>0</v>
      </c>
      <c r="E12" s="115">
        <f>SUMPRODUCT(('数据-基础表'!BB10:BK10="地下")*('数据-基础表'!BB11:BK11="仓储")*('数据-基础表'!BB5:BK5))</f>
        <v>0</v>
      </c>
      <c r="F12" s="3080"/>
      <c r="G12" s="3081"/>
      <c r="H12" s="3081"/>
      <c r="I12" s="3080"/>
      <c r="J12" s="3080"/>
      <c r="K12" s="3080"/>
      <c r="L12" s="3080"/>
      <c r="M12" s="3080"/>
      <c r="N12" s="3080"/>
      <c r="O12" s="3080"/>
      <c r="P12" s="3080"/>
    </row>
    <row r="13" spans="1:16">
      <c r="A13" s="116"/>
      <c r="B13" s="117"/>
      <c r="C13" s="2208" t="s">
        <v>2319</v>
      </c>
      <c r="D13" s="110">
        <f t="shared" si="0"/>
        <v>0</v>
      </c>
      <c r="E13" s="115">
        <f>SUMPRODUCT(('数据-基础表'!BB10:BK10="地下")*('数据-基础表'!BB11:BK11="车库")*('数据-基础表'!BB5:BK5))</f>
        <v>0</v>
      </c>
      <c r="F13" s="3080"/>
      <c r="G13" s="3081"/>
      <c r="H13" s="3081"/>
      <c r="I13" s="3080"/>
      <c r="J13" s="3080"/>
      <c r="K13" s="3080"/>
      <c r="L13" s="3080"/>
      <c r="M13" s="3080"/>
      <c r="N13" s="3080"/>
      <c r="O13" s="3080"/>
      <c r="P13" s="3080"/>
    </row>
    <row r="14" spans="1:16">
      <c r="A14" s="116"/>
      <c r="B14" s="117"/>
      <c r="C14" s="110" t="s">
        <v>230</v>
      </c>
      <c r="D14" s="110">
        <f t="shared" si="0"/>
        <v>0</v>
      </c>
      <c r="E14" s="115">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6"/>
      <c r="B15" s="117"/>
      <c r="C15" s="110" t="s">
        <v>231</v>
      </c>
      <c r="D15" s="110">
        <f t="shared" si="0"/>
        <v>0</v>
      </c>
      <c r="E15" s="115">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2"/>
      <c r="B16" s="117"/>
      <c r="C16" s="114" t="s">
        <v>213</v>
      </c>
      <c r="D16" s="114">
        <f>SUM(D8:D15)</f>
        <v>5500.65</v>
      </c>
      <c r="E16" s="119">
        <f>SUM(E8:E15)</f>
        <v>30803.628000000001</v>
      </c>
      <c r="F16" s="3080"/>
      <c r="G16" s="3081"/>
      <c r="H16" s="954" t="s">
        <v>217</v>
      </c>
      <c r="I16" s="955"/>
      <c r="J16" s="1895"/>
      <c r="K16" s="3475" t="s">
        <v>2545</v>
      </c>
      <c r="L16" s="3476"/>
      <c r="M16" s="3476"/>
      <c r="N16" s="3476"/>
      <c r="O16" s="3476"/>
      <c r="P16" s="3477"/>
    </row>
    <row r="17" spans="1:19" ht="15">
      <c r="A17" s="120" t="s">
        <v>214</v>
      </c>
      <c r="B17" s="121" t="s">
        <v>215</v>
      </c>
      <c r="C17" s="2175" t="s">
        <v>2298</v>
      </c>
      <c r="D17" s="107" t="s">
        <v>202</v>
      </c>
      <c r="E17" s="123" t="s">
        <v>203</v>
      </c>
      <c r="F17" s="124"/>
      <c r="G17" s="1317"/>
      <c r="H17" s="956" t="s">
        <v>216</v>
      </c>
      <c r="I17" s="957" t="s">
        <v>2297</v>
      </c>
      <c r="J17" s="1895"/>
      <c r="K17" s="3478" t="s">
        <v>2546</v>
      </c>
      <c r="L17" s="3479"/>
      <c r="M17" s="3480"/>
      <c r="N17" s="3478" t="s">
        <v>2547</v>
      </c>
      <c r="O17" s="3479"/>
      <c r="P17" s="3480"/>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3058</v>
      </c>
      <c r="D19" s="110">
        <f t="shared" ref="D19:D26" si="1">ROUND($D$3*E19/$E$3,2)</f>
        <v>0</v>
      </c>
      <c r="E19" s="133">
        <f t="shared" ref="E19:E26" si="2">SUM(F19:G19)</f>
        <v>0</v>
      </c>
      <c r="F19" s="3333">
        <f>'数据-基础表'!I14+'数据-基础表'!I15</f>
        <v>0</v>
      </c>
      <c r="G19" s="3083"/>
      <c r="H19" s="960" t="e">
        <f>ROUND($D$3*I19/$E$3,2)</f>
        <v>#DIV/0!</v>
      </c>
      <c r="I19" s="115" t="e">
        <f>IF($I$17="自定义",P19,M19)</f>
        <v>#DIV/0!</v>
      </c>
      <c r="J19" s="1895"/>
      <c r="K19" s="2449">
        <f t="shared" ref="K19:K26" si="3">ROUND(E$28*E19/E$27,2)</f>
        <v>0</v>
      </c>
      <c r="L19" s="271" t="e">
        <f t="shared" ref="L19:L26" si="4">ROUND(IF(COUNTIF(C19,"*住宅*")&gt;0,E$29*E19/E$32,0),2)</f>
        <v>#DIV/0!</v>
      </c>
      <c r="M19" s="2450" t="e">
        <f>K19+L19</f>
        <v>#DIV/0!</v>
      </c>
      <c r="N19" s="2451"/>
      <c r="O19" s="2452"/>
      <c r="P19" s="2453">
        <f>N19+O19</f>
        <v>0</v>
      </c>
      <c r="R19" s="271" t="e">
        <f t="shared" ref="R19:S26" si="5">D19+H19</f>
        <v>#DIV/0!</v>
      </c>
      <c r="S19" s="2178" t="e">
        <f t="shared" si="5"/>
        <v>#DIV/0!</v>
      </c>
    </row>
    <row r="20" spans="1:19">
      <c r="A20" s="136"/>
      <c r="B20" s="114" t="s">
        <v>224</v>
      </c>
      <c r="C20" s="2735" t="s">
        <v>3059</v>
      </c>
      <c r="D20" s="110">
        <f t="shared" si="1"/>
        <v>2750.33</v>
      </c>
      <c r="E20" s="133">
        <f t="shared" si="2"/>
        <v>15401.814</v>
      </c>
      <c r="F20" s="3082">
        <f>'数据-基础表'!K5</f>
        <v>15401.814</v>
      </c>
      <c r="G20" s="3083"/>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2750.33</v>
      </c>
      <c r="S20" s="2178">
        <f t="shared" si="5"/>
        <v>15401.814</v>
      </c>
    </row>
    <row r="21" spans="1:19">
      <c r="A21" s="136"/>
      <c r="B21" s="114" t="s">
        <v>224</v>
      </c>
      <c r="C21" s="2735" t="s">
        <v>3060</v>
      </c>
      <c r="D21" s="110">
        <f t="shared" si="1"/>
        <v>2750.33</v>
      </c>
      <c r="E21" s="133">
        <f t="shared" si="2"/>
        <v>15401.814</v>
      </c>
      <c r="F21" s="3082">
        <f>F20</f>
        <v>15401.814</v>
      </c>
      <c r="G21" s="3083"/>
      <c r="H21" s="960">
        <f t="shared" si="6"/>
        <v>0</v>
      </c>
      <c r="I21" s="115">
        <f t="shared" si="7"/>
        <v>0</v>
      </c>
      <c r="J21" s="1895"/>
      <c r="K21" s="2449">
        <f t="shared" si="3"/>
        <v>0</v>
      </c>
      <c r="L21" s="271">
        <f t="shared" si="4"/>
        <v>0</v>
      </c>
      <c r="M21" s="2450">
        <f t="shared" si="8"/>
        <v>0</v>
      </c>
      <c r="N21" s="2451"/>
      <c r="O21" s="2452"/>
      <c r="P21" s="2453">
        <f t="shared" si="9"/>
        <v>0</v>
      </c>
      <c r="R21" s="271">
        <f t="shared" si="5"/>
        <v>2750.33</v>
      </c>
      <c r="S21" s="2178">
        <f t="shared" si="5"/>
        <v>15401.814</v>
      </c>
    </row>
    <row r="22" spans="1:19">
      <c r="A22" s="136"/>
      <c r="B22" s="114" t="s">
        <v>224</v>
      </c>
      <c r="C22" s="1316"/>
      <c r="D22" s="110">
        <f t="shared" si="1"/>
        <v>0</v>
      </c>
      <c r="E22" s="133">
        <f t="shared" si="2"/>
        <v>0</v>
      </c>
      <c r="F22" s="3084"/>
      <c r="G22" s="3085"/>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84"/>
      <c r="G23" s="3085"/>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84"/>
      <c r="G24" s="3085"/>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84"/>
      <c r="G25" s="3085"/>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84"/>
      <c r="G26" s="3085"/>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5500.66</v>
      </c>
      <c r="E27" s="140">
        <f>IF(SUM(E19:E26)='数据-基础表'!BA5,SUM(E19:E26),IF(F27="地上面积有误","面积有误","地下面积有误"))</f>
        <v>30803.628000000001</v>
      </c>
      <c r="F27" s="133">
        <f>IF(SUM(F19:F26)=E8,SUM(F19:F26),"地上面积有误")</f>
        <v>30803.628000000001</v>
      </c>
      <c r="G27" s="111">
        <f>SUM(G19:G26)</f>
        <v>0</v>
      </c>
      <c r="H27" s="961" t="e">
        <f>SUM(H19:H26)</f>
        <v>#DIV/0!</v>
      </c>
      <c r="I27" s="962" t="e">
        <f>SUM(I19:I26)</f>
        <v>#DIV/0!</v>
      </c>
      <c r="J27" s="1895"/>
      <c r="K27" s="2458">
        <f>SUM(K19:K26)</f>
        <v>0</v>
      </c>
      <c r="L27" s="2459" t="e">
        <f>SUM(L19:L26)</f>
        <v>#DIV/0!</v>
      </c>
      <c r="M27" s="2460" t="e">
        <f>SUM(M19:M26)</f>
        <v>#DIV/0!</v>
      </c>
      <c r="N27" s="2458">
        <f t="shared" ref="N27:O27" si="10">SUM(N19:N26)</f>
        <v>0</v>
      </c>
      <c r="O27" s="2459">
        <f t="shared" si="10"/>
        <v>0</v>
      </c>
      <c r="P27" s="2461">
        <f>SUM(P19:P26)</f>
        <v>0</v>
      </c>
      <c r="R27" s="2182"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80"/>
      <c r="I28" s="3080"/>
      <c r="J28" s="3080"/>
      <c r="K28" s="3080"/>
      <c r="L28" s="3080"/>
      <c r="M28" s="3080"/>
      <c r="N28" s="3080"/>
      <c r="O28" s="3080"/>
      <c r="P28" s="3080"/>
    </row>
    <row r="29" spans="1:19">
      <c r="A29" s="136"/>
      <c r="B29" s="114" t="s">
        <v>225</v>
      </c>
      <c r="C29" s="2190" t="s">
        <v>2305</v>
      </c>
      <c r="D29" s="110">
        <f>ROUND($D$3*E29/$E$3,2)</f>
        <v>0</v>
      </c>
      <c r="E29" s="133">
        <f>SUM(F29:G29)</f>
        <v>0</v>
      </c>
      <c r="F29" s="141">
        <f>'数据-基础表'!BM5+'数据-基础表'!BO5</f>
        <v>0</v>
      </c>
      <c r="G29" s="143">
        <f>'数据-基础表'!BN5+'数据-基础表'!BP5</f>
        <v>0</v>
      </c>
      <c r="H29" s="3080"/>
      <c r="I29" s="3080"/>
      <c r="J29" s="3080"/>
      <c r="K29" s="3080"/>
      <c r="L29" s="3080"/>
      <c r="M29" s="3080"/>
      <c r="N29" s="3080"/>
      <c r="O29" s="3080"/>
      <c r="P29" s="3080"/>
    </row>
    <row r="30" spans="1:19">
      <c r="A30" s="136"/>
      <c r="B30" s="110"/>
      <c r="C30" s="144" t="s">
        <v>213</v>
      </c>
      <c r="D30" s="133">
        <f>SUM(D28:D29)</f>
        <v>0</v>
      </c>
      <c r="E30" s="133">
        <f>SUM(E28:E29)</f>
        <v>0</v>
      </c>
      <c r="F30" s="133">
        <f>SUM(F28:F29)</f>
        <v>0</v>
      </c>
      <c r="G30" s="111">
        <f>SUM(G28:G29)</f>
        <v>0</v>
      </c>
      <c r="H30" s="3080"/>
      <c r="I30" s="3080"/>
      <c r="J30" s="3080"/>
      <c r="K30" s="3080"/>
      <c r="L30" s="3080"/>
      <c r="M30" s="3080"/>
      <c r="N30" s="3080"/>
      <c r="O30" s="3080"/>
      <c r="P30" s="3080"/>
    </row>
    <row r="31" spans="1:19" ht="32.25" customHeight="1" thickBot="1">
      <c r="A31" s="1319"/>
      <c r="B31" s="1320" t="s">
        <v>227</v>
      </c>
      <c r="C31" s="2207" t="s">
        <v>2307</v>
      </c>
      <c r="D31" s="1321">
        <f>D27+D30</f>
        <v>5500.66</v>
      </c>
      <c r="E31" s="1321">
        <f>E27+E30</f>
        <v>30803.628000000001</v>
      </c>
      <c r="F31" s="1322">
        <f>F27+F30</f>
        <v>30803.628000000001</v>
      </c>
      <c r="G31" s="1323">
        <f>G27+G30</f>
        <v>0</v>
      </c>
      <c r="H31" s="3080"/>
      <c r="I31" s="3080"/>
      <c r="J31" s="3080"/>
      <c r="K31" s="3080"/>
      <c r="L31" s="3080"/>
      <c r="M31" s="3080"/>
      <c r="N31" s="3080"/>
      <c r="O31" s="3080"/>
      <c r="P31" s="3080"/>
    </row>
    <row r="32" spans="1:19">
      <c r="A32" s="1895"/>
      <c r="B32" s="2219" t="s">
        <v>2306</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U6" activePane="bottomRight" state="frozen"/>
      <selection pane="topRight" activeCell="D1" sqref="D1"/>
      <selection pane="bottomLeft" activeCell="A4" sqref="A4"/>
      <selection pane="bottomRight" activeCell="AL9" sqref="AL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6" t="s">
        <v>233</v>
      </c>
      <c r="B2" s="2215">
        <f>项目基本情况!D3</f>
        <v>44424</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101"/>
      <c r="AP5" s="3086" t="s">
        <v>2967</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912</v>
      </c>
      <c r="D6" s="2185">
        <f>SUMIF(项目基本情况!D$15:I$15,C6,项目基本情况!D$18:I$18)</f>
        <v>70</v>
      </c>
      <c r="E6" s="2186">
        <f>IF(B6="","",SUMIF(项目基本情况!D$15:I$15,C6,项目基本情况!D$17:I$17))</f>
        <v>69996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0</v>
      </c>
      <c r="L6" s="2737">
        <v>5000</v>
      </c>
      <c r="M6" s="174">
        <f t="shared" ref="M6:M14" si="0">ROUND(K6*L6/10000,0)</f>
        <v>0</v>
      </c>
      <c r="N6" s="2738">
        <v>0</v>
      </c>
      <c r="O6" s="174">
        <f>IF($N$5="成新度","——",ROUND(M6*N6,0))</f>
        <v>0</v>
      </c>
      <c r="P6" s="175">
        <f>IF($N$5="成新度","——",M6-O6)</f>
        <v>0</v>
      </c>
      <c r="Q6" s="2739">
        <v>0.25</v>
      </c>
      <c r="R6" s="176" t="e">
        <f>SUMIF('数据-汇总表'!C$19:C$33,A6,'数据-汇总表'!R$19:R$33)</f>
        <v>#DIV/0!</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90"/>
      <c r="AP6" s="1185">
        <f>ROUND(1-1/(1+H6)^F6,3)</f>
        <v>0</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59039</v>
      </c>
      <c r="F7" s="171">
        <f>SUMIF(项目基本情况!D$15:I$15,C7,项目基本情况!D$19:I$19)</f>
        <v>40</v>
      </c>
      <c r="G7" s="172">
        <f t="shared" ref="G7:G11" si="2">IF(ISERROR(ROUND(POWER(1+H7,D7-F7)*(POWER(1+H7,F7)-1)/(POWER(1+H7,D7)-1),3)),0,ROUND(POWER(1+H7,D7-F7)*(POWER(1+H7,F7)-1)/(POWER(1+H7,D7)-1),3))</f>
        <v>0</v>
      </c>
      <c r="H7" s="2736"/>
      <c r="I7" s="2736">
        <v>4.2000000000000003E-2</v>
      </c>
      <c r="J7" s="173"/>
      <c r="K7" s="176">
        <f>SUMIF('数据-汇总表'!C$19:C$33,'数据-取费表'!A7,'数据-汇总表'!E$19:E$33)</f>
        <v>15401.814</v>
      </c>
      <c r="L7" s="2737">
        <v>4500</v>
      </c>
      <c r="M7" s="174">
        <f t="shared" si="0"/>
        <v>6931</v>
      </c>
      <c r="N7" s="2738">
        <v>0</v>
      </c>
      <c r="O7" s="174">
        <f t="shared" ref="O7:O14" si="3">IF($N$5="成新度","——",ROUND(M7*N7,0))</f>
        <v>0</v>
      </c>
      <c r="P7" s="175">
        <f t="shared" ref="P7:P14" si="4">IF($N$5="成新度","——",M7-O7)</f>
        <v>6931</v>
      </c>
      <c r="Q7" s="2739">
        <v>0.3</v>
      </c>
      <c r="R7" s="176">
        <f>SUMIF('数据-汇总表'!C$19:C$33,A7,'数据-汇总表'!R$19:R$33)</f>
        <v>2750.33</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'不动产比较法-商业'!C48</f>
        <v>5.4</v>
      </c>
      <c r="V7" s="178">
        <v>0</v>
      </c>
      <c r="W7" s="3393">
        <v>0.05</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90">
        <v>0.02</v>
      </c>
      <c r="AL7" s="3391">
        <v>2E-3</v>
      </c>
      <c r="AM7" s="3392">
        <v>0.02</v>
      </c>
      <c r="AN7" s="2244" t="s">
        <v>3076</v>
      </c>
      <c r="AO7" s="3090"/>
      <c r="AP7" s="1185">
        <f t="shared" ref="AP7:AP13" si="8">ROUND(1-1/(1+H7)^F7,3)</f>
        <v>0</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62691</v>
      </c>
      <c r="F8" s="171">
        <f>SUMIF(项目基本情况!D$15:I$15,C8,项目基本情况!D$19:I$19)</f>
        <v>50</v>
      </c>
      <c r="G8" s="172">
        <f t="shared" si="2"/>
        <v>0</v>
      </c>
      <c r="H8" s="2736"/>
      <c r="I8" s="2736">
        <v>3.5000000000000003E-2</v>
      </c>
      <c r="J8" s="173"/>
      <c r="K8" s="176">
        <f>SUMIF('数据-汇总表'!C$19:C$33,'数据-取费表'!A8,'数据-汇总表'!E$19:E$33)</f>
        <v>15401.814</v>
      </c>
      <c r="L8" s="3381">
        <v>4500</v>
      </c>
      <c r="M8" s="174">
        <f>ROUND(K8*L8/10000,0)</f>
        <v>6931</v>
      </c>
      <c r="N8" s="2738">
        <v>0</v>
      </c>
      <c r="O8" s="174">
        <f t="shared" si="3"/>
        <v>0</v>
      </c>
      <c r="P8" s="175">
        <f t="shared" si="4"/>
        <v>6931</v>
      </c>
      <c r="Q8" s="2739">
        <v>0.25</v>
      </c>
      <c r="R8" s="176">
        <f>SUMIF('数据-汇总表'!C$19:C$33,A8,'数据-汇总表'!R$19:R$33)</f>
        <v>2750.33</v>
      </c>
      <c r="S8" s="131">
        <f>IF('数据-汇总表'!$I$17="按面积比例",SUMIF('数据-汇总表'!C$19:C$33,A8,'数据-汇总表'!K$19:K$33),SUMIF('数据-汇总表'!C$19:C$33,A8,'数据-汇总表'!N$19:N$33))</f>
        <v>0</v>
      </c>
      <c r="T8" s="2111" t="str">
        <f t="shared" si="5"/>
        <v>0</v>
      </c>
      <c r="U8" s="177">
        <f>'不动产比较法-办公'!C49</f>
        <v>3.7</v>
      </c>
      <c r="V8" s="178">
        <v>0</v>
      </c>
      <c r="W8" s="3393">
        <v>0.05</v>
      </c>
      <c r="X8" s="2198"/>
      <c r="Y8" s="179">
        <v>1</v>
      </c>
      <c r="Z8" s="180"/>
      <c r="AA8" s="173"/>
      <c r="AB8" s="173"/>
      <c r="AC8" s="2201"/>
      <c r="AD8" s="181"/>
      <c r="AE8" s="958">
        <f t="shared" ca="1" si="6"/>
        <v>50</v>
      </c>
      <c r="AF8" s="138"/>
      <c r="AG8" s="1194">
        <f t="shared" si="7"/>
        <v>0</v>
      </c>
      <c r="AH8" s="138"/>
      <c r="AI8" s="184">
        <v>365</v>
      </c>
      <c r="AJ8" s="185"/>
      <c r="AK8" s="3390">
        <v>4.0000000000000001E-3</v>
      </c>
      <c r="AL8" s="3391">
        <v>5.0000000000000001E-4</v>
      </c>
      <c r="AM8" s="3392">
        <v>5.0000000000000001E-3</v>
      </c>
      <c r="AN8" s="2244" t="s">
        <v>3078</v>
      </c>
      <c r="AO8" s="3090"/>
      <c r="AP8" s="1185">
        <f t="shared" si="8"/>
        <v>0</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90"/>
      <c r="AL9" s="3391"/>
      <c r="AM9" s="3392"/>
      <c r="AN9" s="2244"/>
      <c r="AO9" s="3090"/>
      <c r="AP9" s="1185">
        <f t="shared" si="8"/>
        <v>0</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c r="M14" s="174">
        <f t="shared" si="0"/>
        <v>0</v>
      </c>
      <c r="N14" s="191"/>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30803.628000000001</v>
      </c>
      <c r="L16" s="203">
        <f>ROUND(M16*10000/SUM(K6:K14),0)</f>
        <v>4500</v>
      </c>
      <c r="M16" s="203">
        <f>SUM(M6:M14)</f>
        <v>13862</v>
      </c>
      <c r="N16" s="204">
        <f>ROUND(SUMPRODUCT(M6:M14,N6:N14)/M16,3)</f>
        <v>0</v>
      </c>
      <c r="O16" s="203">
        <f>SUM(O6:O14)</f>
        <v>0</v>
      </c>
      <c r="P16" s="203">
        <f>SUM(P6:P14)</f>
        <v>13862</v>
      </c>
      <c r="Q16" s="205">
        <f>ROUND(SUMPRODUCT(Q6:Q13,K6:K13)/SUMPRODUCT((Q6:Q13&gt;0)*(K6:K13)),2)</f>
        <v>0.28000000000000003</v>
      </c>
      <c r="R16" s="2188"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90"/>
      <c r="AO16" s="3090"/>
      <c r="AP16" s="1185" t="e">
        <f>ROUND(SUMPRODUCT(AP6:AP13,K6:K13)/SUMPRODUCT((AP6:AP13&gt;0)*(K6:K13)),3)</f>
        <v>#DIV/0!</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7" t="s">
        <v>261</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4" t="s">
        <v>262</v>
      </c>
      <c r="B19" s="215">
        <v>0</v>
      </c>
      <c r="C19" s="3102" t="s">
        <v>2980</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6" t="s">
        <v>263</v>
      </c>
      <c r="B20" s="217">
        <v>1.5</v>
      </c>
      <c r="C20" s="3102" t="s">
        <v>2320</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8" t="s">
        <v>264</v>
      </c>
      <c r="B21" s="217">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6" t="s">
        <v>265</v>
      </c>
      <c r="B22" s="219">
        <f>B19+B20</f>
        <v>1.5</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8" t="s">
        <v>266</v>
      </c>
      <c r="B23" s="219">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0" t="s">
        <v>267</v>
      </c>
      <c r="B24" s="221">
        <f>B20-B21</f>
        <v>1.5</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6" t="s">
        <v>268</v>
      </c>
      <c r="B26" s="222" t="s">
        <v>269</v>
      </c>
      <c r="C26" s="3092" t="s">
        <v>270</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3" t="s">
        <v>2322</v>
      </c>
      <c r="B27" s="224">
        <v>170</v>
      </c>
      <c r="C27" s="3103" t="s">
        <v>2981</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104" t="s">
        <v>2324</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-140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140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105" t="s">
        <v>2968</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105" t="s">
        <v>2969</v>
      </c>
      <c r="D34" s="3106" t="s">
        <v>2977</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5" t="s">
        <v>274</v>
      </c>
      <c r="B35" s="226">
        <v>200</v>
      </c>
      <c r="C35" s="3105" t="s">
        <v>2970</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8" t="s">
        <v>275</v>
      </c>
      <c r="B36" s="231">
        <v>1.4999999999999999E-2</v>
      </c>
      <c r="C36" s="3105" t="s">
        <v>2971</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2" t="s">
        <v>278</v>
      </c>
      <c r="B37" s="3397">
        <v>8.0000000000000002E-3</v>
      </c>
      <c r="C37" s="3105" t="s">
        <v>2972</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5" t="s">
        <v>279</v>
      </c>
      <c r="B38" s="3396">
        <v>8.0000000000000002E-3</v>
      </c>
      <c r="C38" s="3105" t="s">
        <v>2972</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2435</v>
      </c>
      <c r="B39" s="788">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39" t="s">
        <v>2436</v>
      </c>
      <c r="B40" s="2331">
        <f ca="1">存贷款利率!E2</f>
        <v>4.7500000000000001E-2</v>
      </c>
      <c r="C40" s="3105" t="s">
        <v>2973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3" t="s">
        <v>280</v>
      </c>
      <c r="B41" s="234">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5" t="s">
        <v>281</v>
      </c>
      <c r="B42" s="236">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5" t="s">
        <v>282</v>
      </c>
      <c r="B43" s="237">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5" t="s">
        <v>283</v>
      </c>
      <c r="B44" s="238">
        <v>0.05</v>
      </c>
      <c r="C44" s="3105" t="s">
        <v>2978</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5" t="s">
        <v>284</v>
      </c>
      <c r="B45" s="236">
        <v>0.03</v>
      </c>
      <c r="C45" s="3108" t="s">
        <v>2974</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5" t="s">
        <v>285</v>
      </c>
      <c r="B46" s="236">
        <v>0.02</v>
      </c>
      <c r="C46" s="3108" t="s">
        <v>2975</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39" t="s">
        <v>286</v>
      </c>
      <c r="B47" s="240"/>
      <c r="C47" s="3103" t="s">
        <v>2982</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1" t="s">
        <v>287</v>
      </c>
      <c r="B48" s="242">
        <v>0.03</v>
      </c>
      <c r="C48" s="3108" t="s">
        <v>2974</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3" t="s">
        <v>288</v>
      </c>
      <c r="B49" s="236">
        <v>5.0000000000000001E-4</v>
      </c>
      <c r="C49" s="3108" t="s">
        <v>2976</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3" t="s">
        <v>289</v>
      </c>
      <c r="B50" s="244">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8" t="s">
        <v>290</v>
      </c>
      <c r="B51" s="245">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3" t="s">
        <v>291</v>
      </c>
      <c r="B52" s="246">
        <f>SUMIF(A54:A63,B53,B54:B63)</f>
        <v>1.5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5" t="s">
        <v>292</v>
      </c>
      <c r="B53" s="247" t="s">
        <v>1398</v>
      </c>
      <c r="C53" s="3098" t="s">
        <v>2870</v>
      </c>
      <c r="D53" s="3109" t="s">
        <v>2979</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2871</v>
      </c>
      <c r="B54" s="183"/>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2872</v>
      </c>
      <c r="B55" s="183"/>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2873</v>
      </c>
      <c r="B56" s="183"/>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2874</v>
      </c>
      <c r="B57" s="183"/>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2875</v>
      </c>
      <c r="B58" s="183"/>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2876</v>
      </c>
      <c r="B59" s="183">
        <v>1.5</v>
      </c>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2877</v>
      </c>
      <c r="B60" s="183"/>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2878</v>
      </c>
      <c r="B61" s="183"/>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2879</v>
      </c>
      <c r="B62" s="183"/>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2880</v>
      </c>
      <c r="B63" s="248"/>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21"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21"/>
  </cols>
  <sheetData>
    <row r="1" spans="1:18" s="3115" customFormat="1" ht="19.5" thickBot="1">
      <c r="A1" s="3490" t="s">
        <v>1651</v>
      </c>
      <c r="B1" s="3491"/>
      <c r="C1" s="3491"/>
      <c r="D1" s="3491"/>
      <c r="E1" s="3491"/>
      <c r="F1" s="3491"/>
      <c r="G1" s="3491"/>
      <c r="H1" s="3110"/>
      <c r="I1" s="3111"/>
      <c r="J1" s="3112"/>
      <c r="K1" s="3110"/>
      <c r="L1" s="3111"/>
      <c r="M1" s="3112"/>
      <c r="N1" s="3110"/>
      <c r="O1" s="3111"/>
      <c r="P1" s="3112"/>
      <c r="Q1" s="3113"/>
      <c r="R1" s="3114"/>
    </row>
    <row r="2" spans="1:18" ht="14.25" thickBot="1">
      <c r="A2" s="3116"/>
      <c r="B2" s="3117"/>
      <c r="C2" s="3118" t="s">
        <v>1652</v>
      </c>
      <c r="D2" s="3119"/>
      <c r="E2" s="3116"/>
      <c r="F2" s="3120"/>
      <c r="G2" s="3118" t="s">
        <v>1653</v>
      </c>
      <c r="H2" s="3121"/>
      <c r="I2" s="3121"/>
      <c r="J2" s="3121"/>
      <c r="K2" s="3121"/>
      <c r="L2" s="3121"/>
      <c r="M2" s="3121"/>
      <c r="N2" s="3121"/>
      <c r="O2" s="3121"/>
      <c r="P2" s="3121"/>
      <c r="Q2" s="3121"/>
      <c r="R2" s="3121"/>
    </row>
    <row r="3" spans="1:18" ht="40.5">
      <c r="A3" s="3122" t="s">
        <v>1654</v>
      </c>
      <c r="B3" s="3123" t="s">
        <v>1641</v>
      </c>
      <c r="C3" s="3124" t="s">
        <v>2886</v>
      </c>
      <c r="D3" s="3125"/>
      <c r="E3" s="3126" t="s">
        <v>1654</v>
      </c>
      <c r="F3" s="3127" t="s">
        <v>1642</v>
      </c>
      <c r="G3" s="3128" t="s">
        <v>2885</v>
      </c>
      <c r="H3" s="3121"/>
      <c r="I3" s="3121"/>
      <c r="J3" s="3121"/>
      <c r="K3" s="3121"/>
      <c r="L3" s="3121"/>
      <c r="M3" s="3121"/>
      <c r="N3" s="3121"/>
      <c r="O3" s="3121"/>
      <c r="P3" s="3121"/>
      <c r="Q3" s="3121"/>
      <c r="R3" s="3121"/>
    </row>
    <row r="4" spans="1:18" ht="67.5">
      <c r="A4" s="3126"/>
      <c r="B4" s="3129" t="s">
        <v>1655</v>
      </c>
      <c r="C4" s="3371" t="s">
        <v>3165</v>
      </c>
      <c r="D4" s="3125"/>
      <c r="E4" s="3130"/>
      <c r="F4" s="3131" t="s">
        <v>1656</v>
      </c>
      <c r="G4" s="3132" t="s">
        <v>2882</v>
      </c>
      <c r="H4" s="3121"/>
      <c r="I4" s="3121"/>
      <c r="J4" s="3121"/>
      <c r="K4" s="3121"/>
      <c r="L4" s="3121"/>
      <c r="M4" s="3121"/>
      <c r="N4" s="3121"/>
      <c r="O4" s="3121"/>
      <c r="P4" s="3121"/>
      <c r="Q4" s="3121"/>
      <c r="R4" s="3121"/>
    </row>
    <row r="5" spans="1:18" ht="54">
      <c r="A5" s="3126"/>
      <c r="B5" s="3129" t="s">
        <v>1657</v>
      </c>
      <c r="C5" s="3371" t="s">
        <v>3166</v>
      </c>
      <c r="D5" s="3125"/>
      <c r="E5" s="3130"/>
      <c r="F5" s="3129" t="s">
        <v>2525</v>
      </c>
      <c r="G5" s="3132" t="s">
        <v>2883</v>
      </c>
      <c r="H5" s="3121"/>
      <c r="I5" s="3121"/>
      <c r="J5" s="3121"/>
      <c r="K5" s="3121"/>
      <c r="L5" s="3121"/>
      <c r="M5" s="3121"/>
      <c r="N5" s="3121"/>
      <c r="O5" s="3121"/>
      <c r="P5" s="3121"/>
      <c r="Q5" s="3121"/>
      <c r="R5" s="3121"/>
    </row>
    <row r="6" spans="1:18" ht="67.5">
      <c r="A6" s="3126"/>
      <c r="B6" s="3129" t="s">
        <v>1643</v>
      </c>
      <c r="C6" s="3372" t="s">
        <v>3161</v>
      </c>
      <c r="D6" s="3125"/>
      <c r="E6" s="3130"/>
      <c r="F6" s="3129" t="s">
        <v>2526</v>
      </c>
      <c r="G6" s="3132" t="s">
        <v>2881</v>
      </c>
      <c r="H6" s="3121"/>
      <c r="I6" s="3121"/>
      <c r="J6" s="3121"/>
      <c r="K6" s="3121"/>
      <c r="L6" s="3121"/>
      <c r="M6" s="3121"/>
      <c r="N6" s="3121"/>
      <c r="O6" s="3121"/>
      <c r="P6" s="3121"/>
      <c r="Q6" s="3121"/>
      <c r="R6" s="3121"/>
    </row>
    <row r="7" spans="1:18" ht="149.25" thickBot="1">
      <c r="A7" s="3126"/>
      <c r="B7" s="3129" t="s">
        <v>2525</v>
      </c>
      <c r="C7" s="3372" t="s">
        <v>3164</v>
      </c>
      <c r="D7" s="3133"/>
      <c r="E7" s="3134"/>
      <c r="F7" s="3135" t="s">
        <v>1658</v>
      </c>
      <c r="G7" s="3136" t="s">
        <v>2884</v>
      </c>
      <c r="H7" s="3121"/>
      <c r="I7" s="3121"/>
      <c r="J7" s="3121"/>
      <c r="K7" s="3121"/>
      <c r="L7" s="3121"/>
      <c r="M7" s="3121"/>
      <c r="N7" s="3121"/>
      <c r="O7" s="3121"/>
      <c r="P7" s="3121"/>
      <c r="Q7" s="3121"/>
      <c r="R7" s="3121"/>
    </row>
    <row r="8" spans="1:18" ht="67.5">
      <c r="A8" s="3126"/>
      <c r="B8" s="3129" t="s">
        <v>2526</v>
      </c>
      <c r="C8" s="3372" t="s">
        <v>3163</v>
      </c>
      <c r="D8" s="3133"/>
      <c r="E8" s="3133"/>
      <c r="F8" s="3137"/>
      <c r="G8" s="3137"/>
      <c r="H8" s="3121"/>
      <c r="I8" s="3121"/>
      <c r="J8" s="3121"/>
      <c r="K8" s="3121"/>
      <c r="L8" s="3121"/>
      <c r="M8" s="3121"/>
      <c r="N8" s="3121"/>
      <c r="O8" s="3121"/>
      <c r="P8" s="3121"/>
      <c r="Q8" s="3121"/>
      <c r="R8" s="3121"/>
    </row>
    <row r="9" spans="1:18" ht="81">
      <c r="A9" s="3126"/>
      <c r="B9" s="3129" t="s">
        <v>1644</v>
      </c>
      <c r="C9" s="3371" t="s">
        <v>3162</v>
      </c>
      <c r="D9" s="3125"/>
      <c r="E9" s="3133"/>
      <c r="F9" s="3137"/>
      <c r="G9" s="3137"/>
      <c r="H9" s="3121"/>
      <c r="I9" s="3121"/>
      <c r="J9" s="3121"/>
      <c r="K9" s="3121"/>
      <c r="L9" s="3121"/>
      <c r="M9" s="3121"/>
      <c r="N9" s="3121"/>
      <c r="O9" s="3121"/>
      <c r="P9" s="3121"/>
      <c r="Q9" s="3121"/>
      <c r="R9" s="3121"/>
    </row>
    <row r="10" spans="1:18" s="3143" customFormat="1" ht="14.25" thickBot="1">
      <c r="A10" s="3138"/>
      <c r="B10" s="3139" t="s">
        <v>1659</v>
      </c>
      <c r="C10" s="3373" t="s">
        <v>3167</v>
      </c>
      <c r="D10" s="3125"/>
      <c r="E10" s="3125"/>
      <c r="F10" s="3137"/>
      <c r="G10" s="3137"/>
      <c r="H10" s="3140"/>
      <c r="I10" s="3141"/>
      <c r="J10" s="3142"/>
      <c r="K10" s="3140"/>
      <c r="L10" s="3141"/>
      <c r="M10" s="3142"/>
      <c r="N10" s="3140"/>
      <c r="O10" s="3141"/>
      <c r="P10" s="3142"/>
      <c r="Q10" s="3140"/>
      <c r="R10" s="3141"/>
    </row>
    <row r="11" spans="1:18" s="3143" customFormat="1">
      <c r="A11" s="3144"/>
      <c r="B11" s="3133"/>
      <c r="C11" s="3125"/>
      <c r="D11" s="3125"/>
      <c r="E11" s="3125"/>
      <c r="F11" s="3133"/>
      <c r="G11" s="3145"/>
      <c r="H11" s="3140"/>
      <c r="I11" s="3141"/>
      <c r="J11" s="3142"/>
      <c r="K11" s="3140"/>
      <c r="L11" s="3141"/>
      <c r="M11" s="3142"/>
      <c r="N11" s="3140"/>
      <c r="O11" s="3141"/>
      <c r="P11" s="3142"/>
      <c r="Q11" s="3140"/>
      <c r="R11" s="3141"/>
    </row>
    <row r="12" spans="1:18" s="3115" customFormat="1" ht="18.75">
      <c r="A12" s="3144"/>
      <c r="B12" s="3133"/>
      <c r="C12" s="3125"/>
      <c r="D12" s="3146"/>
      <c r="E12" s="3125"/>
      <c r="F12" s="3133"/>
      <c r="G12" s="3145"/>
      <c r="H12" s="3147"/>
      <c r="I12" s="3148"/>
      <c r="J12" s="3147"/>
      <c r="K12" s="3147"/>
      <c r="L12" s="3149"/>
      <c r="M12" s="3147"/>
      <c r="N12" s="3150"/>
      <c r="O12" s="3151"/>
      <c r="P12" s="3152"/>
      <c r="Q12" s="3150"/>
      <c r="R12" s="3114"/>
    </row>
    <row r="13" spans="1:18" ht="19.5" thickBot="1">
      <c r="A13" s="3153" t="s">
        <v>1660</v>
      </c>
      <c r="B13" s="3146"/>
      <c r="C13" s="3146"/>
      <c r="D13" s="3119"/>
      <c r="E13" s="3146"/>
      <c r="F13" s="3146"/>
      <c r="G13" s="3146"/>
    </row>
    <row r="14" spans="1:18" ht="14.25" thickBot="1">
      <c r="A14" s="3158"/>
      <c r="B14" s="3158"/>
      <c r="C14" s="3159" t="s">
        <v>1652</v>
      </c>
      <c r="D14" s="3125"/>
      <c r="E14" s="3160"/>
      <c r="F14" s="3160"/>
      <c r="G14" s="3118" t="s">
        <v>1653</v>
      </c>
    </row>
    <row r="15" spans="1:18" ht="40.5">
      <c r="A15" s="3161" t="s">
        <v>1645</v>
      </c>
      <c r="B15" s="3162" t="s">
        <v>1641</v>
      </c>
      <c r="C15" s="3163" t="str">
        <f>C3</f>
        <v>估价对象周边居住用地比例、居住小区规模和社区发展完善程度，综合评价居住社区成熟度一般</v>
      </c>
      <c r="D15" s="3125"/>
      <c r="E15" s="3164" t="s">
        <v>1646</v>
      </c>
      <c r="F15" s="3162" t="s">
        <v>1661</v>
      </c>
      <c r="G15" s="3165" t="str">
        <f>G3</f>
        <v>估价对象位于XX开发区，园区建设成熟度XX，产业集聚程度XX</v>
      </c>
    </row>
    <row r="16" spans="1:18" ht="67.5">
      <c r="A16" s="3166"/>
      <c r="B16" s="3167" t="s">
        <v>1655</v>
      </c>
      <c r="C16" s="3168" t="str">
        <f>C4</f>
        <v>周边有万达广场（通州店）、华联商厦（新华大街店）、京客隆超市（东关店）、华联超市（新华大街店）等商业服务设施，分布较为集中，综合考虑商业繁华度较好</v>
      </c>
      <c r="D16" s="3125"/>
      <c r="E16" s="3169"/>
      <c r="F16" s="3170" t="s">
        <v>1656</v>
      </c>
      <c r="G16" s="3171" t="str">
        <f>G4</f>
        <v>估价对象周边道路状况、公共交通通达情况、停车便捷程度，综合评价交通便捷度较好</v>
      </c>
    </row>
    <row r="17" spans="1:7" ht="54">
      <c r="A17" s="3166"/>
      <c r="B17" s="3167" t="s">
        <v>1657</v>
      </c>
      <c r="C17" s="3168" t="str">
        <f>C5</f>
        <v>周边有京贸中心、东长安街写字楼、绿地中央广场（通州）、通州富力中心等多个办公楼项目，办公集聚程度较好。</v>
      </c>
      <c r="D17" s="3133"/>
      <c r="E17" s="3169"/>
      <c r="F17" s="3170" t="s">
        <v>1662</v>
      </c>
      <c r="G17" s="3172"/>
    </row>
    <row r="18" spans="1:7" ht="67.5">
      <c r="A18" s="3166"/>
      <c r="B18" s="3170" t="s">
        <v>1643</v>
      </c>
      <c r="C18" s="3171" t="str">
        <f>C6</f>
        <v>周边有通322路、342路、589路、667路、804路、808路、通19路、通41路、通62路等多条公交线路通过，距地铁6号线（北运河西站）约1公里，综合评价交通便捷度较好</v>
      </c>
      <c r="D18" s="3133"/>
      <c r="E18" s="3169"/>
      <c r="F18" s="3170" t="s">
        <v>1658</v>
      </c>
      <c r="G18" s="3171" t="str">
        <f>G7</f>
        <v>该园区内是否有污染型企业，绿化情况，卫生条件，整体环境状况判断</v>
      </c>
    </row>
    <row r="19" spans="1:7" ht="27">
      <c r="A19" s="3166"/>
      <c r="B19" s="3170" t="s">
        <v>1647</v>
      </c>
      <c r="C19" s="3172"/>
      <c r="D19" s="3125"/>
      <c r="E19" s="3169"/>
      <c r="F19" s="3129" t="s">
        <v>2525</v>
      </c>
      <c r="G19" s="3171" t="str">
        <f>G5</f>
        <v>估价对象所在区域公共配套设施齐备情况</v>
      </c>
    </row>
    <row r="20" spans="1:7" ht="81">
      <c r="A20" s="3166"/>
      <c r="B20" s="3170" t="s">
        <v>1648</v>
      </c>
      <c r="C20" s="3168" t="str">
        <f>C9</f>
        <v>周边2公里内有自然水域北运河、潮白河，有运河奥体公园、西海子公园等自然公园，绿化条件好；周边2公里内有运河文化广场、北京物资学院（乔庄校区）等人文场所。综合考虑自然环境与人文环境好。</v>
      </c>
      <c r="D20" s="3133"/>
      <c r="E20" s="3169"/>
      <c r="F20" s="3129" t="s">
        <v>2526</v>
      </c>
      <c r="G20" s="3171" t="str">
        <f>G6</f>
        <v>估价对象所在区域基础设施水平</v>
      </c>
    </row>
    <row r="21" spans="1:7" ht="148.5">
      <c r="A21" s="3166"/>
      <c r="B21" s="3129" t="s">
        <v>2525</v>
      </c>
      <c r="C21" s="3171"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25"/>
      <c r="E21" s="3169"/>
      <c r="F21" s="3170" t="s">
        <v>1649</v>
      </c>
      <c r="G21" s="3173"/>
    </row>
    <row r="22" spans="1:7" ht="67.5">
      <c r="A22" s="3166"/>
      <c r="B22" s="3129" t="s">
        <v>2526</v>
      </c>
      <c r="C22" s="3171" t="str">
        <f>C8</f>
        <v>估价对象所在区域内基础设施配套条件达到“七通”（即通路、通上水、通下水、通电、通讯、通燃气、通热力），能够保证工作、生产需要，基础设施配套完善度好。</v>
      </c>
      <c r="D22" s="3125"/>
      <c r="E22" s="3169"/>
      <c r="F22" s="3170" t="s">
        <v>1659</v>
      </c>
      <c r="G22" s="3172"/>
    </row>
    <row r="23" spans="1:7" ht="15" thickBot="1">
      <c r="A23" s="3166"/>
      <c r="B23" s="3170" t="s">
        <v>1649</v>
      </c>
      <c r="C23" s="3173"/>
      <c r="E23" s="3174"/>
      <c r="F23" s="3175" t="s">
        <v>1663</v>
      </c>
      <c r="G23" s="3176"/>
    </row>
    <row r="24" spans="1:7" ht="14.25" thickBot="1">
      <c r="A24" s="3177"/>
      <c r="B24" s="3175" t="s">
        <v>1650</v>
      </c>
      <c r="C24" s="3178" t="str">
        <f>C10</f>
        <v>城市主干道——新华东街</v>
      </c>
      <c r="E24" s="3179"/>
      <c r="F24" s="3179"/>
      <c r="G24" s="3180"/>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2" customWidth="1"/>
    <col min="2" max="16384" width="14.625" style="3182"/>
  </cols>
  <sheetData>
    <row r="1" spans="1:10" ht="16.5">
      <c r="A1" s="3181" t="s">
        <v>2821</v>
      </c>
      <c r="B1" s="3181">
        <f>SUM(B14:B23)</f>
        <v>30803.628000000001</v>
      </c>
      <c r="C1" s="3190"/>
      <c r="D1" s="3190"/>
      <c r="E1" s="3190"/>
      <c r="F1" s="3190"/>
      <c r="G1" s="3191"/>
      <c r="H1" s="3191"/>
      <c r="I1" s="3191"/>
      <c r="J1" s="3191"/>
    </row>
    <row r="2" spans="1:10" ht="16.5">
      <c r="A2" s="3181" t="s">
        <v>2822</v>
      </c>
      <c r="B2" s="3181">
        <f>SUM(C14:C23)</f>
        <v>5500.65</v>
      </c>
      <c r="C2" s="3190"/>
      <c r="D2" s="3190"/>
      <c r="E2" s="3190"/>
      <c r="F2" s="3190"/>
      <c r="G2" s="3191"/>
      <c r="H2" s="3191"/>
      <c r="I2" s="3191"/>
      <c r="J2" s="3191"/>
    </row>
    <row r="3" spans="1:10" ht="16.5">
      <c r="A3" s="3181" t="s">
        <v>2823</v>
      </c>
      <c r="B3" s="3183">
        <f>项目基本情况!D3</f>
        <v>44424</v>
      </c>
      <c r="C3" s="3190"/>
      <c r="D3" s="3190"/>
      <c r="E3" s="3190"/>
      <c r="F3" s="3190"/>
      <c r="G3" s="3191"/>
      <c r="H3" s="3191"/>
      <c r="I3" s="3191"/>
      <c r="J3" s="3191"/>
    </row>
    <row r="4" spans="1:10" ht="33">
      <c r="A4" s="3181" t="s">
        <v>2824</v>
      </c>
      <c r="B4" s="3181" t="s">
        <v>2825</v>
      </c>
      <c r="C4" s="3181" t="s">
        <v>2826</v>
      </c>
      <c r="D4" s="3181" t="s">
        <v>2827</v>
      </c>
      <c r="E4" s="3190"/>
      <c r="F4" s="3190"/>
      <c r="G4" s="3191"/>
      <c r="H4" s="3191"/>
      <c r="I4" s="3191"/>
      <c r="J4" s="3191"/>
    </row>
    <row r="5" spans="1:10" ht="16.5">
      <c r="A5" s="3181" t="s">
        <v>2828</v>
      </c>
      <c r="B5" s="3181">
        <f ca="1">SUM(D14:D23)</f>
        <v>20119</v>
      </c>
      <c r="C5" s="3181">
        <f ca="1">ROUND(B5*10000/$B$1,0)</f>
        <v>6531</v>
      </c>
      <c r="D5" s="3181">
        <f ca="1">ROUND(B5*10000/$B$2,0)</f>
        <v>36576</v>
      </c>
      <c r="E5" s="3190"/>
      <c r="F5" s="3190"/>
      <c r="G5" s="3191"/>
      <c r="H5" s="3191"/>
      <c r="I5" s="3191"/>
      <c r="J5" s="3191"/>
    </row>
    <row r="6" spans="1:10" ht="16.5">
      <c r="A6" s="3181" t="s">
        <v>2829</v>
      </c>
      <c r="B6" s="3181">
        <f>SUM(G14:G23)</f>
        <v>0</v>
      </c>
      <c r="C6" s="3181">
        <f t="shared" ref="C6:C8" si="0">ROUND(B6*10000/$B$1,0)</f>
        <v>0</v>
      </c>
      <c r="D6" s="3181">
        <f t="shared" ref="D6:D8" si="1">ROUND(B6*10000/$B$2,0)</f>
        <v>0</v>
      </c>
      <c r="E6" s="3190"/>
      <c r="F6" s="3190"/>
      <c r="G6" s="3191"/>
      <c r="H6" s="3191"/>
      <c r="I6" s="3191"/>
      <c r="J6" s="3191"/>
    </row>
    <row r="7" spans="1:10" ht="16.5">
      <c r="A7" s="3181" t="s">
        <v>2830</v>
      </c>
      <c r="B7" s="3181">
        <f>SUM(H14:H23)</f>
        <v>0</v>
      </c>
      <c r="C7" s="3181">
        <f t="shared" si="0"/>
        <v>0</v>
      </c>
      <c r="D7" s="3181">
        <f t="shared" si="1"/>
        <v>0</v>
      </c>
      <c r="E7" s="3190"/>
      <c r="F7" s="3190"/>
      <c r="G7" s="3191"/>
      <c r="H7" s="3191"/>
      <c r="I7" s="3191"/>
      <c r="J7" s="3191"/>
    </row>
    <row r="8" spans="1:10" ht="16.5">
      <c r="A8" s="3181" t="s">
        <v>2831</v>
      </c>
      <c r="B8" s="3181">
        <f>SUM(I14:I23)</f>
        <v>0</v>
      </c>
      <c r="C8" s="3181">
        <f t="shared" si="0"/>
        <v>0</v>
      </c>
      <c r="D8" s="3181">
        <f t="shared" si="1"/>
        <v>0</v>
      </c>
      <c r="E8" s="3190"/>
      <c r="F8" s="3190"/>
      <c r="G8" s="3191"/>
      <c r="H8" s="3191"/>
      <c r="I8" s="3191"/>
      <c r="J8" s="3191"/>
    </row>
    <row r="9" spans="1:10" ht="16.5">
      <c r="A9" s="3181" t="s">
        <v>2832</v>
      </c>
      <c r="B9" s="3189"/>
      <c r="C9" s="3190"/>
      <c r="D9" s="3190"/>
      <c r="E9" s="3190"/>
      <c r="F9" s="3190"/>
      <c r="G9" s="3191"/>
      <c r="H9" s="3191"/>
      <c r="I9" s="3191"/>
      <c r="J9" s="3191"/>
    </row>
    <row r="10" spans="1:10" ht="16.5">
      <c r="A10" s="3181" t="s">
        <v>2833</v>
      </c>
      <c r="B10" s="3189"/>
      <c r="C10" s="3190"/>
      <c r="D10" s="3190"/>
      <c r="E10" s="3190"/>
      <c r="F10" s="3190"/>
      <c r="G10" s="3191"/>
      <c r="H10" s="3191"/>
      <c r="I10" s="3191"/>
      <c r="J10" s="3191"/>
    </row>
    <row r="11" spans="1:10" ht="16.5">
      <c r="A11" s="3181" t="s">
        <v>2850</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2849</v>
      </c>
      <c r="B13" s="3185" t="s">
        <v>2821</v>
      </c>
      <c r="C13" s="3185" t="s">
        <v>2822</v>
      </c>
      <c r="D13" s="3185" t="s">
        <v>2834</v>
      </c>
      <c r="E13" s="3181" t="s">
        <v>2848</v>
      </c>
      <c r="F13" s="3181" t="s">
        <v>2827</v>
      </c>
      <c r="G13" s="3185" t="s">
        <v>2835</v>
      </c>
      <c r="H13" s="3185" t="s">
        <v>2836</v>
      </c>
      <c r="I13" s="3185" t="s">
        <v>2837</v>
      </c>
      <c r="J13" s="3191"/>
    </row>
    <row r="14" spans="1:10" ht="16.5">
      <c r="A14" s="3186" t="s">
        <v>2847</v>
      </c>
      <c r="B14" s="3187">
        <f>结果表!L38</f>
        <v>30803.628000000001</v>
      </c>
      <c r="C14" s="3187">
        <f>结果表!K38</f>
        <v>5500.65</v>
      </c>
      <c r="D14" s="3187">
        <f ca="1">结果表!C42</f>
        <v>20119</v>
      </c>
      <c r="E14" s="3187">
        <f ca="1">ROUND(D14*10000/B14,0)</f>
        <v>6531</v>
      </c>
      <c r="F14" s="3187">
        <f ca="1">ROUND(D14*10000/C14,0)</f>
        <v>36576</v>
      </c>
      <c r="G14" s="3187" t="str">
        <f>结果表!C44</f>
        <v>——</v>
      </c>
      <c r="H14" s="3187" t="str">
        <f>结果表!C45</f>
        <v>——</v>
      </c>
      <c r="I14" s="3187" t="str">
        <f>结果表!C46</f>
        <v>——</v>
      </c>
      <c r="J14" s="3191"/>
    </row>
    <row r="15" spans="1:10" ht="16.5">
      <c r="A15" s="3186" t="s">
        <v>2838</v>
      </c>
      <c r="B15" s="3188"/>
      <c r="C15" s="3188"/>
      <c r="D15" s="3188"/>
      <c r="E15" s="3187" t="e">
        <f t="shared" ref="E15:E23" si="2">ROUND(D15*10000/B15,0)</f>
        <v>#DIV/0!</v>
      </c>
      <c r="F15" s="3187" t="e">
        <f t="shared" ref="F15:F23" si="3">ROUND(D15*10000/C15,0)</f>
        <v>#DIV/0!</v>
      </c>
      <c r="G15" s="2755"/>
      <c r="H15" s="2755"/>
      <c r="I15" s="3188"/>
      <c r="J15" s="3191"/>
    </row>
    <row r="16" spans="1:10" ht="16.5">
      <c r="A16" s="3186" t="s">
        <v>2839</v>
      </c>
      <c r="B16" s="3188"/>
      <c r="C16" s="3188"/>
      <c r="D16" s="3188"/>
      <c r="E16" s="3187" t="e">
        <f t="shared" si="2"/>
        <v>#DIV/0!</v>
      </c>
      <c r="F16" s="3187" t="e">
        <f t="shared" si="3"/>
        <v>#DIV/0!</v>
      </c>
      <c r="G16" s="2755"/>
      <c r="H16" s="2755"/>
      <c r="I16" s="3188"/>
      <c r="J16" s="3191"/>
    </row>
    <row r="17" spans="1:10" ht="16.5">
      <c r="A17" s="3186" t="s">
        <v>2840</v>
      </c>
      <c r="B17" s="3188"/>
      <c r="C17" s="3188"/>
      <c r="D17" s="3188"/>
      <c r="E17" s="3187" t="e">
        <f t="shared" si="2"/>
        <v>#DIV/0!</v>
      </c>
      <c r="F17" s="3187" t="e">
        <f t="shared" si="3"/>
        <v>#DIV/0!</v>
      </c>
      <c r="G17" s="2755"/>
      <c r="H17" s="2755"/>
      <c r="I17" s="3188"/>
      <c r="J17" s="3191"/>
    </row>
    <row r="18" spans="1:10" ht="16.5">
      <c r="A18" s="3186" t="s">
        <v>2841</v>
      </c>
      <c r="B18" s="3188"/>
      <c r="C18" s="3188"/>
      <c r="D18" s="3188"/>
      <c r="E18" s="3187" t="e">
        <f t="shared" si="2"/>
        <v>#DIV/0!</v>
      </c>
      <c r="F18" s="3187" t="e">
        <f t="shared" si="3"/>
        <v>#DIV/0!</v>
      </c>
      <c r="G18" s="3188"/>
      <c r="H18" s="3188"/>
      <c r="I18" s="3188"/>
      <c r="J18" s="3191"/>
    </row>
    <row r="19" spans="1:10" ht="16.5">
      <c r="A19" s="3186" t="s">
        <v>2842</v>
      </c>
      <c r="B19" s="3188"/>
      <c r="C19" s="3188"/>
      <c r="D19" s="3188"/>
      <c r="E19" s="3187" t="e">
        <f t="shared" si="2"/>
        <v>#DIV/0!</v>
      </c>
      <c r="F19" s="3187" t="e">
        <f t="shared" si="3"/>
        <v>#DIV/0!</v>
      </c>
      <c r="G19" s="3188"/>
      <c r="H19" s="3188"/>
      <c r="I19" s="3188"/>
      <c r="J19" s="3191"/>
    </row>
    <row r="20" spans="1:10" ht="16.5">
      <c r="A20" s="3186" t="s">
        <v>2843</v>
      </c>
      <c r="B20" s="3188"/>
      <c r="C20" s="3188"/>
      <c r="D20" s="3188"/>
      <c r="E20" s="3187" t="e">
        <f t="shared" si="2"/>
        <v>#DIV/0!</v>
      </c>
      <c r="F20" s="3187" t="e">
        <f t="shared" si="3"/>
        <v>#DIV/0!</v>
      </c>
      <c r="G20" s="3188"/>
      <c r="H20" s="3188"/>
      <c r="I20" s="3188"/>
      <c r="J20" s="3191"/>
    </row>
    <row r="21" spans="1:10" ht="16.5">
      <c r="A21" s="3186" t="s">
        <v>2844</v>
      </c>
      <c r="B21" s="3188"/>
      <c r="C21" s="3188"/>
      <c r="D21" s="3188"/>
      <c r="E21" s="3187" t="e">
        <f t="shared" si="2"/>
        <v>#DIV/0!</v>
      </c>
      <c r="F21" s="3187" t="e">
        <f t="shared" si="3"/>
        <v>#DIV/0!</v>
      </c>
      <c r="G21" s="3188"/>
      <c r="H21" s="3188"/>
      <c r="I21" s="3188"/>
      <c r="J21" s="3191"/>
    </row>
    <row r="22" spans="1:10" ht="16.5">
      <c r="A22" s="3186" t="s">
        <v>2845</v>
      </c>
      <c r="B22" s="3188"/>
      <c r="C22" s="3188"/>
      <c r="D22" s="3188"/>
      <c r="E22" s="3187" t="e">
        <f t="shared" si="2"/>
        <v>#DIV/0!</v>
      </c>
      <c r="F22" s="3187" t="e">
        <f t="shared" si="3"/>
        <v>#DIV/0!</v>
      </c>
      <c r="G22" s="3188"/>
      <c r="H22" s="3188"/>
      <c r="I22" s="3188"/>
      <c r="J22" s="3191"/>
    </row>
    <row r="23" spans="1:10" ht="16.5">
      <c r="A23" s="3186" t="s">
        <v>2846</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492" t="s">
        <v>3073</v>
      </c>
      <c r="B1" s="3492"/>
      <c r="C1" s="3492"/>
      <c r="D1" s="3492"/>
    </row>
    <row r="2" spans="1:4" ht="28.5">
      <c r="A2" s="3329"/>
      <c r="B2" s="3329" t="s">
        <v>3041</v>
      </c>
      <c r="C2" s="3329" t="s">
        <v>3042</v>
      </c>
      <c r="D2" s="3329" t="s">
        <v>3043</v>
      </c>
    </row>
    <row r="3" spans="1:4" ht="39" customHeight="1">
      <c r="A3" s="3329" t="s">
        <v>3044</v>
      </c>
      <c r="B3" s="3329">
        <f ca="1">土储要求测算表!J11</f>
        <v>14262</v>
      </c>
      <c r="C3" s="3329" t="s">
        <v>3045</v>
      </c>
      <c r="D3" s="3329" t="s">
        <v>3045</v>
      </c>
    </row>
    <row r="4" spans="1:4" ht="39" customHeight="1">
      <c r="A4" s="3329" t="s">
        <v>3046</v>
      </c>
      <c r="B4" s="3329">
        <f ca="1">土储要求测算表!J12</f>
        <v>13018</v>
      </c>
      <c r="C4" s="3329">
        <f>土储要求测算表!H9</f>
        <v>15401.814</v>
      </c>
      <c r="D4" s="3329">
        <f ca="1">ROUND(B4*C4/10000,2)</f>
        <v>20050.080000000002</v>
      </c>
    </row>
    <row r="5" spans="1:4" ht="14.25">
      <c r="A5" s="3329" t="s">
        <v>3047</v>
      </c>
      <c r="B5" s="3329" t="s">
        <v>3048</v>
      </c>
      <c r="C5" s="3329">
        <f>C4</f>
        <v>15401.814</v>
      </c>
      <c r="D5" s="3330">
        <f ca="1">D4</f>
        <v>20050.080000000002</v>
      </c>
    </row>
    <row r="6" spans="1:4" ht="14.25">
      <c r="A6" s="3331"/>
      <c r="B6" s="3331"/>
      <c r="C6" s="3331"/>
      <c r="D6" s="3331"/>
    </row>
    <row r="7" spans="1:4" ht="28.5">
      <c r="A7" s="3329"/>
      <c r="B7" s="3329" t="s">
        <v>3049</v>
      </c>
      <c r="C7" s="3329" t="s">
        <v>3050</v>
      </c>
      <c r="D7" s="3329" t="s">
        <v>3043</v>
      </c>
    </row>
    <row r="8" spans="1:4" ht="28.5">
      <c r="A8" s="3329" t="s">
        <v>3052</v>
      </c>
      <c r="B8" s="3329">
        <f ca="1">ROUND(B3*0.25,0)</f>
        <v>3566</v>
      </c>
      <c r="C8" s="3329" t="str">
        <f>C3</f>
        <v>——</v>
      </c>
      <c r="D8" s="3329" t="str">
        <f>D3</f>
        <v>——</v>
      </c>
    </row>
    <row r="9" spans="1:4" ht="28.5">
      <c r="A9" s="3329" t="s">
        <v>3053</v>
      </c>
      <c r="B9" s="3329">
        <f ca="1">ROUND(B4*0.25,0)</f>
        <v>3255</v>
      </c>
      <c r="C9" s="3329">
        <f>C4</f>
        <v>15401.814</v>
      </c>
      <c r="D9" s="3329">
        <f ca="1">ROUND(B9*C9/10000,2)</f>
        <v>5013.29</v>
      </c>
    </row>
    <row r="10" spans="1:4" ht="28.5">
      <c r="A10" s="3329" t="s">
        <v>3051</v>
      </c>
      <c r="B10" s="3329" t="s">
        <v>3048</v>
      </c>
      <c r="C10" s="3329">
        <f>C9</f>
        <v>15401.814</v>
      </c>
      <c r="D10" s="3330">
        <f ca="1">D9</f>
        <v>5013.29</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0"/>
  <sheetViews>
    <sheetView tabSelected="1" workbookViewId="0">
      <selection activeCell="C13" sqref="C13"/>
    </sheetView>
  </sheetViews>
  <sheetFormatPr defaultColWidth="9" defaultRowHeight="15.75"/>
  <cols>
    <col min="1" max="1" width="10.75" style="3326" customWidth="1"/>
    <col min="2" max="2" width="7.5" style="3326" customWidth="1"/>
    <col min="3" max="3" width="9" style="3326" customWidth="1"/>
    <col min="4" max="4" width="6.125" style="3326" customWidth="1"/>
    <col min="5" max="5" width="7.625" style="3326" customWidth="1"/>
    <col min="6" max="6" width="7.75" style="3326" customWidth="1"/>
    <col min="7" max="7" width="6.125" style="3326" customWidth="1"/>
    <col min="8" max="8" width="9.875" style="3326" customWidth="1"/>
    <col min="9" max="9" width="14.5" style="3327" customWidth="1"/>
    <col min="10" max="10" width="8.5" style="3327" customWidth="1"/>
    <col min="11" max="11" width="7.75" style="3328" customWidth="1"/>
    <col min="12" max="14" width="12.5" style="3326" customWidth="1"/>
    <col min="15" max="15" width="5.625" style="3326" customWidth="1"/>
    <col min="16" max="16384" width="9" style="3326"/>
  </cols>
  <sheetData>
    <row r="1" spans="1:16" s="3281" customFormat="1" ht="14.25">
      <c r="A1" s="3493" t="s">
        <v>3176</v>
      </c>
      <c r="B1" s="3493"/>
      <c r="C1" s="3493"/>
      <c r="D1" s="3493"/>
      <c r="E1" s="3493"/>
      <c r="F1" s="3493"/>
      <c r="G1" s="3493"/>
      <c r="H1" s="3493"/>
      <c r="I1" s="3494"/>
      <c r="J1" s="3493"/>
      <c r="K1" s="3494"/>
    </row>
    <row r="2" spans="1:16" s="3281" customFormat="1" ht="36">
      <c r="A2" s="3282" t="s">
        <v>2996</v>
      </c>
      <c r="B2" s="3283" t="s">
        <v>2997</v>
      </c>
      <c r="C2" s="3284" t="s">
        <v>2998</v>
      </c>
      <c r="D2" s="3285" t="s">
        <v>2999</v>
      </c>
      <c r="E2" s="3285" t="s">
        <v>3000</v>
      </c>
      <c r="F2" s="3285" t="s">
        <v>3001</v>
      </c>
      <c r="G2" s="3285" t="s">
        <v>3002</v>
      </c>
      <c r="H2" s="3285" t="s">
        <v>3003</v>
      </c>
      <c r="I2" s="3285" t="s">
        <v>3004</v>
      </c>
      <c r="J2" s="3286" t="s">
        <v>3005</v>
      </c>
      <c r="K2" s="3287" t="s">
        <v>3006</v>
      </c>
    </row>
    <row r="3" spans="1:16" s="3293" customFormat="1" ht="10.5">
      <c r="A3" s="3285" t="s">
        <v>3007</v>
      </c>
      <c r="B3" s="3288">
        <f>基准地价商业!C6</f>
        <v>9300</v>
      </c>
      <c r="C3" s="3289">
        <f>基准地价商业!C7</f>
        <v>1</v>
      </c>
      <c r="D3" s="3285">
        <f>基准地价商业!C16</f>
        <v>-56</v>
      </c>
      <c r="E3" s="3290">
        <f>基准地价商业!C18</f>
        <v>1.1000000000000001</v>
      </c>
      <c r="F3" s="3290">
        <f>基准地价商业!C19</f>
        <v>1.3906000000000001</v>
      </c>
      <c r="G3" s="3290">
        <f ca="1">基准地价商业!C20</f>
        <v>1</v>
      </c>
      <c r="H3" s="3290">
        <f>基准地价商业!C21</f>
        <v>0.96160000000000001</v>
      </c>
      <c r="I3" s="3290">
        <f>基准地价商业!C24</f>
        <v>1.0431999999999999</v>
      </c>
      <c r="J3" s="3291">
        <f t="shared" ref="J3:J4" ca="1" si="0">ROUND((B3*C3+D3)*E3*F3*G3*H3*I3,0)</f>
        <v>14185</v>
      </c>
      <c r="K3" s="3292">
        <f t="shared" ref="K3:K9" ca="1" si="1">J3*0.25</f>
        <v>3546.25</v>
      </c>
    </row>
    <row r="4" spans="1:16" s="3293" customFormat="1" ht="10.5">
      <c r="A4" s="3285" t="s">
        <v>1665</v>
      </c>
      <c r="B4" s="3288">
        <f>基准地价办公!C6</f>
        <v>9270</v>
      </c>
      <c r="C4" s="3289">
        <v>1</v>
      </c>
      <c r="D4" s="3285">
        <f>基准地价办公!C16</f>
        <v>-56</v>
      </c>
      <c r="E4" s="3290">
        <f>基准地价办公!C18</f>
        <v>1</v>
      </c>
      <c r="F4" s="3290">
        <f>基准地价办公!C19</f>
        <v>1.3906000000000001</v>
      </c>
      <c r="G4" s="3290">
        <f ca="1">基准地价办公!C20</f>
        <v>1</v>
      </c>
      <c r="H4" s="3290">
        <f>基准地价办公!C21</f>
        <v>0.96399999999999997</v>
      </c>
      <c r="I4" s="3290">
        <f>基准地价办公!C24</f>
        <v>1.0448999999999999</v>
      </c>
      <c r="J4" s="3291">
        <f t="shared" ca="1" si="0"/>
        <v>12906</v>
      </c>
      <c r="K4" s="3292">
        <f t="shared" ca="1" si="1"/>
        <v>3226.5</v>
      </c>
      <c r="L4" s="3294"/>
      <c r="M4" s="3380"/>
      <c r="N4" s="3380"/>
    </row>
    <row r="5" spans="1:16" s="3281" customFormat="1" ht="14.25">
      <c r="A5" s="3495" t="s">
        <v>3032</v>
      </c>
      <c r="B5" s="3495"/>
      <c r="C5" s="3495"/>
      <c r="D5" s="3495"/>
      <c r="E5" s="3495"/>
      <c r="F5" s="3495"/>
      <c r="G5" s="3495"/>
      <c r="H5" s="3495"/>
      <c r="I5" s="3495"/>
      <c r="J5" s="3495" t="s">
        <v>3008</v>
      </c>
      <c r="K5" s="3495"/>
    </row>
    <row r="6" spans="1:16" s="3281" customFormat="1" ht="27">
      <c r="A6" s="3282" t="s">
        <v>3009</v>
      </c>
      <c r="B6" s="3284" t="s">
        <v>3010</v>
      </c>
      <c r="C6" s="3283" t="s">
        <v>3011</v>
      </c>
      <c r="D6" s="3283" t="s">
        <v>3012</v>
      </c>
      <c r="E6" s="3283" t="s">
        <v>3013</v>
      </c>
      <c r="F6" s="3283" t="s">
        <v>3014</v>
      </c>
      <c r="G6" s="3283" t="s">
        <v>3015</v>
      </c>
      <c r="H6" s="3283" t="s">
        <v>3016</v>
      </c>
      <c r="I6" s="3283" t="s">
        <v>3017</v>
      </c>
      <c r="J6" s="3295" t="s">
        <v>3005</v>
      </c>
      <c r="K6" s="3296" t="s">
        <v>3006</v>
      </c>
    </row>
    <row r="7" spans="1:16" s="3304" customFormat="1" ht="14.25" hidden="1">
      <c r="A7" s="3297" t="s">
        <v>3018</v>
      </c>
      <c r="B7" s="3298"/>
      <c r="C7" s="3299"/>
      <c r="D7" s="3300"/>
      <c r="E7" s="3300"/>
      <c r="F7" s="3300"/>
      <c r="G7" s="3300"/>
      <c r="H7" s="3299"/>
      <c r="I7" s="3301"/>
      <c r="J7" s="3302"/>
      <c r="K7" s="3303">
        <f t="shared" si="1"/>
        <v>0</v>
      </c>
    </row>
    <row r="8" spans="1:16" s="3304" customFormat="1" ht="14.25">
      <c r="A8" s="3297" t="s">
        <v>3019</v>
      </c>
      <c r="B8" s="3298">
        <f ca="1">剩余法商业!C8</f>
        <v>29271</v>
      </c>
      <c r="C8" s="3299">
        <v>0</v>
      </c>
      <c r="D8" s="3298">
        <v>0</v>
      </c>
      <c r="E8" s="3298">
        <v>0</v>
      </c>
      <c r="F8" s="3298">
        <v>0</v>
      </c>
      <c r="G8" s="3298">
        <v>0</v>
      </c>
      <c r="H8" s="3299">
        <v>0</v>
      </c>
      <c r="I8" s="3301">
        <f t="shared" ref="I8:I9" ca="1" si="2">B8</f>
        <v>29271</v>
      </c>
      <c r="J8" s="3305">
        <f ca="1">剩余法商业!C37</f>
        <v>14339</v>
      </c>
      <c r="K8" s="3303">
        <f t="shared" ca="1" si="1"/>
        <v>3584.75</v>
      </c>
    </row>
    <row r="9" spans="1:16" s="3281" customFormat="1" ht="14.25">
      <c r="A9" s="3283" t="s">
        <v>3020</v>
      </c>
      <c r="B9" s="3298">
        <f ca="1">剩余法办公!C8</f>
        <v>26331</v>
      </c>
      <c r="C9" s="3306">
        <f>H9</f>
        <v>15401.814</v>
      </c>
      <c r="D9" s="3300">
        <v>0</v>
      </c>
      <c r="E9" s="3306">
        <v>0</v>
      </c>
      <c r="F9" s="3306">
        <v>0</v>
      </c>
      <c r="G9" s="3306">
        <v>0</v>
      </c>
      <c r="H9" s="3306">
        <f>'数据-汇总表'!F20</f>
        <v>15401.814</v>
      </c>
      <c r="I9" s="3301">
        <f t="shared" ca="1" si="2"/>
        <v>26331</v>
      </c>
      <c r="J9" s="3305">
        <f ca="1">剩余法办公!C37</f>
        <v>13130</v>
      </c>
      <c r="K9" s="3303">
        <f t="shared" ca="1" si="1"/>
        <v>3282.5</v>
      </c>
    </row>
    <row r="10" spans="1:16" s="3281" customFormat="1" ht="22.5">
      <c r="A10" s="3307" t="s">
        <v>3021</v>
      </c>
      <c r="B10" s="3308" t="s">
        <v>3022</v>
      </c>
      <c r="C10" s="3308" t="s">
        <v>3023</v>
      </c>
      <c r="D10" s="3308" t="s">
        <v>3024</v>
      </c>
      <c r="E10" s="3308" t="s">
        <v>3023</v>
      </c>
      <c r="F10" s="3308"/>
      <c r="G10" s="3308"/>
      <c r="H10" s="3308" t="s">
        <v>3025</v>
      </c>
      <c r="I10" s="3308" t="s">
        <v>3026</v>
      </c>
      <c r="J10" s="3308" t="s">
        <v>3027</v>
      </c>
      <c r="K10" s="3308" t="s">
        <v>3006</v>
      </c>
    </row>
    <row r="11" spans="1:16" s="3281" customFormat="1" ht="14.25">
      <c r="A11" s="3283" t="s">
        <v>3028</v>
      </c>
      <c r="B11" s="3309">
        <f ca="1">J3</f>
        <v>14185</v>
      </c>
      <c r="C11" s="3394">
        <v>0.5</v>
      </c>
      <c r="D11" s="3310">
        <f ca="1">J8</f>
        <v>14339</v>
      </c>
      <c r="E11" s="3311">
        <f t="shared" ref="E11:E12" si="3">1-C11</f>
        <v>0.5</v>
      </c>
      <c r="F11" s="3300"/>
      <c r="G11" s="3311"/>
      <c r="H11" s="3306">
        <v>0</v>
      </c>
      <c r="I11" s="3312">
        <v>0</v>
      </c>
      <c r="J11" s="3305">
        <f ca="1">ROUND(B11*C11+D11*E11,0)</f>
        <v>14262</v>
      </c>
      <c r="K11" s="3313">
        <f ca="1">ROUND(J11*0.25,0)</f>
        <v>3566</v>
      </c>
      <c r="L11" s="3314"/>
      <c r="M11" s="3314">
        <v>12385</v>
      </c>
      <c r="N11" s="3314"/>
      <c r="O11" s="3314"/>
    </row>
    <row r="12" spans="1:16" s="3281" customFormat="1" ht="14.25">
      <c r="A12" s="3283" t="s">
        <v>1665</v>
      </c>
      <c r="B12" s="3309">
        <f ca="1">J4</f>
        <v>12906</v>
      </c>
      <c r="C12" s="3394">
        <f>C11</f>
        <v>0.5</v>
      </c>
      <c r="D12" s="3310">
        <f ca="1">J9</f>
        <v>13130</v>
      </c>
      <c r="E12" s="3311">
        <f t="shared" si="3"/>
        <v>0.5</v>
      </c>
      <c r="F12" s="3300"/>
      <c r="G12" s="3311"/>
      <c r="H12" s="3306">
        <f>H9</f>
        <v>15401.814</v>
      </c>
      <c r="I12" s="3312">
        <f ca="1">ROUND(J12*H12/10000,2)</f>
        <v>20050.080000000002</v>
      </c>
      <c r="J12" s="3305">
        <f ca="1">ROUND(B12*C12+D12*E12,0)</f>
        <v>13018</v>
      </c>
      <c r="K12" s="3313">
        <f ca="1">ROUND(J12*0.25,0)</f>
        <v>3255</v>
      </c>
      <c r="L12" s="3377">
        <f ca="1">K12*H12/10000</f>
        <v>5013.2904570000001</v>
      </c>
      <c r="M12" s="3377">
        <v>11192</v>
      </c>
      <c r="N12" s="3377"/>
      <c r="P12" s="3315"/>
    </row>
    <row r="13" spans="1:16" s="3281" customFormat="1" ht="14.25">
      <c r="A13" s="3316" t="s">
        <v>3026</v>
      </c>
      <c r="B13" s="3317"/>
      <c r="C13" s="3317"/>
      <c r="D13" s="3317"/>
      <c r="E13" s="3317"/>
      <c r="F13" s="3317"/>
      <c r="G13" s="3317"/>
      <c r="H13" s="3317"/>
      <c r="I13" s="3318">
        <f ca="1">I12</f>
        <v>20050.080000000002</v>
      </c>
      <c r="J13" s="3317"/>
      <c r="K13" s="3319"/>
    </row>
    <row r="14" spans="1:16" s="3281" customFormat="1" ht="14.25">
      <c r="A14" s="3285" t="s">
        <v>3029</v>
      </c>
      <c r="B14" s="3320"/>
      <c r="C14" s="3320"/>
      <c r="D14" s="3320"/>
      <c r="E14" s="3320"/>
      <c r="F14" s="3320"/>
      <c r="G14" s="3320"/>
      <c r="H14" s="3320"/>
      <c r="I14" s="3312">
        <f ca="1">ROUND(K12*H12/10000,2)</f>
        <v>5013.29</v>
      </c>
      <c r="J14" s="3320"/>
      <c r="K14" s="3321"/>
    </row>
    <row r="15" spans="1:16" s="3281" customFormat="1" ht="14.25">
      <c r="A15" s="3285" t="s">
        <v>3030</v>
      </c>
      <c r="B15" s="3320"/>
      <c r="C15" s="3320"/>
      <c r="D15" s="3320"/>
      <c r="E15" s="3320"/>
      <c r="F15" s="3320"/>
      <c r="G15" s="3320"/>
      <c r="H15" s="3320"/>
      <c r="I15" s="3322">
        <v>8299.32</v>
      </c>
      <c r="J15" s="3320"/>
      <c r="K15" s="3321"/>
    </row>
    <row r="16" spans="1:16" s="3281" customFormat="1" ht="14.25">
      <c r="A16" s="3285" t="s">
        <v>3031</v>
      </c>
      <c r="B16" s="3320"/>
      <c r="C16" s="3320"/>
      <c r="D16" s="3320"/>
      <c r="E16" s="3320"/>
      <c r="F16" s="3320"/>
      <c r="G16" s="3320"/>
      <c r="H16" s="3320"/>
      <c r="I16" s="3342">
        <f ca="1">I14+I15</f>
        <v>13312.61</v>
      </c>
      <c r="J16" s="3320"/>
      <c r="K16" s="3321"/>
    </row>
    <row r="17" spans="9:11" s="3323" customFormat="1">
      <c r="I17" s="3324"/>
      <c r="J17" s="3324"/>
      <c r="K17" s="3325"/>
    </row>
    <row r="19" spans="9:11">
      <c r="I19" s="3327">
        <v>199429</v>
      </c>
    </row>
    <row r="20" spans="9:11">
      <c r="I20" s="3376">
        <f ca="1">L12</f>
        <v>5013.2904570000001</v>
      </c>
    </row>
  </sheetData>
  <mergeCells count="3">
    <mergeCell ref="A1:K1"/>
    <mergeCell ref="A5:I5"/>
    <mergeCell ref="J5:K5"/>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540" t="str">
        <f>项目基本情况!K2</f>
        <v>北京市国有建设用地使用权</v>
      </c>
      <c r="B2" s="3541"/>
      <c r="C2" s="3542"/>
      <c r="D2" s="3542"/>
      <c r="E2" s="3542"/>
      <c r="F2" s="3542"/>
      <c r="G2" s="3541"/>
      <c r="H2" s="3541"/>
      <c r="I2" s="3543"/>
      <c r="J2" s="1910"/>
      <c r="K2" s="1909"/>
      <c r="L2" s="1909"/>
      <c r="M2" s="1909"/>
      <c r="N2" s="1909"/>
      <c r="O2" s="1909"/>
      <c r="P2" s="1909"/>
      <c r="Q2" s="1909"/>
      <c r="R2" s="1909"/>
      <c r="S2" s="1909"/>
      <c r="T2" s="1909"/>
      <c r="U2" s="1909"/>
      <c r="V2" s="1909"/>
    </row>
    <row r="3" spans="1:22" ht="14.25">
      <c r="A3" s="3533" t="s">
        <v>296</v>
      </c>
      <c r="B3" s="3534"/>
      <c r="C3" s="3534"/>
      <c r="D3" s="3534"/>
      <c r="E3" s="3534"/>
      <c r="F3" s="3534"/>
      <c r="G3" s="3534"/>
      <c r="H3" s="3534"/>
      <c r="I3" s="3534"/>
      <c r="J3" s="1910"/>
      <c r="K3" s="1909"/>
      <c r="L3" s="1909"/>
      <c r="M3" s="1909"/>
      <c r="N3" s="1909"/>
      <c r="O3" s="1909"/>
      <c r="P3" s="1909"/>
      <c r="Q3" s="1909"/>
      <c r="R3" s="1909"/>
      <c r="S3" s="1909"/>
      <c r="T3" s="1909"/>
      <c r="U3" s="1909"/>
      <c r="V3" s="1909"/>
    </row>
    <row r="4" spans="1:22" ht="14.25">
      <c r="A4" s="254" t="s">
        <v>297</v>
      </c>
      <c r="B4" s="255" t="s">
        <v>298</v>
      </c>
      <c r="C4" s="256" t="s">
        <v>3159</v>
      </c>
      <c r="D4" s="256" t="s">
        <v>3160</v>
      </c>
      <c r="E4" s="3499" t="s">
        <v>299</v>
      </c>
      <c r="F4" s="3500"/>
      <c r="G4" s="3500"/>
      <c r="H4" s="3500"/>
      <c r="I4" s="3535"/>
      <c r="J4" s="1910"/>
      <c r="K4" s="1909"/>
      <c r="L4" s="3192"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498" t="s">
        <v>300</v>
      </c>
      <c r="B5" s="3527">
        <v>25</v>
      </c>
      <c r="C5" s="3525">
        <v>3</v>
      </c>
      <c r="D5" s="3529">
        <v>7</v>
      </c>
      <c r="E5" s="257" t="s">
        <v>301</v>
      </c>
      <c r="F5" s="258"/>
      <c r="G5" s="258"/>
      <c r="H5" s="258"/>
      <c r="I5" s="259"/>
      <c r="J5" s="1910"/>
      <c r="K5" s="1909"/>
      <c r="L5" s="1909"/>
      <c r="M5" s="1909"/>
      <c r="N5" s="1909"/>
      <c r="O5" s="1909"/>
      <c r="P5" s="1909"/>
      <c r="Q5" s="1909"/>
      <c r="R5" s="1909"/>
      <c r="S5" s="1909"/>
      <c r="T5" s="1909"/>
      <c r="U5" s="1909"/>
      <c r="V5" s="1909"/>
    </row>
    <row r="6" spans="1:22" ht="14.25">
      <c r="A6" s="3498"/>
      <c r="B6" s="3527"/>
      <c r="C6" s="3528"/>
      <c r="D6" s="3529"/>
      <c r="E6" s="257" t="s">
        <v>302</v>
      </c>
      <c r="F6" s="258"/>
      <c r="G6" s="258"/>
      <c r="H6" s="258"/>
      <c r="I6" s="259"/>
      <c r="J6" s="1910"/>
      <c r="K6" s="1909"/>
      <c r="L6" s="1909"/>
      <c r="M6" s="1909"/>
      <c r="N6" s="1909"/>
      <c r="O6" s="1909"/>
      <c r="P6" s="1909"/>
      <c r="Q6" s="1909"/>
      <c r="R6" s="1909"/>
      <c r="S6" s="1909"/>
      <c r="T6" s="1909"/>
      <c r="U6" s="1909"/>
      <c r="V6" s="1909"/>
    </row>
    <row r="7" spans="1:22" ht="14.25">
      <c r="A7" s="3498"/>
      <c r="B7" s="3527"/>
      <c r="C7" s="3526"/>
      <c r="D7" s="3529"/>
      <c r="E7" s="257" t="s">
        <v>303</v>
      </c>
      <c r="F7" s="258"/>
      <c r="G7" s="258"/>
      <c r="H7" s="258"/>
      <c r="I7" s="259"/>
      <c r="J7" s="1910"/>
      <c r="K7" s="1909"/>
      <c r="L7" s="1909"/>
      <c r="M7" s="1909"/>
      <c r="N7" s="1909"/>
      <c r="O7" s="1909"/>
      <c r="P7" s="1909"/>
      <c r="Q7" s="1909"/>
      <c r="R7" s="1909"/>
      <c r="S7" s="1909"/>
      <c r="T7" s="1909"/>
      <c r="U7" s="1909"/>
      <c r="V7" s="1909"/>
    </row>
    <row r="8" spans="1:22" ht="14.25">
      <c r="A8" s="3498" t="s">
        <v>304</v>
      </c>
      <c r="B8" s="3527">
        <v>15</v>
      </c>
      <c r="C8" s="3525"/>
      <c r="D8" s="3529"/>
      <c r="E8" s="257" t="s">
        <v>305</v>
      </c>
      <c r="F8" s="258"/>
      <c r="G8" s="258"/>
      <c r="H8" s="258"/>
      <c r="I8" s="259"/>
      <c r="J8" s="1910"/>
      <c r="K8" s="1909"/>
      <c r="L8" s="1909"/>
      <c r="M8" s="1909"/>
      <c r="N8" s="1909"/>
      <c r="O8" s="1909"/>
      <c r="P8" s="1909"/>
      <c r="Q8" s="1909"/>
      <c r="R8" s="1909"/>
      <c r="S8" s="1909"/>
      <c r="T8" s="1909"/>
      <c r="U8" s="1909"/>
      <c r="V8" s="1909"/>
    </row>
    <row r="9" spans="1:22" ht="14.25">
      <c r="A9" s="3498"/>
      <c r="B9" s="3527"/>
      <c r="C9" s="3526"/>
      <c r="D9" s="3529"/>
      <c r="E9" s="257" t="s">
        <v>306</v>
      </c>
      <c r="F9" s="258"/>
      <c r="G9" s="258"/>
      <c r="H9" s="258"/>
      <c r="I9" s="259"/>
      <c r="J9" s="1910"/>
      <c r="K9" s="1909"/>
      <c r="L9" s="1909"/>
      <c r="M9" s="1909"/>
      <c r="N9" s="1909"/>
      <c r="O9" s="1909"/>
      <c r="P9" s="1909"/>
      <c r="Q9" s="1909"/>
      <c r="R9" s="1909"/>
      <c r="S9" s="1909"/>
      <c r="T9" s="1909"/>
      <c r="U9" s="1909"/>
      <c r="V9" s="1909"/>
    </row>
    <row r="10" spans="1:22" ht="14.25">
      <c r="A10" s="3498" t="s">
        <v>307</v>
      </c>
      <c r="B10" s="3527">
        <v>15</v>
      </c>
      <c r="C10" s="3525"/>
      <c r="D10" s="3529"/>
      <c r="E10" s="257" t="s">
        <v>308</v>
      </c>
      <c r="F10" s="258"/>
      <c r="G10" s="258"/>
      <c r="H10" s="258"/>
      <c r="I10" s="259"/>
      <c r="J10" s="1910"/>
      <c r="K10" s="1909"/>
      <c r="L10" s="1909"/>
      <c r="M10" s="1909"/>
      <c r="N10" s="1909"/>
      <c r="O10" s="1909"/>
      <c r="P10" s="1909"/>
      <c r="Q10" s="1909"/>
      <c r="R10" s="1909"/>
      <c r="S10" s="1909"/>
      <c r="T10" s="1909"/>
      <c r="U10" s="1909"/>
      <c r="V10" s="1909"/>
    </row>
    <row r="11" spans="1:22" ht="14.25">
      <c r="A11" s="3498"/>
      <c r="B11" s="3527"/>
      <c r="C11" s="3526"/>
      <c r="D11" s="3529"/>
      <c r="E11" s="257" t="s">
        <v>309</v>
      </c>
      <c r="F11" s="258"/>
      <c r="G11" s="258"/>
      <c r="H11" s="258"/>
      <c r="I11" s="259"/>
      <c r="J11" s="1910"/>
      <c r="K11" s="1909"/>
      <c r="L11" s="1909"/>
      <c r="M11" s="1909"/>
      <c r="N11" s="1909"/>
      <c r="O11" s="1909"/>
      <c r="P11" s="1909"/>
      <c r="Q11" s="1909"/>
      <c r="R11" s="1909"/>
      <c r="S11" s="1909"/>
      <c r="T11" s="1909"/>
      <c r="U11" s="1909"/>
      <c r="V11" s="1909"/>
    </row>
    <row r="12" spans="1:22" ht="14.25">
      <c r="A12" s="3498" t="s">
        <v>310</v>
      </c>
      <c r="B12" s="3527">
        <v>15</v>
      </c>
      <c r="C12" s="3525"/>
      <c r="D12" s="3529"/>
      <c r="E12" s="257" t="s">
        <v>311</v>
      </c>
      <c r="F12" s="258"/>
      <c r="G12" s="258"/>
      <c r="H12" s="258"/>
      <c r="I12" s="259"/>
      <c r="J12" s="1910"/>
      <c r="K12" s="1909"/>
      <c r="L12" s="1909"/>
      <c r="M12" s="1909"/>
      <c r="N12" s="1909"/>
      <c r="O12" s="1909"/>
      <c r="P12" s="1909"/>
      <c r="Q12" s="1909"/>
      <c r="R12" s="1909"/>
      <c r="S12" s="1909"/>
      <c r="T12" s="1909"/>
      <c r="U12" s="1909"/>
      <c r="V12" s="1909"/>
    </row>
    <row r="13" spans="1:22" ht="14.25">
      <c r="A13" s="3498"/>
      <c r="B13" s="3527"/>
      <c r="C13" s="3526"/>
      <c r="D13" s="3529"/>
      <c r="E13" s="257" t="s">
        <v>312</v>
      </c>
      <c r="F13" s="258"/>
      <c r="G13" s="258"/>
      <c r="H13" s="258"/>
      <c r="I13" s="259"/>
      <c r="J13" s="1910"/>
      <c r="K13" s="1909"/>
      <c r="L13" s="1909"/>
      <c r="M13" s="1909"/>
      <c r="N13" s="1909"/>
      <c r="O13" s="1909"/>
      <c r="P13" s="1909"/>
      <c r="Q13" s="1909"/>
      <c r="R13" s="1909"/>
      <c r="S13" s="1909"/>
      <c r="T13" s="1909"/>
      <c r="U13" s="1909"/>
      <c r="V13" s="1909"/>
    </row>
    <row r="14" spans="1:22" ht="14.25">
      <c r="A14" s="3498" t="s">
        <v>313</v>
      </c>
      <c r="B14" s="3527">
        <v>30</v>
      </c>
      <c r="C14" s="3525"/>
      <c r="D14" s="3529"/>
      <c r="E14" s="257" t="s">
        <v>314</v>
      </c>
      <c r="F14" s="258"/>
      <c r="G14" s="258"/>
      <c r="H14" s="258"/>
      <c r="I14" s="259"/>
      <c r="J14" s="1910"/>
      <c r="K14" s="1909"/>
      <c r="L14" s="1909"/>
      <c r="M14" s="1909"/>
      <c r="N14" s="1909"/>
      <c r="O14" s="1909"/>
      <c r="P14" s="1909"/>
      <c r="Q14" s="1909"/>
      <c r="R14" s="1909"/>
      <c r="S14" s="1909"/>
      <c r="T14" s="1909"/>
      <c r="U14" s="1909"/>
      <c r="V14" s="1909"/>
    </row>
    <row r="15" spans="1:22" ht="14.25">
      <c r="A15" s="3498"/>
      <c r="B15" s="3527"/>
      <c r="C15" s="3528"/>
      <c r="D15" s="3529"/>
      <c r="E15" s="257" t="s">
        <v>315</v>
      </c>
      <c r="F15" s="258"/>
      <c r="G15" s="258"/>
      <c r="H15" s="258"/>
      <c r="I15" s="259"/>
      <c r="J15" s="1910"/>
      <c r="K15" s="1909"/>
      <c r="L15" s="1909"/>
      <c r="M15" s="1909"/>
      <c r="N15" s="1909"/>
      <c r="O15" s="1909"/>
      <c r="P15" s="1909"/>
      <c r="Q15" s="1909"/>
      <c r="R15" s="1909"/>
      <c r="S15" s="1909"/>
      <c r="T15" s="1909"/>
      <c r="U15" s="1909"/>
      <c r="V15" s="1909"/>
    </row>
    <row r="16" spans="1:22" ht="14.25">
      <c r="A16" s="3498"/>
      <c r="B16" s="3527"/>
      <c r="C16" s="3526"/>
      <c r="D16" s="3529"/>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530" t="s">
        <v>2956</v>
      </c>
      <c r="F18" s="3531"/>
      <c r="G18" s="3531"/>
      <c r="H18" s="3531"/>
      <c r="I18" s="3531"/>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19878</v>
      </c>
      <c r="D19" s="267">
        <f ca="1">SUMIF(INDIRECT("'"&amp;D4&amp;"'"&amp;"!A:A"),结果表!B19,INDIRECT("'"&amp;D4&amp;"'"&amp;"!B:B"))</f>
        <v>20222</v>
      </c>
      <c r="E19" s="264" t="s">
        <v>321</v>
      </c>
      <c r="F19" s="265" t="s">
        <v>320</v>
      </c>
      <c r="G19" s="268">
        <f ca="1">ROUND(C19*$C$18+D19*$D$18,0)</f>
        <v>20119</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12906</v>
      </c>
      <c r="D20" s="273">
        <f ca="1">SUMIF(INDIRECT("'"&amp;D4&amp;"'"&amp;"!A:A"),结果表!B20,INDIRECT("'"&amp;D4&amp;"'"&amp;"!B:B"))</f>
        <v>13130</v>
      </c>
      <c r="E20" s="270"/>
      <c r="F20" s="271" t="s">
        <v>323</v>
      </c>
      <c r="G20" s="274">
        <f ca="1">ROUND(C20*$C$18+D20*$D$18,0)</f>
        <v>13063</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36138</v>
      </c>
      <c r="D21" s="148">
        <f ca="1">SUMIF(INDIRECT("'"&amp;D4&amp;"'"&amp;"!A:A"),结果表!B21,INDIRECT("'"&amp;D4&amp;"'"&amp;"!B:B"))</f>
        <v>73526</v>
      </c>
      <c r="E21" s="270"/>
      <c r="F21" s="276" t="s">
        <v>325</v>
      </c>
      <c r="G21" s="278">
        <f ca="1">ROUND(C21*$C$18+D21*$D$18,0)</f>
        <v>62310</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1.730556394003413E-2</v>
      </c>
      <c r="E22" s="280"/>
      <c r="F22" s="281"/>
      <c r="G22" s="282">
        <f ca="1">ROUND(G19/('数据-汇总表'!D3/666.67),0)</f>
        <v>2438</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504"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505"/>
      <c r="B25" s="1273" t="s">
        <v>329</v>
      </c>
      <c r="C25" s="286">
        <f>IF(B30=0,0,C30)</f>
        <v>0</v>
      </c>
      <c r="D25" s="287"/>
      <c r="E25" s="307"/>
      <c r="F25" s="307"/>
      <c r="G25" s="307"/>
      <c r="H25" s="307"/>
      <c r="I25" s="307"/>
      <c r="J25" s="1909"/>
      <c r="K25" s="1207" t="str">
        <f ca="1">项目基本情况!B16&amp;"国有建设用地使用权价格："&amp;O38&amp;"万元"</f>
        <v>国有建设用地使用权价格：20119万元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大写金额：人民币贰亿零壹佰壹拾玖万元整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单位面积地价：36576元/平方米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楼面地价：6531元/平方米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3001"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532" t="s">
        <v>2958</v>
      </c>
      <c r="B31" s="3532"/>
      <c r="C31" s="3532"/>
      <c r="D31" s="3532"/>
      <c r="E31" s="3532"/>
      <c r="F31" s="3532"/>
      <c r="G31" s="3532"/>
      <c r="H31" s="3532"/>
      <c r="I31" s="3532"/>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3002" t="s">
        <v>1676</v>
      </c>
      <c r="C32" s="262">
        <f ca="1">G19-C24</f>
        <v>20119</v>
      </c>
      <c r="D32" s="3003"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6531</v>
      </c>
      <c r="D33" s="1332" t="s">
        <v>1679</v>
      </c>
      <c r="E33" s="3504"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36576</v>
      </c>
      <c r="D34" s="1334" t="s">
        <v>1679</v>
      </c>
      <c r="E34" s="3548"/>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2438</v>
      </c>
      <c r="D35" s="1337" t="s">
        <v>1681</v>
      </c>
      <c r="E35" s="3549"/>
      <c r="F35" s="297" t="s">
        <v>340</v>
      </c>
      <c r="G35" s="968"/>
      <c r="H35" s="967" t="s">
        <v>341</v>
      </c>
      <c r="I35" s="307"/>
      <c r="J35" s="1909"/>
      <c r="K35" s="3522" t="s">
        <v>348</v>
      </c>
      <c r="L35" s="3522" t="s">
        <v>349</v>
      </c>
      <c r="M35" s="1216" t="s">
        <v>350</v>
      </c>
      <c r="N35" s="3522" t="s">
        <v>351</v>
      </c>
      <c r="O35" s="3522" t="s">
        <v>352</v>
      </c>
      <c r="P35" s="1909"/>
      <c r="V35" s="1909"/>
    </row>
    <row r="36" spans="1:26" ht="16.5" customHeight="1">
      <c r="A36" s="299" t="s">
        <v>342</v>
      </c>
      <c r="B36" s="300" t="s">
        <v>331</v>
      </c>
      <c r="C36" s="301" t="s">
        <v>343</v>
      </c>
      <c r="D36" s="301" t="s">
        <v>344</v>
      </c>
      <c r="E36" s="302" t="s">
        <v>345</v>
      </c>
      <c r="F36" s="307"/>
      <c r="G36" s="307"/>
      <c r="H36" s="307"/>
      <c r="I36" s="307"/>
      <c r="J36" s="1911"/>
      <c r="K36" s="3523"/>
      <c r="L36" s="3523"/>
      <c r="M36" s="1218" t="s">
        <v>353</v>
      </c>
      <c r="N36" s="3523"/>
      <c r="O36" s="3523"/>
      <c r="P36" s="1909"/>
      <c r="V36" s="1909"/>
    </row>
    <row r="37" spans="1:26" ht="16.5" customHeight="1" thickBot="1">
      <c r="A37" s="1212" t="s">
        <v>346</v>
      </c>
      <c r="B37" s="303"/>
      <c r="C37" s="290"/>
      <c r="D37" s="290"/>
      <c r="E37" s="291"/>
      <c r="F37" s="307"/>
      <c r="G37" s="307"/>
      <c r="H37" s="307"/>
      <c r="I37" s="307"/>
      <c r="J37" s="1911"/>
      <c r="K37" s="3524"/>
      <c r="L37" s="3524"/>
      <c r="M37" s="1219"/>
      <c r="N37" s="3524"/>
      <c r="O37" s="3524"/>
      <c r="P37" s="1909"/>
      <c r="V37" s="1909"/>
    </row>
    <row r="38" spans="1:26" ht="16.5" customHeight="1" thickBot="1">
      <c r="A38" s="1212" t="s">
        <v>347</v>
      </c>
      <c r="B38" s="303"/>
      <c r="C38" s="290"/>
      <c r="D38" s="290"/>
      <c r="E38" s="291"/>
      <c r="F38" s="307"/>
      <c r="G38" s="307"/>
      <c r="H38" s="307"/>
      <c r="I38" s="307"/>
      <c r="J38" s="1911"/>
      <c r="K38" s="1220">
        <f>'数据-汇总表'!D3</f>
        <v>5500.65</v>
      </c>
      <c r="L38" s="1221">
        <f>'数据-汇总表'!E3</f>
        <v>30803.628000000001</v>
      </c>
      <c r="M38" s="1221">
        <f ca="1">C34</f>
        <v>36576</v>
      </c>
      <c r="N38" s="1221">
        <f ca="1">C33</f>
        <v>6531</v>
      </c>
      <c r="O38" s="1222">
        <f ca="1">C32</f>
        <v>20119</v>
      </c>
      <c r="P38" s="1909"/>
      <c r="V38" s="1909"/>
    </row>
    <row r="39" spans="1:26" ht="16.5" customHeight="1" thickBot="1">
      <c r="A39" s="1217"/>
      <c r="B39" s="304"/>
      <c r="C39" s="305"/>
      <c r="D39" s="305"/>
      <c r="E39" s="306"/>
      <c r="F39" s="307"/>
      <c r="G39" s="307"/>
      <c r="H39" s="307"/>
      <c r="I39" s="307"/>
      <c r="J39" s="1911"/>
      <c r="K39" s="3562" t="str">
        <f>MID(A44,3,LEN(A44)-2)</f>
        <v/>
      </c>
      <c r="L39" s="3563"/>
      <c r="M39" s="3563"/>
      <c r="N39" s="3564"/>
      <c r="O39" s="1339" t="str">
        <f>C44</f>
        <v>——</v>
      </c>
      <c r="P39" s="1909"/>
      <c r="V39" s="1909"/>
    </row>
    <row r="40" spans="1:26" ht="19.5" thickBot="1">
      <c r="A40" s="103" t="s">
        <v>862</v>
      </c>
      <c r="B40" s="307"/>
      <c r="C40" s="307"/>
      <c r="D40" s="307"/>
      <c r="E40" s="307"/>
      <c r="F40" s="307"/>
      <c r="G40" s="307"/>
      <c r="H40" s="307"/>
      <c r="I40" s="307"/>
      <c r="J40" s="1911"/>
      <c r="K40" s="3562" t="str">
        <f t="shared" ref="K40:K41" si="0">MID(A45,3,LEN(A45)-2)</f>
        <v/>
      </c>
      <c r="L40" s="3563"/>
      <c r="M40" s="3563"/>
      <c r="N40" s="3564"/>
      <c r="O40" s="1339" t="str">
        <f>C45</f>
        <v>——</v>
      </c>
      <c r="P40" s="1909"/>
      <c r="V40" s="1909"/>
    </row>
    <row r="41" spans="1:26" ht="16.5" thickBot="1">
      <c r="A41" s="308" t="s">
        <v>354</v>
      </c>
      <c r="B41" s="309"/>
      <c r="C41" s="310" t="s">
        <v>355</v>
      </c>
      <c r="D41" s="311" t="s">
        <v>356</v>
      </c>
      <c r="E41" s="311" t="s">
        <v>357</v>
      </c>
      <c r="F41" s="312" t="s">
        <v>358</v>
      </c>
      <c r="G41" s="307"/>
      <c r="H41" s="307"/>
      <c r="I41" s="307"/>
      <c r="J41" s="1911"/>
      <c r="K41" s="3562" t="str">
        <f t="shared" si="0"/>
        <v/>
      </c>
      <c r="L41" s="3563"/>
      <c r="M41" s="3563"/>
      <c r="N41" s="3564"/>
      <c r="O41" s="1339" t="str">
        <f>C46</f>
        <v>——</v>
      </c>
      <c r="P41" s="1909"/>
      <c r="V41" s="1909"/>
    </row>
    <row r="42" spans="1:26" ht="29.25">
      <c r="A42" s="3506" t="s">
        <v>2053</v>
      </c>
      <c r="B42" s="3507"/>
      <c r="C42" s="260">
        <f ca="1">C32</f>
        <v>20119</v>
      </c>
      <c r="D42" s="313">
        <f ca="1">C33</f>
        <v>6531</v>
      </c>
      <c r="E42" s="313">
        <f ca="1">C34</f>
        <v>36576</v>
      </c>
      <c r="F42" s="314">
        <f ca="1">C35</f>
        <v>2438</v>
      </c>
      <c r="G42" s="307"/>
      <c r="H42" s="307"/>
      <c r="I42" s="315"/>
      <c r="J42" s="1911"/>
      <c r="K42" s="1223" t="s">
        <v>359</v>
      </c>
      <c r="L42" s="1928" t="s">
        <v>360</v>
      </c>
      <c r="M42" s="1224" t="s">
        <v>361</v>
      </c>
      <c r="N42" s="1929" t="s">
        <v>362</v>
      </c>
      <c r="O42" s="1930" t="s">
        <v>363</v>
      </c>
      <c r="P42" s="1909"/>
      <c r="V42" s="1909"/>
    </row>
    <row r="43" spans="1:26" ht="30">
      <c r="A43" s="3517" t="s">
        <v>2708</v>
      </c>
      <c r="B43" s="3518"/>
      <c r="C43" s="260">
        <f>IF(H33="正常操作",G33+G34+G35,G34+G35)</f>
        <v>0</v>
      </c>
      <c r="D43" s="313" t="s">
        <v>43</v>
      </c>
      <c r="E43" s="313" t="s">
        <v>44</v>
      </c>
      <c r="F43" s="314" t="s">
        <v>44</v>
      </c>
      <c r="G43" s="2581" t="s">
        <v>941</v>
      </c>
      <c r="H43" s="307"/>
      <c r="I43" s="315"/>
      <c r="J43" s="1911"/>
      <c r="K43" s="1225" t="str">
        <f>C4</f>
        <v>基准地价办公</v>
      </c>
      <c r="L43" s="1226">
        <f ca="1">IF(L42="估价结果/万元",C19,C20)</f>
        <v>19878</v>
      </c>
      <c r="M43" s="1227">
        <f>C18</f>
        <v>0.3</v>
      </c>
      <c r="N43" s="1228">
        <f ca="1">IF(N42="测算结果/万元",G19,G20)</f>
        <v>20119</v>
      </c>
      <c r="O43" s="1229">
        <f ca="1">IF(O42="最终结果/万元",C32,C33)</f>
        <v>20119</v>
      </c>
      <c r="P43" s="1909"/>
      <c r="V43" s="1909"/>
    </row>
    <row r="44" spans="1:26" ht="18.75" thickBot="1">
      <c r="A44" s="3506" t="str">
        <f>IF(OR(项目基本情况!E8="抵押价格",项目基本情况!E8="已注销及未注销"),"3.抵押价格","——")</f>
        <v>——</v>
      </c>
      <c r="B44" s="3507"/>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20222</v>
      </c>
      <c r="M44" s="1232">
        <f>D18</f>
        <v>0.7</v>
      </c>
      <c r="N44" s="1233"/>
      <c r="O44" s="1234"/>
      <c r="P44" s="1909"/>
      <c r="V44" s="1909"/>
    </row>
    <row r="45" spans="1:26" ht="15">
      <c r="A45" s="3512" t="str">
        <f>IF(项目基本情况!E8="已注销及未注销","4.抵押担保权已注销时的抵押价格",IF(项目基本情况!E8="已注销","3.抵押担保权已注销时的抵押价格","——"))</f>
        <v>——</v>
      </c>
      <c r="B45" s="3513"/>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508" t="str">
        <f>IF(项目基本情况!E9="抵押净值",IF(A45="——","4.抵押净值","5.抵押净值"),"——")</f>
        <v>——</v>
      </c>
      <c r="B46" s="3509"/>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556" t="s">
        <v>372</v>
      </c>
      <c r="B63" s="3557"/>
      <c r="C63" s="3558"/>
      <c r="D63" s="337">
        <f ca="1">ROUND(C42*F63,0)</f>
        <v>20119</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514" t="s">
        <v>376</v>
      </c>
      <c r="B64" s="3515"/>
      <c r="C64" s="3515"/>
      <c r="D64" s="3515"/>
      <c r="E64" s="3515"/>
      <c r="F64" s="3515"/>
      <c r="G64" s="3516"/>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510" t="s">
        <v>384</v>
      </c>
      <c r="B66" s="3511"/>
      <c r="C66" s="3511"/>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571" t="s">
        <v>383</v>
      </c>
      <c r="M66" s="3572"/>
      <c r="N66" s="2310"/>
      <c r="O66" s="2311"/>
      <c r="P66" s="2312"/>
      <c r="Q66" s="1909"/>
      <c r="R66" s="1909"/>
      <c r="S66" s="1909"/>
      <c r="T66" s="1909"/>
      <c r="U66" s="1909"/>
      <c r="V66" s="1909"/>
    </row>
    <row r="67" spans="1:22" ht="25.5" customHeight="1">
      <c r="A67" s="348" t="s">
        <v>387</v>
      </c>
      <c r="B67" s="3501" t="s">
        <v>388</v>
      </c>
      <c r="C67" s="3501"/>
      <c r="D67" s="349">
        <v>0</v>
      </c>
      <c r="E67" s="40" t="s">
        <v>389</v>
      </c>
      <c r="F67" s="61" t="s">
        <v>21</v>
      </c>
      <c r="G67" s="3559"/>
      <c r="H67" s="3004" t="s">
        <v>2959</v>
      </c>
      <c r="I67" s="3006"/>
      <c r="J67" s="1916"/>
      <c r="K67" s="1888">
        <v>2</v>
      </c>
      <c r="L67" s="3565" t="s">
        <v>386</v>
      </c>
      <c r="M67" s="3565"/>
      <c r="N67" s="1277">
        <f>'数据-取费表'!B2</f>
        <v>44424</v>
      </c>
      <c r="O67" s="1277"/>
      <c r="P67" s="1277"/>
      <c r="Q67" s="1909"/>
      <c r="R67" s="1909"/>
      <c r="S67" s="1909"/>
      <c r="T67" s="1909"/>
      <c r="U67" s="1909"/>
      <c r="V67" s="1909"/>
    </row>
    <row r="68" spans="1:22" ht="25.5" customHeight="1">
      <c r="A68" s="350"/>
      <c r="B68" s="3501" t="s">
        <v>391</v>
      </c>
      <c r="C68" s="3501"/>
      <c r="D68" s="351"/>
      <c r="E68" s="76"/>
      <c r="F68" s="352"/>
      <c r="G68" s="3560"/>
      <c r="H68" s="3005" t="s">
        <v>2960</v>
      </c>
      <c r="I68" s="3006"/>
      <c r="J68" s="1916"/>
      <c r="K68" s="1888">
        <v>3</v>
      </c>
      <c r="L68" s="3565" t="s">
        <v>390</v>
      </c>
      <c r="M68" s="3565"/>
      <c r="N68" s="1245">
        <f ca="1">C42</f>
        <v>20119</v>
      </c>
      <c r="O68" s="1245"/>
      <c r="P68" s="1245"/>
      <c r="Q68" s="1909"/>
      <c r="R68" s="1909"/>
      <c r="S68" s="1909"/>
      <c r="T68" s="1909"/>
      <c r="U68" s="1909"/>
      <c r="V68" s="1909"/>
    </row>
    <row r="69" spans="1:22" ht="23.45" customHeight="1">
      <c r="A69" s="353"/>
      <c r="B69" s="3501" t="s">
        <v>392</v>
      </c>
      <c r="C69" s="3501"/>
      <c r="D69" s="354"/>
      <c r="E69" s="72"/>
      <c r="F69" s="352"/>
      <c r="G69" s="3561"/>
      <c r="H69" s="3005" t="s">
        <v>2961</v>
      </c>
      <c r="I69" s="3006"/>
      <c r="J69" s="1916"/>
      <c r="K69" s="1246">
        <v>4</v>
      </c>
      <c r="L69" s="3575" t="s">
        <v>2860</v>
      </c>
      <c r="M69" s="3576"/>
      <c r="N69" s="1247" t="str">
        <f>C44</f>
        <v>——</v>
      </c>
      <c r="O69" s="1247"/>
      <c r="P69" s="1247"/>
      <c r="Q69" s="1909"/>
      <c r="R69" s="1909"/>
      <c r="S69" s="1909"/>
      <c r="T69" s="1909"/>
      <c r="U69" s="1909"/>
      <c r="V69" s="1909"/>
    </row>
    <row r="70" spans="1:22" ht="24" customHeight="1">
      <c r="A70" s="355" t="s">
        <v>393</v>
      </c>
      <c r="B70" s="3501" t="s">
        <v>394</v>
      </c>
      <c r="C70" s="3501"/>
      <c r="D70" s="354">
        <f ca="1">ROUND(D63*'数据-取费表'!B41/(1+'数据-取费表'!C42),0)</f>
        <v>1054</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502" t="s">
        <v>2990</v>
      </c>
      <c r="C71" s="3503"/>
      <c r="D71" s="354">
        <f ca="1">ROUND(D63*'数据-取费表'!B41/(1+'数据-取费表'!C42),0)</f>
        <v>1054</v>
      </c>
      <c r="E71" s="17" t="s">
        <v>395</v>
      </c>
      <c r="F71" s="356">
        <f>'数据-取费表'!B41</f>
        <v>5.5000000000000007E-2</v>
      </c>
      <c r="G71" s="357"/>
      <c r="H71" s="307"/>
      <c r="I71" s="1244"/>
      <c r="J71" s="1916"/>
      <c r="K71" s="2762" t="s">
        <v>396</v>
      </c>
      <c r="L71" s="3577" t="s">
        <v>397</v>
      </c>
      <c r="M71" s="3577"/>
      <c r="N71" s="2762" t="s">
        <v>398</v>
      </c>
      <c r="O71" s="2762" t="s">
        <v>399</v>
      </c>
      <c r="P71" s="2762" t="s">
        <v>400</v>
      </c>
      <c r="Q71" s="1909"/>
      <c r="R71" s="1909"/>
      <c r="S71" s="1909"/>
      <c r="T71" s="1909"/>
      <c r="U71" s="1909"/>
      <c r="V71" s="1909"/>
    </row>
    <row r="72" spans="1:22" ht="12" customHeight="1">
      <c r="A72" s="355" t="s">
        <v>403</v>
      </c>
      <c r="B72" s="3502" t="s">
        <v>2991</v>
      </c>
      <c r="C72" s="3503"/>
      <c r="D72" s="354">
        <f ca="1">C86</f>
        <v>1054</v>
      </c>
      <c r="E72" s="72" t="s">
        <v>404</v>
      </c>
      <c r="F72" s="356">
        <f>'数据-取费表'!B41</f>
        <v>5.5000000000000007E-2</v>
      </c>
      <c r="G72" s="357"/>
      <c r="H72" s="1250"/>
      <c r="I72" s="1244"/>
      <c r="J72" s="1916"/>
      <c r="K72" s="1888">
        <v>1</v>
      </c>
      <c r="L72" s="3552" t="s">
        <v>402</v>
      </c>
      <c r="M72" s="3552"/>
      <c r="N72" s="1248" t="b">
        <f>D66</f>
        <v>0</v>
      </c>
      <c r="O72" s="1771" t="str">
        <f>E66</f>
        <v>销售额×税（费）率</v>
      </c>
      <c r="P72" s="1249">
        <f>F66</f>
        <v>5.5000000000000007E-2</v>
      </c>
      <c r="Q72" s="1909"/>
      <c r="R72" s="1909"/>
      <c r="S72" s="1909"/>
      <c r="T72" s="1909"/>
      <c r="U72" s="1909"/>
      <c r="V72" s="1909"/>
    </row>
    <row r="73" spans="1:22" ht="24" customHeight="1">
      <c r="A73" s="3547" t="s">
        <v>406</v>
      </c>
      <c r="B73" s="3511"/>
      <c r="C73" s="3511"/>
      <c r="D73" s="358">
        <f ca="1">IF(H73="个人住宅",0,ROUND(D63*I73,0))</f>
        <v>10</v>
      </c>
      <c r="E73" s="17" t="s">
        <v>407</v>
      </c>
      <c r="F73" s="356" t="str">
        <f>IF(H73="正常",I73,"免征")</f>
        <v>免征</v>
      </c>
      <c r="G73" s="357"/>
      <c r="H73" s="188"/>
      <c r="I73" s="356">
        <f>'数据-取费表'!B49</f>
        <v>5.0000000000000001E-4</v>
      </c>
      <c r="J73" s="1916"/>
      <c r="K73" s="1888">
        <v>2</v>
      </c>
      <c r="L73" s="3552" t="s">
        <v>405</v>
      </c>
      <c r="M73" s="3552"/>
      <c r="N73" s="1248">
        <f t="shared" ref="N73:P74" ca="1" si="1">D73</f>
        <v>10</v>
      </c>
      <c r="O73" s="1771" t="str">
        <f t="shared" si="1"/>
        <v>销售额×税（费）率</v>
      </c>
      <c r="P73" s="1249" t="str">
        <f t="shared" si="1"/>
        <v>免征</v>
      </c>
      <c r="Q73" s="1909"/>
      <c r="R73" s="1909"/>
      <c r="S73" s="1909"/>
      <c r="T73" s="1909"/>
      <c r="U73" s="1909"/>
      <c r="V73" s="1909"/>
    </row>
    <row r="74" spans="1:22" ht="24.75">
      <c r="A74" s="3547" t="s">
        <v>409</v>
      </c>
      <c r="B74" s="3511"/>
      <c r="C74" s="3511"/>
      <c r="D74" s="358">
        <f ca="1">IF(H74="个人住宅",D75,D76)</f>
        <v>11405</v>
      </c>
      <c r="E74" s="17" t="s">
        <v>410</v>
      </c>
      <c r="F74" s="356" t="str">
        <f>IF(H74="正常",F76,"免征")</f>
        <v>免征</v>
      </c>
      <c r="G74" s="969" t="s">
        <v>411</v>
      </c>
      <c r="H74" s="359"/>
      <c r="I74" s="41"/>
      <c r="J74" s="1916"/>
      <c r="K74" s="1888">
        <v>3</v>
      </c>
      <c r="L74" s="3552" t="s">
        <v>408</v>
      </c>
      <c r="M74" s="3552"/>
      <c r="N74" s="1248">
        <f t="shared" ca="1" si="1"/>
        <v>11405</v>
      </c>
      <c r="O74" s="1771" t="str">
        <f t="shared" si="1"/>
        <v>增值额×税（费）率</v>
      </c>
      <c r="P74" s="1251" t="str">
        <f t="shared" si="1"/>
        <v>免征</v>
      </c>
      <c r="Q74" s="1909"/>
      <c r="R74" s="1909"/>
      <c r="S74" s="1909"/>
      <c r="T74" s="1909"/>
      <c r="U74" s="1909"/>
      <c r="V74" s="1909"/>
    </row>
    <row r="75" spans="1:22" ht="12.75">
      <c r="A75" s="355" t="s">
        <v>412</v>
      </c>
      <c r="B75" s="3499" t="s">
        <v>413</v>
      </c>
      <c r="C75" s="3535"/>
      <c r="D75" s="360">
        <v>0</v>
      </c>
      <c r="E75" s="40" t="s">
        <v>414</v>
      </c>
      <c r="F75" s="361"/>
      <c r="G75" s="357"/>
      <c r="H75" s="41"/>
      <c r="I75" s="41"/>
      <c r="J75" s="1916"/>
      <c r="K75" s="2756">
        <f>IF(H77="非个人房产","",4)</f>
        <v>4</v>
      </c>
      <c r="L75" s="3552" t="str">
        <f>IF(H77="非个人房产","——","个人所得税")</f>
        <v>个人所得税</v>
      </c>
      <c r="M75" s="3552"/>
      <c r="N75" s="1252">
        <f>D77</f>
        <v>0</v>
      </c>
      <c r="O75" s="1784" t="str">
        <f>E77</f>
        <v>差额计税</v>
      </c>
      <c r="P75" s="1253">
        <f>F77</f>
        <v>0.01</v>
      </c>
      <c r="Q75" s="1909"/>
      <c r="R75" s="1909"/>
      <c r="S75" s="1909"/>
      <c r="T75" s="1909"/>
      <c r="U75" s="1909"/>
      <c r="V75" s="1909"/>
    </row>
    <row r="76" spans="1:22" ht="24.75">
      <c r="A76" s="355" t="s">
        <v>393</v>
      </c>
      <c r="B76" s="3499" t="s">
        <v>416</v>
      </c>
      <c r="C76" s="3500"/>
      <c r="D76" s="358">
        <f ca="1">IF(H76="转让取得",C99,C115)</f>
        <v>11405</v>
      </c>
      <c r="E76" s="17" t="s">
        <v>417</v>
      </c>
      <c r="F76" s="52" t="s">
        <v>21</v>
      </c>
      <c r="G76" s="357"/>
      <c r="H76" s="359"/>
      <c r="I76" s="41"/>
      <c r="J76" s="1916"/>
      <c r="K76" s="2756" t="str">
        <f>IF(项目基本情况!K6="上海银行",IF(K75="",4,K75+1),"")</f>
        <v/>
      </c>
      <c r="L76" s="3567" t="str">
        <f>IF(项目基本情况!K6="上海银行","其他处置费用","")</f>
        <v/>
      </c>
      <c r="M76" s="3568"/>
      <c r="N76" s="1248" t="str">
        <f>IF(项目基本情况!K6="上海银行",N89,"")</f>
        <v/>
      </c>
      <c r="O76" s="3569" t="str">
        <f>IF(项目基本情况!K6="上海银行","包含处置中涉及的律师、诉讼、拍卖、评估等费用","")</f>
        <v/>
      </c>
      <c r="P76" s="3570"/>
      <c r="Q76" s="1909"/>
      <c r="R76" s="1909"/>
      <c r="S76" s="1909"/>
      <c r="T76" s="1909"/>
      <c r="U76" s="1909"/>
      <c r="V76" s="1909"/>
    </row>
    <row r="77" spans="1:22" ht="24.75" thickBot="1">
      <c r="A77" s="3554" t="s">
        <v>419</v>
      </c>
      <c r="B77" s="3555"/>
      <c r="C77" s="3555"/>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0" t="s">
        <v>411</v>
      </c>
      <c r="H77" s="3008"/>
      <c r="I77" s="3007" t="s">
        <v>2962</v>
      </c>
      <c r="J77" s="1916"/>
      <c r="K77" s="3553">
        <f>IF(AND(K75="",K76=""),4,IF(项目基本情况!K6="上海银行",K76+1,K75+1))</f>
        <v>5</v>
      </c>
      <c r="L77" s="3552" t="s">
        <v>2861</v>
      </c>
      <c r="M77" s="2761" t="s">
        <v>415</v>
      </c>
      <c r="N77" s="1254"/>
      <c r="O77" s="1255">
        <f ca="1">SUMIF(N72:N76,"&lt;9e307")</f>
        <v>11415</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553"/>
      <c r="L78" s="3552"/>
      <c r="M78" s="2761" t="s">
        <v>418</v>
      </c>
      <c r="N78" s="1254"/>
      <c r="O78" s="1255" t="str">
        <f ca="1">NUMBERSTRING(INT(O77*10000),2)&amp;"元整"</f>
        <v>壹亿壹仟肆佰壹拾伍万元整</v>
      </c>
      <c r="P78" s="1256"/>
      <c r="Q78" s="1909"/>
      <c r="R78" s="1909"/>
      <c r="S78" s="1909"/>
      <c r="T78" s="1909"/>
      <c r="U78" s="1909"/>
      <c r="V78" s="1909"/>
    </row>
    <row r="79" spans="1:22" ht="13.5" thickBot="1">
      <c r="A79" s="3519" t="s">
        <v>420</v>
      </c>
      <c r="B79" s="3519"/>
      <c r="C79" s="3519"/>
      <c r="D79" s="3519"/>
      <c r="E79" s="3519"/>
      <c r="F79" s="41"/>
      <c r="G79" s="41"/>
      <c r="H79" s="989"/>
      <c r="I79" s="307"/>
      <c r="J79" s="1916"/>
      <c r="K79" s="3573">
        <f>K77+1</f>
        <v>6</v>
      </c>
      <c r="L79" s="3552" t="s">
        <v>2862</v>
      </c>
      <c r="M79" s="2761" t="s">
        <v>415</v>
      </c>
      <c r="N79" s="1254"/>
      <c r="O79" s="1255" t="e">
        <f ca="1">N69-O77</f>
        <v>#VALUE!</v>
      </c>
      <c r="P79" s="1256"/>
      <c r="Q79" s="1909"/>
      <c r="R79" s="1909"/>
      <c r="S79" s="1909"/>
      <c r="T79" s="1909"/>
      <c r="U79" s="1909"/>
      <c r="V79" s="1909"/>
    </row>
    <row r="80" spans="1:22" ht="12.75">
      <c r="A80" s="3520" t="s">
        <v>421</v>
      </c>
      <c r="B80" s="3521"/>
      <c r="C80" s="980"/>
      <c r="D80" s="980" t="s">
        <v>422</v>
      </c>
      <c r="E80" s="362" t="s">
        <v>423</v>
      </c>
      <c r="F80" s="41"/>
      <c r="G80" s="41"/>
      <c r="H80" s="989"/>
      <c r="I80" s="307"/>
      <c r="J80" s="1909"/>
      <c r="K80" s="3574"/>
      <c r="L80" s="3552"/>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19161</v>
      </c>
      <c r="D81" s="365"/>
      <c r="E81" s="366"/>
      <c r="F81" s="41"/>
      <c r="G81" s="41"/>
      <c r="H81" s="989"/>
      <c r="I81" s="307"/>
      <c r="J81" s="1909"/>
      <c r="K81" s="2756">
        <f>K79+1</f>
        <v>7</v>
      </c>
      <c r="L81" s="3550" t="s">
        <v>2863</v>
      </c>
      <c r="M81" s="3551"/>
      <c r="N81" s="1258"/>
      <c r="O81" s="1259" t="e">
        <f ca="1">ROUND(O79*10000/'数据-汇总表'!E3,0)</f>
        <v>#VALUE!</v>
      </c>
      <c r="P81" s="1260"/>
      <c r="Q81" s="1909"/>
      <c r="R81" s="1909"/>
      <c r="S81" s="1909"/>
      <c r="T81" s="1909"/>
      <c r="U81" s="1909"/>
      <c r="V81" s="1909"/>
    </row>
    <row r="82" spans="1:26" ht="13.5" thickTop="1">
      <c r="A82" s="367" t="s">
        <v>1812</v>
      </c>
      <c r="B82" s="368" t="s">
        <v>425</v>
      </c>
      <c r="C82" s="369">
        <f ca="1">D63</f>
        <v>20119</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566"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566"/>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19161</v>
      </c>
      <c r="D85" s="370" t="s">
        <v>19</v>
      </c>
      <c r="E85" s="371"/>
      <c r="F85" s="41"/>
      <c r="G85" s="41"/>
      <c r="H85" s="989"/>
      <c r="I85" s="307"/>
      <c r="J85" s="1909"/>
      <c r="K85" s="3566"/>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1054</v>
      </c>
      <c r="D86" s="381">
        <f>'数据-取费表'!B41</f>
        <v>5.5000000000000007E-2</v>
      </c>
      <c r="E86" s="382"/>
      <c r="F86" s="41"/>
      <c r="G86" s="41"/>
      <c r="H86" s="989"/>
      <c r="I86" s="307"/>
      <c r="J86" s="1909"/>
      <c r="K86" s="3566"/>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566"/>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545" t="s">
        <v>430</v>
      </c>
      <c r="B88" s="3546"/>
      <c r="C88" s="3546"/>
      <c r="D88" s="3546"/>
      <c r="E88" s="3546"/>
      <c r="F88" s="3546"/>
      <c r="G88" s="3546"/>
      <c r="H88" s="3546"/>
      <c r="I88" s="1267"/>
      <c r="J88" s="1917"/>
      <c r="K88" s="3566"/>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520" t="s">
        <v>421</v>
      </c>
      <c r="B89" s="3521"/>
      <c r="C89" s="980"/>
      <c r="D89" s="980" t="s">
        <v>422</v>
      </c>
      <c r="E89" s="383" t="s">
        <v>431</v>
      </c>
      <c r="F89" s="384"/>
      <c r="G89" s="384"/>
      <c r="H89" s="385"/>
      <c r="I89" s="1268"/>
      <c r="J89" s="1919"/>
      <c r="K89" s="3566"/>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19161</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96</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502" t="s">
        <v>439</v>
      </c>
      <c r="F94" s="3501"/>
      <c r="G94" s="3501"/>
      <c r="H94" s="3544"/>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96</v>
      </c>
      <c r="D96" s="398">
        <f>'数据-取费表'!B43</f>
        <v>5.000000000000001E-3</v>
      </c>
      <c r="E96" s="3536" t="s">
        <v>2410</v>
      </c>
      <c r="F96" s="3537"/>
      <c r="G96" s="3537"/>
      <c r="H96" s="3538"/>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19065</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198.59375</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11405</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545" t="s">
        <v>446</v>
      </c>
      <c r="B101" s="3546"/>
      <c r="C101" s="3546"/>
      <c r="D101" s="3546"/>
      <c r="E101" s="3546"/>
      <c r="F101" s="3546"/>
      <c r="G101" s="3546"/>
      <c r="H101" s="3546"/>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520" t="s">
        <v>421</v>
      </c>
      <c r="B102" s="3521"/>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19161</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96</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40"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496" t="s">
        <v>2954</v>
      </c>
      <c r="H108" s="3497"/>
      <c r="I108" s="2857"/>
      <c r="J108" s="1914"/>
      <c r="K108" s="3240"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539" t="s">
        <v>454</v>
      </c>
      <c r="F109" s="3537"/>
      <c r="G109" s="3537"/>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71">
        <v>0</v>
      </c>
      <c r="E110" s="3539" t="s">
        <v>456</v>
      </c>
      <c r="F110" s="3537"/>
      <c r="G110" s="3537"/>
      <c r="H110" s="3538"/>
      <c r="I110" s="11"/>
      <c r="J110" s="1914"/>
      <c r="K110" s="3241"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96</v>
      </c>
      <c r="D111" s="398">
        <f>'数据-取费表'!B43</f>
        <v>5.000000000000001E-3</v>
      </c>
      <c r="E111" s="3536" t="s">
        <v>2410</v>
      </c>
      <c r="F111" s="3537"/>
      <c r="G111" s="3537"/>
      <c r="H111" s="3538"/>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539" t="s">
        <v>2433</v>
      </c>
      <c r="F112" s="3537"/>
      <c r="G112" s="3537"/>
      <c r="H112" s="3538"/>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19065</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198.59375</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11405</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401" t="str">
        <f>项目基本情况!B1</f>
        <v>北京市国有建设用地使用权预评估</v>
      </c>
      <c r="C37" s="3401"/>
      <c r="D37" s="3401"/>
      <c r="E37" s="3401"/>
      <c r="F37" s="3401"/>
      <c r="G37" s="3401"/>
      <c r="H37" s="3401"/>
      <c r="I37" s="3401"/>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#DIV/0!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0</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0</v>
      </c>
      <c r="D16" s="2559">
        <f ca="1">IF(B1="",'数据-汇总表'!E3,INDIRECT("'数据-取费表'!K"&amp;$K$1)+INDIRECT("'数据-取费表'!S"&amp;$K$1))</f>
        <v>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0</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f ca="1">ROUND(D19*E19/10000,0)</f>
        <v>0</v>
      </c>
      <c r="D19" s="2569">
        <f ca="1">D16</f>
        <v>0</v>
      </c>
      <c r="E19" s="2523">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f ca="1">C21+C22-IF(B1="",'数据-取费表'!B29,IF(G20="已全部缴纳",C21+C22,H20))</f>
        <v>0</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0</v>
      </c>
      <c r="D22" s="2559">
        <f ca="1">IF(B1="",'数据-汇总表'!E6,IF(INDIRECT("'数据-取费表'!c"&amp;$K$1)="住宅",INDIRECT("'数据-取费表'!s"&amp;$K$1),INDIRECT("'数据-取费表'!k"&amp;$K$1)+INDIRECT("'数据-取费表'!s"&amp;$K$1)))</f>
        <v>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0</v>
      </c>
      <c r="D23" s="460"/>
      <c r="E23" s="460"/>
      <c r="F23" s="2571">
        <f>'数据-取费表'!B37</f>
        <v>8.0000000000000002E-3</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8.0000000000000002E-3</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2806</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0</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0</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0</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0</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0</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0</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0</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t="e">
        <f ca="1">ROUND(C36*10000/D19,0)</f>
        <v>#DIV/0!</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F25" sqref="F25"/>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22085</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14339</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80299</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5353</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45083</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不动产收益法商业!C43</f>
        <v>29271</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15401.814</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 ca="1">不动产收益法商业!C40</f>
        <v>45083</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81</v>
      </c>
      <c r="D23" s="460"/>
      <c r="E23" s="460"/>
      <c r="F23" s="3400">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451</v>
      </c>
      <c r="D24" s="467"/>
      <c r="E24" s="465"/>
      <c r="F24" s="3400">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305</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305</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2361</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11273</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11273</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2582</v>
      </c>
      <c r="D33" s="459">
        <f ca="1">C34</f>
        <v>0.30919999999999997</v>
      </c>
      <c r="E33" s="461" t="s">
        <v>487</v>
      </c>
      <c r="F33" s="471">
        <f ca="1">IF(B1="",'数据-取费表'!Q16,INDIRECT("'数据-取费表'!q"&amp;$K$1))</f>
        <v>0.3</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0.30919999999999997</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2582</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22085</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14339</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G41" sqref="G41"/>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20222</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13130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73526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4902</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40555</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不动产收益法办公!C43</f>
        <v>26331</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15401.814</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 ca="1">不动产收益法办公!C40</f>
        <v>40555</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65</v>
      </c>
      <c r="D23" s="460"/>
      <c r="E23" s="460"/>
      <c r="F23" s="2571">
        <f>'数据-取费表'!B37</f>
        <v>8.0000000000000002E-3</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324</v>
      </c>
      <c r="D24" s="467"/>
      <c r="E24" s="465"/>
      <c r="F24" s="2571">
        <f>'数据-取费表'!B38</f>
        <v>8.0000000000000002E-3</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300</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300</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2124</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10888</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10888</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2116</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2116</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20222</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13130</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93"/>
      <c r="M11" s="3193"/>
      <c r="N11" s="3193"/>
      <c r="O11" s="3193"/>
      <c r="P11" s="3193"/>
      <c r="Q11" s="3193"/>
      <c r="R11" s="3193"/>
      <c r="S11" s="3193"/>
      <c r="T11" s="3193"/>
      <c r="U11" s="3193"/>
      <c r="V11" s="3193"/>
      <c r="W11" s="3193"/>
      <c r="X11" s="3193"/>
      <c r="Y11" s="3193"/>
      <c r="Z11" s="3193"/>
    </row>
    <row r="12" spans="1:41" s="1965" customFormat="1" ht="13.5" customHeight="1">
      <c r="A12" s="426" t="s">
        <v>462</v>
      </c>
      <c r="B12" s="436" t="s">
        <v>463</v>
      </c>
      <c r="C12" s="437" t="s">
        <v>467</v>
      </c>
      <c r="D12" s="438" t="s">
        <v>468</v>
      </c>
      <c r="E12" s="438" t="s">
        <v>469</v>
      </c>
      <c r="F12" s="438" t="s">
        <v>470</v>
      </c>
      <c r="G12" s="436"/>
      <c r="H12" s="439"/>
      <c r="I12" s="439"/>
      <c r="J12" s="439"/>
      <c r="K12" s="440"/>
      <c r="L12" s="3194"/>
      <c r="M12" s="3194"/>
      <c r="N12" s="3194"/>
      <c r="O12" s="3194"/>
      <c r="P12" s="3194"/>
      <c r="Q12" s="3194"/>
      <c r="R12" s="3194"/>
      <c r="S12" s="3194"/>
      <c r="T12" s="3194"/>
      <c r="U12" s="3194"/>
      <c r="V12" s="3194"/>
      <c r="W12" s="3194"/>
      <c r="X12" s="3194"/>
      <c r="Y12" s="3194"/>
      <c r="Z12" s="3194"/>
    </row>
    <row r="13" spans="1:41" s="1996" customFormat="1" ht="13.5" customHeight="1">
      <c r="A13" s="1560" t="s">
        <v>1836</v>
      </c>
      <c r="B13" s="441" t="s">
        <v>471</v>
      </c>
      <c r="C13" s="442">
        <f ca="1">IF(B1="",'数据-取费表'!M16,INDIRECT("'数据-取费表'!M"&amp;$K$1)+INDIRECT("'数据-取费表'!t"&amp;$K$1))</f>
        <v>13862</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416</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616</v>
      </c>
      <c r="D16" s="443">
        <f ca="1">IF(B1="",'数据-汇总表'!E3,INDIRECT("'数据-取费表'!K"&amp;$K$1)+INDIRECT("'数据-取费表'!S"&amp;$K$1))</f>
        <v>30803.628000000001</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208</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15102</v>
      </c>
      <c r="D18" s="453"/>
      <c r="E18" s="454"/>
      <c r="F18" s="454"/>
      <c r="G18" s="1279" t="s">
        <v>2413</v>
      </c>
      <c r="H18" s="439"/>
      <c r="I18" s="439"/>
      <c r="J18" s="439"/>
      <c r="K18" s="440"/>
      <c r="L18" s="3196"/>
      <c r="M18" s="3196"/>
      <c r="N18" s="3196"/>
      <c r="O18" s="3196"/>
      <c r="P18" s="3196"/>
      <c r="Q18" s="3196"/>
      <c r="R18" s="3196"/>
      <c r="S18" s="3196"/>
      <c r="T18" s="3196"/>
      <c r="U18" s="3196"/>
      <c r="V18" s="3196"/>
      <c r="W18" s="3196"/>
      <c r="X18" s="3196"/>
      <c r="Y18" s="3196"/>
      <c r="Z18" s="3196"/>
    </row>
    <row r="19" spans="1:26" s="1999" customFormat="1" ht="13.5" customHeight="1">
      <c r="A19" s="1561" t="s">
        <v>1842</v>
      </c>
      <c r="B19" s="451" t="s">
        <v>485</v>
      </c>
      <c r="C19" s="452">
        <f ca="1">ROUND(C18*F19,0)</f>
        <v>121</v>
      </c>
      <c r="D19" s="454"/>
      <c r="E19" s="454"/>
      <c r="F19" s="458">
        <f>'数据-取费表'!B37</f>
        <v>8.0000000000000002E-3</v>
      </c>
      <c r="G19" s="436" t="s">
        <v>495</v>
      </c>
      <c r="H19" s="439"/>
      <c r="I19" s="439"/>
      <c r="J19" s="439"/>
      <c r="K19" s="440"/>
      <c r="L19" s="3198"/>
      <c r="M19" s="3198"/>
      <c r="N19" s="3198"/>
      <c r="O19" s="3196"/>
      <c r="P19" s="3196"/>
      <c r="Q19" s="3196"/>
      <c r="R19" s="3196"/>
      <c r="S19" s="3196"/>
      <c r="T19" s="3196"/>
      <c r="U19" s="3196"/>
      <c r="V19" s="3196"/>
      <c r="W19" s="3196"/>
      <c r="X19" s="3196"/>
      <c r="Y19" s="3196"/>
      <c r="Z19" s="3196"/>
    </row>
    <row r="20" spans="1:26" s="1999" customFormat="1" ht="13.5" customHeight="1">
      <c r="A20" s="1561" t="s">
        <v>1843</v>
      </c>
      <c r="B20" s="451" t="s">
        <v>496</v>
      </c>
      <c r="C20" s="2741">
        <f>F20</f>
        <v>8.0000000000000002E-3</v>
      </c>
      <c r="D20" s="461" t="s">
        <v>497</v>
      </c>
      <c r="E20" s="461"/>
      <c r="F20" s="478">
        <f>'数据-取费表'!B38</f>
        <v>8.0000000000000002E-3</v>
      </c>
      <c r="G20" s="1279" t="s">
        <v>498</v>
      </c>
      <c r="H20" s="439"/>
      <c r="I20" s="439"/>
      <c r="J20" s="439"/>
      <c r="K20" s="440"/>
      <c r="L20" s="3198"/>
      <c r="M20" s="3198"/>
      <c r="N20" s="3198"/>
      <c r="O20" s="3196"/>
      <c r="P20" s="3196"/>
      <c r="Q20" s="3196"/>
      <c r="R20" s="3196"/>
      <c r="S20" s="3196"/>
      <c r="T20" s="3196"/>
      <c r="U20" s="3196"/>
      <c r="V20" s="3196"/>
      <c r="W20" s="3196"/>
      <c r="X20" s="3196"/>
      <c r="Y20" s="3196"/>
      <c r="Z20" s="3196"/>
    </row>
    <row r="21" spans="1:26" s="2001" customFormat="1" ht="13.5" customHeight="1">
      <c r="A21" s="1561" t="s">
        <v>1846</v>
      </c>
      <c r="B21" s="453" t="s">
        <v>486</v>
      </c>
      <c r="C21" s="462">
        <f ca="1">C22</f>
        <v>539</v>
      </c>
      <c r="D21" s="459">
        <f ca="1">C23</f>
        <v>2.9999999999999997E-4</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204" t="s">
        <v>2434</v>
      </c>
      <c r="M21" s="3205"/>
      <c r="N21" s="3205"/>
      <c r="O21" s="3205"/>
      <c r="P21" s="3205"/>
      <c r="Q21" s="3198"/>
      <c r="R21" s="3198"/>
      <c r="S21" s="3198"/>
      <c r="T21" s="3198"/>
      <c r="U21" s="3198"/>
      <c r="V21" s="3198"/>
      <c r="W21" s="3198"/>
      <c r="X21" s="3198"/>
      <c r="Y21" s="3198"/>
      <c r="Z21" s="3198"/>
    </row>
    <row r="22" spans="1:26" s="2000" customFormat="1" ht="13.5" customHeight="1">
      <c r="A22" s="1560" t="s">
        <v>1836</v>
      </c>
      <c r="B22" s="1280" t="s">
        <v>2416</v>
      </c>
      <c r="C22" s="479">
        <f ca="1">ROUND(IF('数据-取费表'!B22&lt;=1,(C18+C19)*F21*'数据-取费表'!B20/2,(C18+C19)*(POWER((1+F21),'数据-取费表'!B20/2)-1)),0)</f>
        <v>539</v>
      </c>
      <c r="D22" s="464"/>
      <c r="E22" s="465"/>
      <c r="F22" s="466"/>
      <c r="G22" s="2418" t="str">
        <f>IF('数据-取费表'!B22&lt;=1,"((1)+(2))×年利率×建设期÷2","((1)+(2))×((1+年利率)^(建设期÷2)-1)")</f>
        <v>((1)+(2))×((1+年利率)^(建设期÷2)-1)</v>
      </c>
      <c r="H22" s="449"/>
      <c r="I22" s="449"/>
      <c r="J22" s="449"/>
      <c r="K22" s="450"/>
      <c r="L22" s="3197"/>
      <c r="M22" s="3197"/>
      <c r="N22" s="3197"/>
      <c r="O22" s="3197"/>
      <c r="P22" s="3197"/>
      <c r="Q22" s="3197"/>
      <c r="R22" s="3197"/>
      <c r="S22" s="3197"/>
      <c r="T22" s="3197"/>
      <c r="U22" s="3197"/>
      <c r="V22" s="3197"/>
      <c r="W22" s="3197"/>
      <c r="X22" s="3197"/>
      <c r="Y22" s="3197"/>
      <c r="Z22" s="3197"/>
    </row>
    <row r="23" spans="1:26" s="2000" customFormat="1" ht="13.5" customHeight="1">
      <c r="A23" s="1560" t="s">
        <v>1837</v>
      </c>
      <c r="B23" s="1280" t="s">
        <v>500</v>
      </c>
      <c r="C23" s="480">
        <f ca="1">ROUND(IF('数据-取费表'!B22&lt;=1,F20*F21*'数据-取费表'!B20/2,F20*(POWER((1+F21),'数据-取费表'!B20/2)-1)),4)</f>
        <v>2.9999999999999997E-4</v>
      </c>
      <c r="D23" s="464"/>
      <c r="E23" s="465"/>
      <c r="F23" s="466"/>
      <c r="G23" s="2418" t="str">
        <f>IF('数据-取费表'!B22&lt;=1,"销售费用率×年利率×建设期÷2","销售费用率×((1+年利率)^(建设期÷2)-1)")</f>
        <v>销售费用率×((1+年利率)^(建设期÷2)-1)</v>
      </c>
      <c r="H23" s="449"/>
      <c r="I23" s="449"/>
      <c r="J23" s="449"/>
      <c r="K23" s="450"/>
      <c r="L23" s="3197"/>
      <c r="M23" s="3197"/>
      <c r="N23" s="3197"/>
      <c r="O23" s="3197"/>
      <c r="P23" s="3197"/>
      <c r="Q23" s="3197"/>
      <c r="R23" s="3197"/>
      <c r="S23" s="3197"/>
      <c r="T23" s="3197"/>
      <c r="U23" s="3197"/>
      <c r="V23" s="3197"/>
      <c r="W23" s="3197"/>
      <c r="X23" s="3197"/>
      <c r="Y23" s="3197"/>
      <c r="Z23" s="3197"/>
    </row>
    <row r="24" spans="1:26" s="2000" customFormat="1" ht="13.5" customHeight="1">
      <c r="A24" s="1561" t="s">
        <v>1847</v>
      </c>
      <c r="B24" s="2743" t="s">
        <v>2809</v>
      </c>
      <c r="C24" s="470">
        <f ca="1">C25</f>
        <v>4262</v>
      </c>
      <c r="D24" s="481">
        <f ca="1">C26</f>
        <v>2.2000000000000001E-3</v>
      </c>
      <c r="E24" s="461" t="s">
        <v>499</v>
      </c>
      <c r="F24" s="471">
        <f ca="1">IF(B1="",'数据-取费表'!Q16,INDIRECT("'数据-取费表'!q"&amp;$K$1))</f>
        <v>0.28000000000000003</v>
      </c>
      <c r="G24" s="436"/>
      <c r="H24" s="439"/>
      <c r="I24" s="439"/>
      <c r="J24" s="439"/>
      <c r="K24" s="440"/>
      <c r="L24" s="3197"/>
      <c r="M24" s="3197"/>
      <c r="N24" s="3197"/>
      <c r="O24" s="3197"/>
      <c r="P24" s="3197"/>
      <c r="Q24" s="3197"/>
      <c r="R24" s="3197"/>
      <c r="S24" s="3197"/>
      <c r="T24" s="3197"/>
      <c r="U24" s="3197"/>
      <c r="V24" s="3197"/>
      <c r="W24" s="3197"/>
      <c r="X24" s="3197"/>
      <c r="Y24" s="3197"/>
      <c r="Z24" s="3197"/>
    </row>
    <row r="25" spans="1:26" s="2000" customFormat="1" ht="13.5" customHeight="1">
      <c r="A25" s="1560" t="s">
        <v>1836</v>
      </c>
      <c r="B25" s="1280" t="s">
        <v>2417</v>
      </c>
      <c r="C25" s="482">
        <f ca="1">ROUND((C18+C19)*F24,0)</f>
        <v>4262</v>
      </c>
      <c r="D25" s="464"/>
      <c r="E25" s="465"/>
      <c r="F25" s="472"/>
      <c r="G25" s="1278" t="s">
        <v>2414</v>
      </c>
      <c r="H25" s="449"/>
      <c r="I25" s="449"/>
      <c r="J25" s="449"/>
      <c r="K25" s="450"/>
      <c r="L25" s="3197"/>
      <c r="M25" s="3197"/>
      <c r="N25" s="3197"/>
      <c r="O25" s="3197"/>
      <c r="P25" s="3197"/>
      <c r="Q25" s="3197"/>
      <c r="R25" s="3197"/>
      <c r="S25" s="3197"/>
      <c r="T25" s="3197"/>
      <c r="U25" s="3197"/>
      <c r="V25" s="3197"/>
      <c r="W25" s="3197"/>
      <c r="X25" s="3197"/>
      <c r="Y25" s="3197"/>
      <c r="Z25" s="3197"/>
    </row>
    <row r="26" spans="1:26" s="2000" customFormat="1" ht="13.5" customHeight="1">
      <c r="A26" s="1560" t="s">
        <v>1837</v>
      </c>
      <c r="B26" s="1280" t="s">
        <v>501</v>
      </c>
      <c r="C26" s="483">
        <f ca="1">ROUND(F20*F24,4)</f>
        <v>2.2000000000000001E-3</v>
      </c>
      <c r="D26" s="464"/>
      <c r="E26" s="473"/>
      <c r="F26" s="472"/>
      <c r="G26" s="1278" t="s">
        <v>502</v>
      </c>
      <c r="H26" s="449"/>
      <c r="I26" s="449"/>
      <c r="J26" s="449"/>
      <c r="K26" s="450"/>
      <c r="L26" s="3197"/>
      <c r="M26" s="3197"/>
      <c r="N26" s="3197"/>
      <c r="O26" s="3197"/>
      <c r="P26" s="3197"/>
      <c r="Q26" s="3197"/>
      <c r="R26" s="3197"/>
      <c r="S26" s="3197"/>
      <c r="T26" s="3197"/>
      <c r="U26" s="3197"/>
      <c r="V26" s="3197"/>
      <c r="W26" s="3197"/>
      <c r="X26" s="3197"/>
      <c r="Y26" s="3197"/>
      <c r="Z26" s="3197"/>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97"/>
      <c r="M27" s="3197"/>
      <c r="N27" s="3197"/>
      <c r="O27" s="3197"/>
      <c r="P27" s="3197"/>
      <c r="Q27" s="3197"/>
      <c r="R27" s="3197"/>
      <c r="S27" s="3197"/>
      <c r="T27" s="3197"/>
      <c r="U27" s="3197"/>
      <c r="V27" s="3197"/>
      <c r="W27" s="3197"/>
      <c r="X27" s="3197"/>
      <c r="Y27" s="3197"/>
      <c r="Z27" s="3197"/>
    </row>
    <row r="28" spans="1:26" s="2001" customFormat="1" ht="13.5" customHeight="1">
      <c r="A28" s="1564" t="s">
        <v>1856</v>
      </c>
      <c r="B28" s="468" t="s">
        <v>504</v>
      </c>
      <c r="C28" s="462">
        <f ca="1">ROUND((C18+C19+C21+C24)/(1-C20-D21-D24-C27),0)</f>
        <v>21368</v>
      </c>
      <c r="D28" s="469"/>
      <c r="E28" s="461"/>
      <c r="F28" s="463"/>
      <c r="G28" s="1279" t="s">
        <v>2415</v>
      </c>
      <c r="H28" s="439"/>
      <c r="I28" s="439"/>
      <c r="J28" s="439"/>
      <c r="K28" s="440"/>
      <c r="L28" s="3198"/>
      <c r="M28" s="3198"/>
      <c r="N28" s="3198"/>
      <c r="O28" s="3198"/>
      <c r="P28" s="3198"/>
      <c r="Q28" s="3198"/>
      <c r="R28" s="3198"/>
      <c r="S28" s="3198"/>
      <c r="T28" s="3198"/>
      <c r="U28" s="3198"/>
      <c r="V28" s="3198"/>
      <c r="W28" s="3198"/>
      <c r="X28" s="3198"/>
      <c r="Y28" s="3198"/>
      <c r="Z28" s="3198"/>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98"/>
      <c r="M29" s="3198"/>
      <c r="N29" s="3198"/>
      <c r="O29" s="3198"/>
      <c r="P29" s="3198"/>
      <c r="Q29" s="3198"/>
      <c r="R29" s="3198"/>
      <c r="S29" s="3198"/>
      <c r="T29" s="3198"/>
      <c r="U29" s="3198"/>
      <c r="V29" s="3198"/>
      <c r="W29" s="3198"/>
      <c r="X29" s="3198"/>
      <c r="Y29" s="3198"/>
      <c r="Z29" s="3198"/>
    </row>
    <row r="30" spans="1:26" s="2001" customFormat="1" ht="13.5" customHeight="1">
      <c r="A30" s="435">
        <v>2</v>
      </c>
      <c r="B30" s="468" t="s">
        <v>506</v>
      </c>
      <c r="C30" s="489">
        <f ca="1">ROUND(C28*C29,0)</f>
        <v>0</v>
      </c>
      <c r="D30" s="485"/>
      <c r="E30" s="490"/>
      <c r="F30" s="491"/>
      <c r="G30" s="1281" t="s">
        <v>507</v>
      </c>
      <c r="H30" s="488"/>
      <c r="I30" s="488"/>
      <c r="J30" s="439"/>
      <c r="K30" s="440"/>
      <c r="L30" s="3198"/>
      <c r="M30" s="3198"/>
      <c r="N30" s="3198"/>
      <c r="O30" s="3198"/>
      <c r="P30" s="3198"/>
      <c r="Q30" s="3198"/>
      <c r="R30" s="3198"/>
      <c r="S30" s="3198"/>
      <c r="T30" s="3198"/>
      <c r="U30" s="3198"/>
      <c r="V30" s="3198"/>
      <c r="W30" s="3198"/>
      <c r="X30" s="3198"/>
      <c r="Y30" s="3198"/>
      <c r="Z30" s="3198"/>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5" t="s">
        <v>459</v>
      </c>
      <c r="B2" s="500" t="e">
        <f>F68</f>
        <v>#DIV/0!</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9" t="s">
        <v>1672</v>
      </c>
      <c r="B3" s="502" t="e">
        <f>ROUND(B2*10000/'数据-汇总表'!E3,0)</f>
        <v>#DIV/0!</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3" t="s">
        <v>512</v>
      </c>
      <c r="B4" s="419" t="e">
        <f>IF(B48="单位面积地价",C50,ROUND(B2*10000/'数据-汇总表'!D3,0))</f>
        <v>#DIV/0!</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587" t="s">
        <v>514</v>
      </c>
      <c r="D6" s="3588"/>
      <c r="E6" s="3587" t="s">
        <v>515</v>
      </c>
      <c r="F6" s="3588"/>
      <c r="G6" s="3587" t="s">
        <v>516</v>
      </c>
      <c r="H6" s="3588"/>
      <c r="I6" s="3587" t="s">
        <v>517</v>
      </c>
      <c r="J6" s="3588"/>
      <c r="K6" s="506" t="s">
        <v>518</v>
      </c>
      <c r="L6" s="2013"/>
      <c r="M6" s="2012"/>
      <c r="N6" s="2012"/>
      <c r="O6" s="2014"/>
      <c r="P6" s="3589" t="s">
        <v>519</v>
      </c>
      <c r="Q6" s="3590"/>
      <c r="R6" s="3595" t="s">
        <v>515</v>
      </c>
      <c r="S6" s="3596"/>
      <c r="T6" s="3595" t="s">
        <v>516</v>
      </c>
      <c r="U6" s="3596"/>
      <c r="V6" s="3582" t="s">
        <v>517</v>
      </c>
      <c r="W6" s="3582"/>
      <c r="X6" s="1500"/>
      <c r="Y6" s="3595" t="s">
        <v>519</v>
      </c>
      <c r="Z6" s="3596"/>
      <c r="AA6" s="3584" t="s">
        <v>515</v>
      </c>
      <c r="AB6" s="3585" t="s">
        <v>516</v>
      </c>
      <c r="AC6" s="3584" t="s">
        <v>517</v>
      </c>
    </row>
    <row r="7" spans="1:30" ht="20.25">
      <c r="A7" s="507"/>
      <c r="B7" s="508"/>
      <c r="C7" s="3603" t="s">
        <v>2892</v>
      </c>
      <c r="D7" s="3604"/>
      <c r="E7" s="3603" t="s">
        <v>2893</v>
      </c>
      <c r="F7" s="3604"/>
      <c r="G7" s="3603" t="s">
        <v>2894</v>
      </c>
      <c r="H7" s="3604"/>
      <c r="I7" s="3603" t="s">
        <v>2895</v>
      </c>
      <c r="J7" s="3604"/>
      <c r="K7" s="506"/>
      <c r="L7" s="2013"/>
      <c r="M7" s="2012"/>
      <c r="N7" s="2012"/>
      <c r="O7" s="2014"/>
      <c r="P7" s="3591"/>
      <c r="Q7" s="3592"/>
      <c r="R7" s="3597"/>
      <c r="S7" s="3598"/>
      <c r="T7" s="3597"/>
      <c r="U7" s="3598"/>
      <c r="V7" s="3582"/>
      <c r="W7" s="3582"/>
      <c r="X7" s="1500"/>
      <c r="Y7" s="3597"/>
      <c r="Z7" s="3598"/>
      <c r="AA7" s="3585"/>
      <c r="AB7" s="3585"/>
      <c r="AC7" s="3585"/>
    </row>
    <row r="8" spans="1:30" ht="21" thickBot="1">
      <c r="A8" s="507"/>
      <c r="B8" s="508"/>
      <c r="C8" s="3605" t="s">
        <v>2896</v>
      </c>
      <c r="D8" s="3606"/>
      <c r="E8" s="3605" t="s">
        <v>2896</v>
      </c>
      <c r="F8" s="3606"/>
      <c r="G8" s="3601" t="s">
        <v>2896</v>
      </c>
      <c r="H8" s="3602"/>
      <c r="I8" s="3601" t="s">
        <v>2896</v>
      </c>
      <c r="J8" s="3602"/>
      <c r="K8" s="506" t="s">
        <v>520</v>
      </c>
      <c r="L8" s="2013"/>
      <c r="M8" s="2012"/>
      <c r="N8" s="2012"/>
      <c r="O8" s="2014"/>
      <c r="P8" s="3593"/>
      <c r="Q8" s="3594"/>
      <c r="R8" s="3597"/>
      <c r="S8" s="3598"/>
      <c r="T8" s="3599"/>
      <c r="U8" s="3600"/>
      <c r="V8" s="3582"/>
      <c r="W8" s="3582"/>
      <c r="X8" s="1500"/>
      <c r="Y8" s="3599"/>
      <c r="Z8" s="3600"/>
      <c r="AA8" s="3586"/>
      <c r="AB8" s="3586"/>
      <c r="AC8" s="3586"/>
    </row>
    <row r="9" spans="1:30" s="1201" customFormat="1" ht="21" thickBot="1">
      <c r="A9" s="2627"/>
      <c r="B9" s="2634" t="s">
        <v>521</v>
      </c>
      <c r="C9" s="2626">
        <f>'数据-取费表'!B2</f>
        <v>44424</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3612" t="s">
        <v>522</v>
      </c>
      <c r="Q9" s="3614"/>
      <c r="R9" s="1501" t="s">
        <v>8</v>
      </c>
      <c r="S9" s="1502">
        <f t="shared" ref="S9:S17" si="0">F9</f>
        <v>0</v>
      </c>
      <c r="T9" s="1501" t="s">
        <v>8</v>
      </c>
      <c r="U9" s="1502">
        <f t="shared" ref="U9:U17" si="1">H9</f>
        <v>0</v>
      </c>
      <c r="V9" s="1501" t="s">
        <v>8</v>
      </c>
      <c r="W9" s="1502">
        <f t="shared" ref="W9:W17" si="2">J9</f>
        <v>0</v>
      </c>
      <c r="X9" s="1503"/>
      <c r="Y9" s="3612" t="s">
        <v>522</v>
      </c>
      <c r="Z9" s="3613"/>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3612" t="s">
        <v>525</v>
      </c>
      <c r="Q10" s="3613"/>
      <c r="R10" s="1501" t="s">
        <v>8</v>
      </c>
      <c r="S10" s="1502">
        <f t="shared" si="0"/>
        <v>0</v>
      </c>
      <c r="T10" s="1501" t="s">
        <v>8</v>
      </c>
      <c r="U10" s="1502">
        <f t="shared" si="1"/>
        <v>0</v>
      </c>
      <c r="V10" s="1501" t="s">
        <v>8</v>
      </c>
      <c r="W10" s="1502">
        <f t="shared" si="2"/>
        <v>0</v>
      </c>
      <c r="X10" s="1503"/>
      <c r="Y10" s="3612" t="s">
        <v>525</v>
      </c>
      <c r="Z10" s="3613"/>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581" t="s">
        <v>527</v>
      </c>
      <c r="Q11" s="1132" t="str">
        <f t="shared" ref="Q11:Q17" si="6">B11</f>
        <v>用途</v>
      </c>
      <c r="R11" s="1501" t="s">
        <v>8</v>
      </c>
      <c r="S11" s="1502">
        <f t="shared" si="0"/>
        <v>100</v>
      </c>
      <c r="T11" s="1501" t="s">
        <v>8</v>
      </c>
      <c r="U11" s="1502">
        <f t="shared" si="1"/>
        <v>100</v>
      </c>
      <c r="V11" s="1501" t="s">
        <v>8</v>
      </c>
      <c r="W11" s="1502">
        <f t="shared" si="2"/>
        <v>100</v>
      </c>
      <c r="X11" s="1503"/>
      <c r="Y11" s="3527"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581"/>
      <c r="Q12" s="1132" t="str">
        <f t="shared" si="6"/>
        <v>土地使用年限（年）</v>
      </c>
      <c r="R12" s="1501" t="s">
        <v>8</v>
      </c>
      <c r="S12" s="1502" t="e">
        <f t="shared" si="0"/>
        <v>#DIV/0!</v>
      </c>
      <c r="T12" s="1501" t="s">
        <v>8</v>
      </c>
      <c r="U12" s="1502" t="e">
        <f t="shared" si="1"/>
        <v>#DIV/0!</v>
      </c>
      <c r="V12" s="1501" t="s">
        <v>8</v>
      </c>
      <c r="W12" s="1502" t="e">
        <f t="shared" si="2"/>
        <v>#DIV/0!</v>
      </c>
      <c r="X12" s="1503"/>
      <c r="Y12" s="3527"/>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581"/>
      <c r="Q13" s="1132" t="str">
        <f t="shared" si="6"/>
        <v>容积率</v>
      </c>
      <c r="R13" s="1501" t="s">
        <v>8</v>
      </c>
      <c r="S13" s="1502" t="e">
        <f t="shared" si="0"/>
        <v>#N/A</v>
      </c>
      <c r="T13" s="1501" t="s">
        <v>8</v>
      </c>
      <c r="U13" s="1502" t="e">
        <f t="shared" si="1"/>
        <v>#N/A</v>
      </c>
      <c r="V13" s="1501" t="s">
        <v>8</v>
      </c>
      <c r="W13" s="1502" t="e">
        <f t="shared" si="2"/>
        <v>#N/A</v>
      </c>
      <c r="X13" s="1503"/>
      <c r="Y13" s="3527"/>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581"/>
      <c r="Q14" s="1132" t="str">
        <f t="shared" si="6"/>
        <v>配建</v>
      </c>
      <c r="R14" s="1501" t="s">
        <v>8</v>
      </c>
      <c r="S14" s="1502">
        <f t="shared" si="0"/>
        <v>100</v>
      </c>
      <c r="T14" s="1501" t="s">
        <v>8</v>
      </c>
      <c r="U14" s="1502">
        <f t="shared" si="1"/>
        <v>100</v>
      </c>
      <c r="V14" s="1501" t="s">
        <v>8</v>
      </c>
      <c r="W14" s="1502">
        <f t="shared" si="2"/>
        <v>100</v>
      </c>
      <c r="X14" s="1503"/>
      <c r="Y14" s="3527"/>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581"/>
      <c r="Q15" s="1132">
        <f t="shared" si="6"/>
        <v>111</v>
      </c>
      <c r="R15" s="1501" t="s">
        <v>8</v>
      </c>
      <c r="S15" s="1502">
        <f t="shared" si="0"/>
        <v>100</v>
      </c>
      <c r="T15" s="1501" t="s">
        <v>8</v>
      </c>
      <c r="U15" s="1502">
        <f t="shared" si="1"/>
        <v>100</v>
      </c>
      <c r="V15" s="1501" t="s">
        <v>8</v>
      </c>
      <c r="W15" s="1502">
        <f t="shared" si="2"/>
        <v>100</v>
      </c>
      <c r="X15" s="1503"/>
      <c r="Y15" s="3527"/>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581"/>
      <c r="Q16" s="1132">
        <f t="shared" si="6"/>
        <v>111</v>
      </c>
      <c r="R16" s="1501" t="s">
        <v>8</v>
      </c>
      <c r="S16" s="1502">
        <f t="shared" si="0"/>
        <v>100</v>
      </c>
      <c r="T16" s="1501" t="s">
        <v>8</v>
      </c>
      <c r="U16" s="1502">
        <f t="shared" si="1"/>
        <v>100</v>
      </c>
      <c r="V16" s="1501" t="s">
        <v>8</v>
      </c>
      <c r="W16" s="1502">
        <f t="shared" si="2"/>
        <v>100</v>
      </c>
      <c r="X16" s="1503"/>
      <c r="Y16" s="3527"/>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3615" t="s">
        <v>532</v>
      </c>
      <c r="Q17" s="1505" t="str">
        <f t="shared" si="6"/>
        <v>居住社区成熟度</v>
      </c>
      <c r="R17" s="1506" t="s">
        <v>8</v>
      </c>
      <c r="S17" s="1507">
        <f t="shared" si="0"/>
        <v>100</v>
      </c>
      <c r="T17" s="1506" t="s">
        <v>8</v>
      </c>
      <c r="U17" s="1507">
        <f t="shared" si="1"/>
        <v>100</v>
      </c>
      <c r="V17" s="1506" t="s">
        <v>8</v>
      </c>
      <c r="W17" s="1507">
        <f t="shared" si="2"/>
        <v>100</v>
      </c>
      <c r="X17" s="1500"/>
      <c r="Y17" s="3615"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3616"/>
      <c r="Q18" s="1505"/>
      <c r="R18" s="1506"/>
      <c r="S18" s="1507"/>
      <c r="T18" s="1506"/>
      <c r="U18" s="1507"/>
      <c r="V18" s="1506"/>
      <c r="W18" s="1507"/>
      <c r="X18" s="1500"/>
      <c r="Y18" s="3616"/>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3616"/>
      <c r="Q19" s="1505" t="str">
        <f>B19</f>
        <v>商业繁华度</v>
      </c>
      <c r="R19" s="1506" t="s">
        <v>8</v>
      </c>
      <c r="S19" s="1507">
        <f>F19</f>
        <v>100</v>
      </c>
      <c r="T19" s="1506" t="s">
        <v>8</v>
      </c>
      <c r="U19" s="1507">
        <f>H19</f>
        <v>100</v>
      </c>
      <c r="V19" s="1506" t="s">
        <v>8</v>
      </c>
      <c r="W19" s="1507">
        <f>J19</f>
        <v>100</v>
      </c>
      <c r="X19" s="1500"/>
      <c r="Y19" s="3616"/>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3616"/>
      <c r="Q20" s="1505"/>
      <c r="R20" s="1506"/>
      <c r="S20" s="1507"/>
      <c r="T20" s="1506"/>
      <c r="U20" s="1507"/>
      <c r="V20" s="1506"/>
      <c r="W20" s="1507"/>
      <c r="X20" s="1500"/>
      <c r="Y20" s="3616"/>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3616"/>
      <c r="Q21" s="1505" t="str">
        <f>B21</f>
        <v>办公集聚程度</v>
      </c>
      <c r="R21" s="1506" t="s">
        <v>8</v>
      </c>
      <c r="S21" s="1507">
        <f>F21</f>
        <v>100</v>
      </c>
      <c r="T21" s="1506" t="s">
        <v>8</v>
      </c>
      <c r="U21" s="1507">
        <f>H21</f>
        <v>100</v>
      </c>
      <c r="V21" s="1506" t="s">
        <v>8</v>
      </c>
      <c r="W21" s="1507">
        <f>J21</f>
        <v>100</v>
      </c>
      <c r="X21" s="1500"/>
      <c r="Y21" s="3616"/>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3616"/>
      <c r="Q22" s="1505"/>
      <c r="R22" s="1506"/>
      <c r="S22" s="1507"/>
      <c r="T22" s="1506"/>
      <c r="U22" s="1507"/>
      <c r="V22" s="1506"/>
      <c r="W22" s="1507"/>
      <c r="X22" s="1500"/>
      <c r="Y22" s="3616"/>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3616"/>
      <c r="Q23" s="1505" t="str">
        <f>B23</f>
        <v>交通便捷度</v>
      </c>
      <c r="R23" s="1506" t="s">
        <v>8</v>
      </c>
      <c r="S23" s="1507">
        <f>F23</f>
        <v>100</v>
      </c>
      <c r="T23" s="1506" t="s">
        <v>8</v>
      </c>
      <c r="U23" s="1507">
        <f>H23</f>
        <v>100</v>
      </c>
      <c r="V23" s="1506" t="s">
        <v>8</v>
      </c>
      <c r="W23" s="1507">
        <f>J23</f>
        <v>100</v>
      </c>
      <c r="X23" s="1500"/>
      <c r="Y23" s="3616"/>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3616"/>
      <c r="Q24" s="1505"/>
      <c r="R24" s="1506"/>
      <c r="S24" s="1507"/>
      <c r="T24" s="1506"/>
      <c r="U24" s="1507"/>
      <c r="V24" s="1506"/>
      <c r="W24" s="1507"/>
      <c r="X24" s="1500"/>
      <c r="Y24" s="3616"/>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3616"/>
      <c r="Q25" s="1505" t="str">
        <f t="shared" ref="Q25:Q39" si="8">B25</f>
        <v>区域土地利用方向</v>
      </c>
      <c r="R25" s="1506" t="s">
        <v>8</v>
      </c>
      <c r="S25" s="1507">
        <f>F25</f>
        <v>100</v>
      </c>
      <c r="T25" s="1506" t="s">
        <v>8</v>
      </c>
      <c r="U25" s="1507">
        <f>H25</f>
        <v>100</v>
      </c>
      <c r="V25" s="1506" t="s">
        <v>8</v>
      </c>
      <c r="W25" s="1507">
        <f>J25</f>
        <v>100</v>
      </c>
      <c r="X25" s="1500"/>
      <c r="Y25" s="3616"/>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3616"/>
      <c r="Q26" s="1505"/>
      <c r="R26" s="1506"/>
      <c r="S26" s="1507"/>
      <c r="T26" s="1506"/>
      <c r="U26" s="1507"/>
      <c r="V26" s="1506"/>
      <c r="W26" s="1507"/>
      <c r="X26" s="1500"/>
      <c r="Y26" s="3616"/>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3616"/>
      <c r="Q27" s="1505" t="str">
        <f t="shared" si="8"/>
        <v>自然及人文环境状况</v>
      </c>
      <c r="R27" s="1506" t="s">
        <v>8</v>
      </c>
      <c r="S27" s="1507">
        <f>F27</f>
        <v>100</v>
      </c>
      <c r="T27" s="1506" t="s">
        <v>8</v>
      </c>
      <c r="U27" s="1507">
        <f>H27</f>
        <v>100</v>
      </c>
      <c r="V27" s="1506" t="s">
        <v>8</v>
      </c>
      <c r="W27" s="1507">
        <f>J27</f>
        <v>100</v>
      </c>
      <c r="X27" s="1500"/>
      <c r="Y27" s="3616"/>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3616"/>
      <c r="Q28" s="1505"/>
      <c r="R28" s="1506"/>
      <c r="S28" s="1507"/>
      <c r="T28" s="1506"/>
      <c r="U28" s="1507"/>
      <c r="V28" s="1506"/>
      <c r="W28" s="1507"/>
      <c r="X28" s="1500"/>
      <c r="Y28" s="3616"/>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3616"/>
      <c r="Q29" s="1132" t="str">
        <f t="shared" si="8"/>
        <v>公共配套设施</v>
      </c>
      <c r="R29" s="1501" t="s">
        <v>8</v>
      </c>
      <c r="S29" s="1502">
        <f>F29</f>
        <v>100</v>
      </c>
      <c r="T29" s="1501" t="s">
        <v>8</v>
      </c>
      <c r="U29" s="1502">
        <f>H29</f>
        <v>100</v>
      </c>
      <c r="V29" s="1501" t="s">
        <v>8</v>
      </c>
      <c r="W29" s="1502">
        <f>J29</f>
        <v>100</v>
      </c>
      <c r="X29" s="1503"/>
      <c r="Y29" s="3616"/>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3616"/>
      <c r="Q30" s="1132"/>
      <c r="R30" s="1501"/>
      <c r="S30" s="1502"/>
      <c r="T30" s="1501"/>
      <c r="U30" s="1502"/>
      <c r="V30" s="1501"/>
      <c r="W30" s="1502"/>
      <c r="X30" s="1503"/>
      <c r="Y30" s="3616"/>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3616"/>
      <c r="Q31" s="2426" t="str">
        <f t="shared" ref="Q31" si="9">B31</f>
        <v>基础设施水平</v>
      </c>
      <c r="R31" s="1501" t="s">
        <v>8</v>
      </c>
      <c r="S31" s="1502">
        <f>F31</f>
        <v>100</v>
      </c>
      <c r="T31" s="1501" t="s">
        <v>8</v>
      </c>
      <c r="U31" s="1502">
        <f>H31</f>
        <v>100</v>
      </c>
      <c r="V31" s="1501" t="s">
        <v>8</v>
      </c>
      <c r="W31" s="1502">
        <f>J31</f>
        <v>100</v>
      </c>
      <c r="X31" s="1503"/>
      <c r="Y31" s="3616"/>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3616"/>
      <c r="Q32" s="2426"/>
      <c r="R32" s="1501"/>
      <c r="S32" s="1502"/>
      <c r="T32" s="1501"/>
      <c r="U32" s="1502"/>
      <c r="V32" s="1501"/>
      <c r="W32" s="1502"/>
      <c r="X32" s="1503"/>
      <c r="Y32" s="3616"/>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3616"/>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616"/>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3616"/>
      <c r="Q34" s="1505" t="str">
        <f t="shared" si="8"/>
        <v>毗邻道路的类型与等级</v>
      </c>
      <c r="R34" s="1506" t="s">
        <v>8</v>
      </c>
      <c r="S34" s="1507">
        <f t="shared" si="10"/>
        <v>100</v>
      </c>
      <c r="T34" s="1506" t="s">
        <v>8</v>
      </c>
      <c r="U34" s="1507">
        <f t="shared" si="11"/>
        <v>100</v>
      </c>
      <c r="V34" s="1506" t="s">
        <v>8</v>
      </c>
      <c r="W34" s="1507">
        <f t="shared" si="12"/>
        <v>100</v>
      </c>
      <c r="X34" s="1500"/>
      <c r="Y34" s="3616"/>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3616"/>
      <c r="Q35" s="1505"/>
      <c r="R35" s="1506"/>
      <c r="S35" s="1507"/>
      <c r="T35" s="1506"/>
      <c r="U35" s="1507"/>
      <c r="V35" s="1506"/>
      <c r="W35" s="1507"/>
      <c r="X35" s="1500"/>
      <c r="Y35" s="3616"/>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3616"/>
      <c r="Q36" s="1505" t="str">
        <f t="shared" si="8"/>
        <v>土地级别</v>
      </c>
      <c r="R36" s="1506" t="s">
        <v>8</v>
      </c>
      <c r="S36" s="1507">
        <f t="shared" si="10"/>
        <v>100</v>
      </c>
      <c r="T36" s="1506" t="s">
        <v>8</v>
      </c>
      <c r="U36" s="1507">
        <f t="shared" si="11"/>
        <v>100</v>
      </c>
      <c r="V36" s="1506" t="s">
        <v>8</v>
      </c>
      <c r="W36" s="1507">
        <f t="shared" si="12"/>
        <v>100</v>
      </c>
      <c r="X36" s="1500"/>
      <c r="Y36" s="3616"/>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3616"/>
      <c r="Q37" s="1505">
        <f t="shared" si="8"/>
        <v>111</v>
      </c>
      <c r="R37" s="1506" t="s">
        <v>8</v>
      </c>
      <c r="S37" s="1507">
        <f t="shared" si="10"/>
        <v>100</v>
      </c>
      <c r="T37" s="1506" t="s">
        <v>8</v>
      </c>
      <c r="U37" s="1507">
        <f t="shared" si="11"/>
        <v>100</v>
      </c>
      <c r="V37" s="1506" t="s">
        <v>8</v>
      </c>
      <c r="W37" s="1507">
        <f t="shared" si="12"/>
        <v>100</v>
      </c>
      <c r="X37" s="1500"/>
      <c r="Y37" s="3616"/>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3617" t="s">
        <v>542</v>
      </c>
      <c r="Q38" s="1505">
        <f t="shared" si="8"/>
        <v>111</v>
      </c>
      <c r="R38" s="1506" t="s">
        <v>8</v>
      </c>
      <c r="S38" s="1507">
        <f t="shared" si="10"/>
        <v>100</v>
      </c>
      <c r="T38" s="1506" t="s">
        <v>8</v>
      </c>
      <c r="U38" s="1507">
        <f t="shared" si="11"/>
        <v>100</v>
      </c>
      <c r="V38" s="1506" t="s">
        <v>8</v>
      </c>
      <c r="W38" s="1507">
        <f t="shared" si="12"/>
        <v>100</v>
      </c>
      <c r="X38" s="1500"/>
      <c r="Y38" s="3618"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3618"/>
      <c r="Q39" s="1505">
        <f t="shared" si="8"/>
        <v>111</v>
      </c>
      <c r="R39" s="1510" t="s">
        <v>8</v>
      </c>
      <c r="S39" s="1511">
        <f t="shared" si="10"/>
        <v>100</v>
      </c>
      <c r="T39" s="1510" t="s">
        <v>8</v>
      </c>
      <c r="U39" s="1511">
        <f t="shared" si="11"/>
        <v>100</v>
      </c>
      <c r="V39" s="1510" t="s">
        <v>8</v>
      </c>
      <c r="W39" s="1511">
        <f t="shared" si="12"/>
        <v>100</v>
      </c>
      <c r="X39" s="1512"/>
      <c r="Y39" s="3618"/>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3618"/>
      <c r="Q40" s="1505" t="str">
        <f>B40</f>
        <v>宗地面积</v>
      </c>
      <c r="R40" s="1506" t="s">
        <v>8</v>
      </c>
      <c r="S40" s="1507" t="e">
        <f t="shared" si="10"/>
        <v>#N/A</v>
      </c>
      <c r="T40" s="1506" t="s">
        <v>8</v>
      </c>
      <c r="U40" s="1507" t="e">
        <f t="shared" si="11"/>
        <v>#N/A</v>
      </c>
      <c r="V40" s="1506" t="s">
        <v>8</v>
      </c>
      <c r="W40" s="1507" t="e">
        <f t="shared" si="12"/>
        <v>#N/A</v>
      </c>
      <c r="X40" s="1500"/>
      <c r="Y40" s="3618"/>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3618"/>
      <c r="Q41" s="1505" t="str">
        <f t="shared" ref="Q41:Q47" si="14">B41</f>
        <v>宗地形状</v>
      </c>
      <c r="R41" s="1506" t="s">
        <v>8</v>
      </c>
      <c r="S41" s="1507">
        <f t="shared" si="10"/>
        <v>100</v>
      </c>
      <c r="T41" s="1506" t="s">
        <v>8</v>
      </c>
      <c r="U41" s="1507">
        <f t="shared" si="11"/>
        <v>100</v>
      </c>
      <c r="V41" s="1506" t="s">
        <v>8</v>
      </c>
      <c r="W41" s="1507">
        <f t="shared" si="12"/>
        <v>100</v>
      </c>
      <c r="X41" s="1500"/>
      <c r="Y41" s="3618"/>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3618"/>
      <c r="Q42" s="1505" t="str">
        <f t="shared" si="14"/>
        <v>临街宽度及深度</v>
      </c>
      <c r="R42" s="1506" t="s">
        <v>8</v>
      </c>
      <c r="S42" s="1507">
        <f t="shared" si="10"/>
        <v>100</v>
      </c>
      <c r="T42" s="1506" t="s">
        <v>8</v>
      </c>
      <c r="U42" s="1507">
        <f t="shared" si="11"/>
        <v>100</v>
      </c>
      <c r="V42" s="1506" t="s">
        <v>8</v>
      </c>
      <c r="W42" s="1507">
        <f t="shared" si="12"/>
        <v>100</v>
      </c>
      <c r="X42" s="1500"/>
      <c r="Y42" s="3618"/>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3618"/>
      <c r="Q43" s="1505" t="str">
        <f t="shared" si="14"/>
        <v>宗地开发程度</v>
      </c>
      <c r="R43" s="1501" t="s">
        <v>8</v>
      </c>
      <c r="S43" s="1502">
        <f t="shared" si="10"/>
        <v>100</v>
      </c>
      <c r="T43" s="1501" t="s">
        <v>8</v>
      </c>
      <c r="U43" s="1502">
        <f t="shared" si="11"/>
        <v>100</v>
      </c>
      <c r="V43" s="1501" t="s">
        <v>8</v>
      </c>
      <c r="W43" s="1502">
        <f t="shared" si="12"/>
        <v>100</v>
      </c>
      <c r="X43" s="1503"/>
      <c r="Y43" s="3618"/>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3618" t="s">
        <v>542</v>
      </c>
      <c r="Q44" s="1505" t="str">
        <f t="shared" si="14"/>
        <v>工程地质条件</v>
      </c>
      <c r="R44" s="1506" t="s">
        <v>8</v>
      </c>
      <c r="S44" s="1507">
        <f t="shared" si="10"/>
        <v>100</v>
      </c>
      <c r="T44" s="1506" t="s">
        <v>8</v>
      </c>
      <c r="U44" s="1507">
        <f t="shared" si="11"/>
        <v>100</v>
      </c>
      <c r="V44" s="1506" t="s">
        <v>8</v>
      </c>
      <c r="W44" s="1507">
        <f t="shared" si="12"/>
        <v>100</v>
      </c>
      <c r="X44" s="1500"/>
      <c r="Y44" s="3618"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3618"/>
      <c r="Q45" s="1505">
        <f t="shared" si="14"/>
        <v>111</v>
      </c>
      <c r="R45" s="1506" t="s">
        <v>8</v>
      </c>
      <c r="S45" s="1507">
        <f t="shared" si="10"/>
        <v>100</v>
      </c>
      <c r="T45" s="1506" t="s">
        <v>8</v>
      </c>
      <c r="U45" s="1507">
        <f t="shared" si="11"/>
        <v>100</v>
      </c>
      <c r="V45" s="1506" t="s">
        <v>8</v>
      </c>
      <c r="W45" s="1507">
        <f t="shared" si="12"/>
        <v>100</v>
      </c>
      <c r="X45" s="1500"/>
      <c r="Y45" s="3618"/>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3618"/>
      <c r="Q46" s="1505">
        <f t="shared" si="14"/>
        <v>111</v>
      </c>
      <c r="R46" s="1506" t="s">
        <v>8</v>
      </c>
      <c r="S46" s="1507">
        <f t="shared" si="10"/>
        <v>100</v>
      </c>
      <c r="T46" s="1506" t="s">
        <v>8</v>
      </c>
      <c r="U46" s="1507">
        <f t="shared" si="11"/>
        <v>100</v>
      </c>
      <c r="V46" s="1506" t="s">
        <v>8</v>
      </c>
      <c r="W46" s="1507">
        <f t="shared" si="12"/>
        <v>100</v>
      </c>
      <c r="X46" s="1500"/>
      <c r="Y46" s="3618"/>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3618"/>
      <c r="Q47" s="1505">
        <f t="shared" si="14"/>
        <v>111</v>
      </c>
      <c r="R47" s="1510" t="s">
        <v>8</v>
      </c>
      <c r="S47" s="1511">
        <f t="shared" si="10"/>
        <v>100</v>
      </c>
      <c r="T47" s="1510" t="s">
        <v>8</v>
      </c>
      <c r="U47" s="1511">
        <f t="shared" si="11"/>
        <v>100</v>
      </c>
      <c r="V47" s="1510" t="s">
        <v>8</v>
      </c>
      <c r="W47" s="1511">
        <f t="shared" si="12"/>
        <v>100</v>
      </c>
      <c r="X47" s="1512"/>
      <c r="Y47" s="3618"/>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581" t="str">
        <f>A48</f>
        <v>成交单价</v>
      </c>
      <c r="Q48" s="3581"/>
      <c r="R48" s="3582">
        <f>E48</f>
        <v>0</v>
      </c>
      <c r="S48" s="3582"/>
      <c r="T48" s="3582">
        <f>G48</f>
        <v>0</v>
      </c>
      <c r="U48" s="3582"/>
      <c r="V48" s="3582">
        <f>I48</f>
        <v>0</v>
      </c>
      <c r="W48" s="3582"/>
      <c r="X48" s="1495"/>
      <c r="Y48" s="1514"/>
      <c r="Z48" s="1495"/>
      <c r="AA48" s="1495"/>
      <c r="AB48" s="1495"/>
      <c r="AC48" s="1495"/>
    </row>
    <row r="49" spans="1:29" ht="21" thickBot="1">
      <c r="A49" s="607" t="s">
        <v>2671</v>
      </c>
      <c r="B49" s="608"/>
      <c r="C49" s="609" t="e">
        <f>R50</f>
        <v>#DIV/0!</v>
      </c>
      <c r="D49" s="3012" t="s">
        <v>2963</v>
      </c>
      <c r="E49" s="609" t="e">
        <f>R49</f>
        <v>#DIV/0!</v>
      </c>
      <c r="F49" s="3013"/>
      <c r="G49" s="610" t="e">
        <f>T49</f>
        <v>#DIV/0!</v>
      </c>
      <c r="H49" s="3013"/>
      <c r="I49" s="609" t="e">
        <f>V49</f>
        <v>#DIV/0!</v>
      </c>
      <c r="J49" s="3013"/>
      <c r="K49" s="3014">
        <f>F49+H49+J49</f>
        <v>0</v>
      </c>
      <c r="L49" s="2024"/>
      <c r="M49" s="2012"/>
      <c r="N49" s="2012"/>
      <c r="O49" s="2025"/>
      <c r="P49" s="3581" t="str">
        <f>A49</f>
        <v>比较价格（元/平方米）</v>
      </c>
      <c r="Q49" s="3581"/>
      <c r="R49" s="3583" t="e">
        <f>ROUND(PRODUCT(R48,AA9:AA47),0)</f>
        <v>#DIV/0!</v>
      </c>
      <c r="S49" s="3583"/>
      <c r="T49" s="3583" t="e">
        <f>ROUND(PRODUCT(T48,AB9:AB47),0)</f>
        <v>#DIV/0!</v>
      </c>
      <c r="U49" s="3583"/>
      <c r="V49" s="3583" t="e">
        <f>ROUND(PRODUCT(V48,AC9:AC47),0)</f>
        <v>#DIV/0!</v>
      </c>
      <c r="W49" s="3583"/>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578" t="str">
        <f>A50</f>
        <v>估价对象XX用房的比较价格（楼面单价，元/平方米）</v>
      </c>
      <c r="Q50" s="3579"/>
      <c r="R50" s="3580" t="e">
        <f>ROUND(IF(D49="简单平均",AVERAGE(R49:W49),R49*F49+T49*H49+V49*J49),0)</f>
        <v>#DIV/0!</v>
      </c>
      <c r="S50" s="3580"/>
      <c r="T50" s="3580"/>
      <c r="U50" s="3580"/>
      <c r="V50" s="3580"/>
      <c r="W50" s="3580"/>
      <c r="X50" s="1495"/>
      <c r="Y50" s="1495"/>
      <c r="Z50" s="1495"/>
      <c r="AA50" s="1495"/>
      <c r="AB50" s="1495"/>
      <c r="AC50" s="1495"/>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3607" t="s">
        <v>2266</v>
      </c>
      <c r="H57" s="3608"/>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30803.628000000001</v>
      </c>
      <c r="F58" s="626" t="e">
        <f t="shared" ref="F58:F67" si="15">ROUND(B58*E58/10000,0)</f>
        <v>#DIV/0!</v>
      </c>
      <c r="G58" s="3609"/>
      <c r="H58" s="3610"/>
      <c r="I58" s="1493">
        <v>1</v>
      </c>
      <c r="J58" s="1493">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3611" t="s">
        <v>2267</v>
      </c>
      <c r="H59" s="1860" t="str">
        <f>项目基本情况!B43</f>
        <v>六级</v>
      </c>
      <c r="I59" s="1493">
        <f>SUMIF(修正!$A$45:$A$56,H59,修正!B45:B56)</f>
        <v>0.7</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3611"/>
      <c r="H60" s="1860" t="str">
        <f>项目基本情况!B43</f>
        <v>六级</v>
      </c>
      <c r="I60" s="1493">
        <f>SUMIF(修正!$A$45:$A$56,H60,修正!C45:C56)</f>
        <v>0.4</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3611"/>
      <c r="H61" s="1860" t="str">
        <f>项目基本情况!B43</f>
        <v>六级</v>
      </c>
      <c r="I61" s="1493">
        <f>SUMIF(修正!$A$45:$A$56,H61,修正!D45:D56)</f>
        <v>0.28000000000000003</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3611"/>
      <c r="H62" s="1860" t="str">
        <f>项目基本情况!B43</f>
        <v>六级</v>
      </c>
      <c r="I62" s="1493">
        <f>SUMIF(修正!$A$45:$A$56,H62,修正!E45:E56)</f>
        <v>0.25</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5500.65</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2021-8-1</v>
      </c>
      <c r="D70" s="2514">
        <f>EDATE(C70,-3)</f>
        <v>44317</v>
      </c>
      <c r="E70" s="2514">
        <f t="shared" ref="E70:N70" si="18">EDATE(D70,-3)</f>
        <v>44228</v>
      </c>
      <c r="F70" s="2514">
        <f t="shared" si="18"/>
        <v>44136</v>
      </c>
      <c r="G70" s="2514">
        <f t="shared" si="18"/>
        <v>44044</v>
      </c>
      <c r="H70" s="2514">
        <f t="shared" si="18"/>
        <v>43952</v>
      </c>
      <c r="I70" s="2514">
        <f t="shared" si="18"/>
        <v>43862</v>
      </c>
      <c r="J70" s="2514">
        <f t="shared" si="18"/>
        <v>43770</v>
      </c>
      <c r="K70" s="2514">
        <f t="shared" si="18"/>
        <v>43678</v>
      </c>
      <c r="L70" s="2514">
        <f t="shared" si="18"/>
        <v>43586</v>
      </c>
      <c r="M70" s="2514">
        <f t="shared" si="18"/>
        <v>43497</v>
      </c>
      <c r="N70" s="2514">
        <f t="shared" si="18"/>
        <v>43405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2021-3</v>
      </c>
      <c r="D72" s="2516" t="str">
        <f>YEAR(D70)&amp;"-"&amp;ROUNDUP(MONTH(D70)/3,0)</f>
        <v>2021-2</v>
      </c>
      <c r="E72" s="2516" t="str">
        <f t="shared" ref="E72:N72" si="19">YEAR(E70)&amp;"-"&amp;ROUNDUP(MONTH(E70)/3,0)</f>
        <v>2021-1</v>
      </c>
      <c r="F72" s="2516" t="str">
        <f t="shared" si="19"/>
        <v>2020-4</v>
      </c>
      <c r="G72" s="2516" t="str">
        <f t="shared" si="19"/>
        <v>2020-3</v>
      </c>
      <c r="H72" s="2516" t="str">
        <f t="shared" si="19"/>
        <v>2020-2</v>
      </c>
      <c r="I72" s="2516" t="str">
        <f t="shared" si="19"/>
        <v>2020-1</v>
      </c>
      <c r="J72" s="2516" t="str">
        <f t="shared" si="19"/>
        <v>2019-4</v>
      </c>
      <c r="K72" s="2516" t="str">
        <f t="shared" si="19"/>
        <v>2019-3</v>
      </c>
      <c r="L72" s="2516" t="str">
        <f t="shared" si="19"/>
        <v>2019-2</v>
      </c>
      <c r="M72" s="2516" t="str">
        <f t="shared" si="19"/>
        <v>2019-1</v>
      </c>
      <c r="N72" s="2516" t="str">
        <f t="shared" si="19"/>
        <v>2018-4</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北京市平均增长率0.00%</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4" priority="18" stopIfTrue="1" operator="containsText" text="超过">
      <formula>NOT(ISERROR(SEARCH("超过",F53)))</formula>
    </cfRule>
  </conditionalFormatting>
  <conditionalFormatting sqref="J55">
    <cfRule type="containsText" dxfId="183" priority="17" stopIfTrue="1" operator="containsText" text="超过">
      <formula>NOT(ISERROR(SEARCH("超过",J55)))</formula>
    </cfRule>
  </conditionalFormatting>
  <conditionalFormatting sqref="H55">
    <cfRule type="containsText" dxfId="182" priority="16" stopIfTrue="1" operator="containsText" text="超过">
      <formula>NOT(ISERROR(SEARCH("超过",H55)))</formula>
    </cfRule>
  </conditionalFormatting>
  <conditionalFormatting sqref="F55">
    <cfRule type="containsText" dxfId="181" priority="15" stopIfTrue="1" operator="containsText" text="超过">
      <formula>NOT(ISERROR(SEARCH("超过",F55)))</formula>
    </cfRule>
  </conditionalFormatting>
  <conditionalFormatting sqref="F54 H54 J54">
    <cfRule type="containsText" dxfId="180" priority="14" stopIfTrue="1" operator="containsText" text="超过">
      <formula>NOT(ISERROR(SEARCH("超过",F54)))</formula>
    </cfRule>
  </conditionalFormatting>
  <conditionalFormatting sqref="E53">
    <cfRule type="expression" dxfId="179" priority="13" stopIfTrue="1">
      <formula>$F$53="超过30%"</formula>
    </cfRule>
  </conditionalFormatting>
  <conditionalFormatting sqref="G55">
    <cfRule type="expression" dxfId="178" priority="12" stopIfTrue="1">
      <formula>$H$55="超过30%"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3">
    <cfRule type="expression" dxfId="175" priority="9" stopIfTrue="1">
      <formula>$H$55+$H$53="超过30%"</formula>
    </cfRule>
  </conditionalFormatting>
  <conditionalFormatting sqref="G54">
    <cfRule type="expression" dxfId="174" priority="8" stopIfTrue="1">
      <formula>$H$54="超过20%"</formula>
    </cfRule>
  </conditionalFormatting>
  <conditionalFormatting sqref="I53">
    <cfRule type="expression" dxfId="173" priority="7" stopIfTrue="1">
      <formula>$J$53="超过30%"</formula>
    </cfRule>
  </conditionalFormatting>
  <conditionalFormatting sqref="I54">
    <cfRule type="expression" dxfId="172" priority="6" stopIfTrue="1">
      <formula>$J$54="超过20%"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9:F47 H9:H47 J9:J47">
    <cfRule type="cellIs" dxfId="16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500"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30" t="s">
        <v>1673</v>
      </c>
      <c r="B3" s="502"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4" t="s">
        <v>513</v>
      </c>
      <c r="B6" s="505"/>
      <c r="C6" s="3587" t="s">
        <v>514</v>
      </c>
      <c r="D6" s="3588"/>
      <c r="E6" s="3621" t="s">
        <v>515</v>
      </c>
      <c r="F6" s="3622"/>
      <c r="G6" s="3587" t="s">
        <v>516</v>
      </c>
      <c r="H6" s="3588"/>
      <c r="I6" s="3587" t="s">
        <v>517</v>
      </c>
      <c r="J6" s="3588"/>
      <c r="K6" s="506" t="s">
        <v>518</v>
      </c>
      <c r="L6" s="2013"/>
      <c r="M6" s="2014"/>
      <c r="N6" s="2014"/>
      <c r="O6" s="2014"/>
      <c r="P6" s="3589" t="s">
        <v>519</v>
      </c>
      <c r="Q6" s="3590"/>
      <c r="R6" s="3595" t="s">
        <v>515</v>
      </c>
      <c r="S6" s="3596"/>
      <c r="T6" s="3595" t="s">
        <v>516</v>
      </c>
      <c r="U6" s="3596"/>
      <c r="V6" s="3582" t="s">
        <v>517</v>
      </c>
      <c r="W6" s="3582"/>
      <c r="X6" s="1500"/>
      <c r="Y6" s="3595" t="s">
        <v>519</v>
      </c>
      <c r="Z6" s="3596"/>
      <c r="AA6" s="3584" t="s">
        <v>515</v>
      </c>
      <c r="AB6" s="3585" t="s">
        <v>516</v>
      </c>
      <c r="AC6" s="3584" t="s">
        <v>517</v>
      </c>
    </row>
    <row r="7" spans="1:29" ht="15">
      <c r="A7" s="507"/>
      <c r="B7" s="508"/>
      <c r="C7" s="3603" t="s">
        <v>2892</v>
      </c>
      <c r="D7" s="3604"/>
      <c r="E7" s="3623" t="s">
        <v>2893</v>
      </c>
      <c r="F7" s="3624"/>
      <c r="G7" s="3603" t="s">
        <v>2894</v>
      </c>
      <c r="H7" s="3604"/>
      <c r="I7" s="3603" t="s">
        <v>2895</v>
      </c>
      <c r="J7" s="3604"/>
      <c r="K7" s="506"/>
      <c r="L7" s="2013"/>
      <c r="M7" s="2014"/>
      <c r="N7" s="2014"/>
      <c r="O7" s="2014"/>
      <c r="P7" s="3591"/>
      <c r="Q7" s="3592"/>
      <c r="R7" s="3597"/>
      <c r="S7" s="3598"/>
      <c r="T7" s="3597"/>
      <c r="U7" s="3598"/>
      <c r="V7" s="3582"/>
      <c r="W7" s="3582"/>
      <c r="X7" s="1500"/>
      <c r="Y7" s="3597"/>
      <c r="Z7" s="3598"/>
      <c r="AA7" s="3585"/>
      <c r="AB7" s="3585"/>
      <c r="AC7" s="3585"/>
    </row>
    <row r="8" spans="1:29" ht="15.75" thickBot="1">
      <c r="A8" s="509"/>
      <c r="B8" s="510"/>
      <c r="C8" s="3601" t="s">
        <v>2896</v>
      </c>
      <c r="D8" s="3602"/>
      <c r="E8" s="3619" t="s">
        <v>2896</v>
      </c>
      <c r="F8" s="3620"/>
      <c r="G8" s="3601" t="s">
        <v>2896</v>
      </c>
      <c r="H8" s="3602"/>
      <c r="I8" s="3601" t="s">
        <v>2896</v>
      </c>
      <c r="J8" s="3602"/>
      <c r="K8" s="506" t="s">
        <v>520</v>
      </c>
      <c r="L8" s="2013"/>
      <c r="M8" s="2014"/>
      <c r="N8" s="2014"/>
      <c r="O8" s="2014"/>
      <c r="P8" s="3593"/>
      <c r="Q8" s="3594"/>
      <c r="R8" s="3597"/>
      <c r="S8" s="3598"/>
      <c r="T8" s="3599"/>
      <c r="U8" s="3600"/>
      <c r="V8" s="3582"/>
      <c r="W8" s="3582"/>
      <c r="X8" s="1500"/>
      <c r="Y8" s="3599"/>
      <c r="Z8" s="3600"/>
      <c r="AA8" s="3586"/>
      <c r="AB8" s="3586"/>
      <c r="AC8" s="3586"/>
    </row>
    <row r="9" spans="1:29" s="1201" customFormat="1" ht="15.75" thickBot="1">
      <c r="A9" s="2627"/>
      <c r="B9" s="2634" t="s">
        <v>521</v>
      </c>
      <c r="C9" s="511">
        <f>'数据-取费表'!B2</f>
        <v>44424</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3612" t="s">
        <v>522</v>
      </c>
      <c r="Q9" s="3614"/>
      <c r="R9" s="1501" t="s">
        <v>8</v>
      </c>
      <c r="S9" s="1502">
        <f t="shared" ref="S9:S17" si="0">F9</f>
        <v>0</v>
      </c>
      <c r="T9" s="1501" t="s">
        <v>8</v>
      </c>
      <c r="U9" s="1502">
        <f t="shared" ref="U9:U17" si="1">H9</f>
        <v>0</v>
      </c>
      <c r="V9" s="1501" t="s">
        <v>8</v>
      </c>
      <c r="W9" s="1502">
        <f t="shared" ref="W9:W17" si="2">J9</f>
        <v>0</v>
      </c>
      <c r="X9" s="1503"/>
      <c r="Y9" s="3612" t="s">
        <v>522</v>
      </c>
      <c r="Z9" s="3613"/>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3612" t="s">
        <v>525</v>
      </c>
      <c r="Q10" s="3613"/>
      <c r="R10" s="1501" t="s">
        <v>8</v>
      </c>
      <c r="S10" s="1502">
        <f t="shared" si="0"/>
        <v>0</v>
      </c>
      <c r="T10" s="1501" t="s">
        <v>8</v>
      </c>
      <c r="U10" s="1502">
        <f t="shared" si="1"/>
        <v>0</v>
      </c>
      <c r="V10" s="1501" t="s">
        <v>8</v>
      </c>
      <c r="W10" s="1502">
        <f t="shared" si="2"/>
        <v>0</v>
      </c>
      <c r="X10" s="1503"/>
      <c r="Y10" s="3612" t="s">
        <v>525</v>
      </c>
      <c r="Z10" s="3613"/>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581" t="s">
        <v>527</v>
      </c>
      <c r="Q11" s="1132" t="str">
        <f t="shared" ref="Q11:Q17" si="6">B11</f>
        <v>用途</v>
      </c>
      <c r="R11" s="1501" t="s">
        <v>8</v>
      </c>
      <c r="S11" s="1502">
        <f t="shared" si="0"/>
        <v>100</v>
      </c>
      <c r="T11" s="1501" t="s">
        <v>8</v>
      </c>
      <c r="U11" s="1502">
        <f t="shared" si="1"/>
        <v>100</v>
      </c>
      <c r="V11" s="1501" t="s">
        <v>8</v>
      </c>
      <c r="W11" s="1502">
        <f t="shared" si="2"/>
        <v>100</v>
      </c>
      <c r="X11" s="1503"/>
      <c r="Y11" s="3527"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581"/>
      <c r="Q12" s="1132" t="str">
        <f t="shared" si="6"/>
        <v>土地使用年限（年）</v>
      </c>
      <c r="R12" s="1501" t="s">
        <v>8</v>
      </c>
      <c r="S12" s="1502" t="e">
        <f t="shared" si="0"/>
        <v>#DIV/0!</v>
      </c>
      <c r="T12" s="1501" t="s">
        <v>8</v>
      </c>
      <c r="U12" s="1502" t="e">
        <f t="shared" si="1"/>
        <v>#DIV/0!</v>
      </c>
      <c r="V12" s="1501" t="s">
        <v>8</v>
      </c>
      <c r="W12" s="1502" t="e">
        <f t="shared" si="2"/>
        <v>#DIV/0!</v>
      </c>
      <c r="X12" s="1503"/>
      <c r="Y12" s="3527"/>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581"/>
      <c r="Q13" s="1132" t="str">
        <f t="shared" si="6"/>
        <v>容积率</v>
      </c>
      <c r="R13" s="1501" t="s">
        <v>8</v>
      </c>
      <c r="S13" s="1502" t="e">
        <f t="shared" si="0"/>
        <v>#N/A</v>
      </c>
      <c r="T13" s="1501" t="s">
        <v>8</v>
      </c>
      <c r="U13" s="1502" t="e">
        <f t="shared" si="1"/>
        <v>#N/A</v>
      </c>
      <c r="V13" s="1501" t="s">
        <v>8</v>
      </c>
      <c r="W13" s="1502" t="e">
        <f t="shared" si="2"/>
        <v>#N/A</v>
      </c>
      <c r="X13" s="1503"/>
      <c r="Y13" s="3527"/>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581"/>
      <c r="Q14" s="1132">
        <f t="shared" si="6"/>
        <v>111</v>
      </c>
      <c r="R14" s="1501" t="s">
        <v>8</v>
      </c>
      <c r="S14" s="1502">
        <f t="shared" si="0"/>
        <v>100</v>
      </c>
      <c r="T14" s="1501" t="s">
        <v>8</v>
      </c>
      <c r="U14" s="1502">
        <f t="shared" si="1"/>
        <v>100</v>
      </c>
      <c r="V14" s="1501" t="s">
        <v>8</v>
      </c>
      <c r="W14" s="1502">
        <f t="shared" si="2"/>
        <v>100</v>
      </c>
      <c r="X14" s="1503"/>
      <c r="Y14" s="3527"/>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581"/>
      <c r="Q15" s="1132">
        <f t="shared" si="6"/>
        <v>111</v>
      </c>
      <c r="R15" s="1501" t="s">
        <v>8</v>
      </c>
      <c r="S15" s="1502">
        <f t="shared" si="0"/>
        <v>100</v>
      </c>
      <c r="T15" s="1501" t="s">
        <v>8</v>
      </c>
      <c r="U15" s="1502">
        <f t="shared" si="1"/>
        <v>100</v>
      </c>
      <c r="V15" s="1501" t="s">
        <v>8</v>
      </c>
      <c r="W15" s="1502">
        <f t="shared" si="2"/>
        <v>100</v>
      </c>
      <c r="X15" s="1503"/>
      <c r="Y15" s="3527"/>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581"/>
      <c r="Q16" s="1132">
        <f t="shared" si="6"/>
        <v>111</v>
      </c>
      <c r="R16" s="1501" t="s">
        <v>8</v>
      </c>
      <c r="S16" s="1502">
        <f t="shared" si="0"/>
        <v>100</v>
      </c>
      <c r="T16" s="1501" t="s">
        <v>8</v>
      </c>
      <c r="U16" s="1502">
        <f t="shared" si="1"/>
        <v>100</v>
      </c>
      <c r="V16" s="1501" t="s">
        <v>8</v>
      </c>
      <c r="W16" s="1502">
        <f t="shared" si="2"/>
        <v>100</v>
      </c>
      <c r="X16" s="1503"/>
      <c r="Y16" s="3527"/>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3615" t="s">
        <v>532</v>
      </c>
      <c r="Q17" s="1505" t="str">
        <f t="shared" si="6"/>
        <v>产业集聚程度</v>
      </c>
      <c r="R17" s="1506" t="s">
        <v>8</v>
      </c>
      <c r="S17" s="1507">
        <f t="shared" si="0"/>
        <v>100</v>
      </c>
      <c r="T17" s="1506" t="s">
        <v>8</v>
      </c>
      <c r="U17" s="1507">
        <f t="shared" si="1"/>
        <v>100</v>
      </c>
      <c r="V17" s="1506" t="s">
        <v>8</v>
      </c>
      <c r="W17" s="1507">
        <f t="shared" si="2"/>
        <v>100</v>
      </c>
      <c r="X17" s="1500"/>
      <c r="Y17" s="3615"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3616"/>
      <c r="Q18" s="1505"/>
      <c r="R18" s="1506"/>
      <c r="S18" s="1507"/>
      <c r="T18" s="1506"/>
      <c r="U18" s="1507"/>
      <c r="V18" s="1506"/>
      <c r="W18" s="1507"/>
      <c r="X18" s="1500"/>
      <c r="Y18" s="3616"/>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3616"/>
      <c r="Q19" s="1505" t="str">
        <f>B19</f>
        <v>交通便捷度</v>
      </c>
      <c r="R19" s="1506" t="s">
        <v>8</v>
      </c>
      <c r="S19" s="1507">
        <f>F19</f>
        <v>100</v>
      </c>
      <c r="T19" s="1506" t="s">
        <v>8</v>
      </c>
      <c r="U19" s="1507">
        <f>H19</f>
        <v>100</v>
      </c>
      <c r="V19" s="1506" t="s">
        <v>8</v>
      </c>
      <c r="W19" s="1507">
        <f>J19</f>
        <v>100</v>
      </c>
      <c r="X19" s="1500"/>
      <c r="Y19" s="3616"/>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3616"/>
      <c r="Q20" s="1505"/>
      <c r="R20" s="1506"/>
      <c r="S20" s="1507"/>
      <c r="T20" s="1506"/>
      <c r="U20" s="1507"/>
      <c r="V20" s="1506"/>
      <c r="W20" s="1507"/>
      <c r="X20" s="1500"/>
      <c r="Y20" s="3616"/>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3616"/>
      <c r="Q21" s="1505" t="str">
        <f t="shared" ref="Q21:Q35" si="8">B21</f>
        <v>区域土地利用方向</v>
      </c>
      <c r="R21" s="1506" t="s">
        <v>8</v>
      </c>
      <c r="S21" s="1507">
        <f>F21</f>
        <v>100</v>
      </c>
      <c r="T21" s="1506" t="s">
        <v>8</v>
      </c>
      <c r="U21" s="1507">
        <f>H21</f>
        <v>100</v>
      </c>
      <c r="V21" s="1506" t="s">
        <v>8</v>
      </c>
      <c r="W21" s="1507">
        <f>J21</f>
        <v>100</v>
      </c>
      <c r="X21" s="1500"/>
      <c r="Y21" s="3616"/>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3616"/>
      <c r="Q22" s="1505"/>
      <c r="R22" s="1506"/>
      <c r="S22" s="1507"/>
      <c r="T22" s="1506"/>
      <c r="U22" s="1507"/>
      <c r="V22" s="1506"/>
      <c r="W22" s="1507"/>
      <c r="X22" s="1500"/>
      <c r="Y22" s="3616"/>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3616"/>
      <c r="Q23" s="1505" t="str">
        <f t="shared" si="8"/>
        <v>环境状况</v>
      </c>
      <c r="R23" s="1506" t="s">
        <v>8</v>
      </c>
      <c r="S23" s="1507">
        <f>F23</f>
        <v>100</v>
      </c>
      <c r="T23" s="1506" t="s">
        <v>8</v>
      </c>
      <c r="U23" s="1507">
        <f>H23</f>
        <v>100</v>
      </c>
      <c r="V23" s="1506" t="s">
        <v>8</v>
      </c>
      <c r="W23" s="1507">
        <f>J23</f>
        <v>100</v>
      </c>
      <c r="X23" s="1500"/>
      <c r="Y23" s="3616"/>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3616"/>
      <c r="Q24" s="1505"/>
      <c r="R24" s="1506"/>
      <c r="S24" s="1507"/>
      <c r="T24" s="1506"/>
      <c r="U24" s="1507"/>
      <c r="V24" s="1506"/>
      <c r="W24" s="1507"/>
      <c r="X24" s="1500"/>
      <c r="Y24" s="3616"/>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3616"/>
      <c r="Q25" s="1132" t="str">
        <f t="shared" si="8"/>
        <v>公共配套设施</v>
      </c>
      <c r="R25" s="1501" t="s">
        <v>8</v>
      </c>
      <c r="S25" s="1502">
        <f>F25</f>
        <v>100</v>
      </c>
      <c r="T25" s="1501" t="s">
        <v>8</v>
      </c>
      <c r="U25" s="1502">
        <f>H25</f>
        <v>100</v>
      </c>
      <c r="V25" s="1501" t="s">
        <v>8</v>
      </c>
      <c r="W25" s="1502">
        <f>J25</f>
        <v>100</v>
      </c>
      <c r="X25" s="1503"/>
      <c r="Y25" s="3616"/>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3616"/>
      <c r="Q26" s="1132"/>
      <c r="R26" s="1501"/>
      <c r="S26" s="1502"/>
      <c r="T26" s="1501"/>
      <c r="U26" s="1502"/>
      <c r="V26" s="1501"/>
      <c r="W26" s="1502"/>
      <c r="X26" s="1503"/>
      <c r="Y26" s="3616"/>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3616"/>
      <c r="Q27" s="2426" t="str">
        <f t="shared" ref="Q27" si="9">B27</f>
        <v>基础设施水平</v>
      </c>
      <c r="R27" s="1501" t="s">
        <v>8</v>
      </c>
      <c r="S27" s="1502">
        <f>F27</f>
        <v>100</v>
      </c>
      <c r="T27" s="1501" t="s">
        <v>8</v>
      </c>
      <c r="U27" s="1502">
        <f>H27</f>
        <v>100</v>
      </c>
      <c r="V27" s="1501" t="s">
        <v>8</v>
      </c>
      <c r="W27" s="1502">
        <f>J27</f>
        <v>100</v>
      </c>
      <c r="X27" s="1503"/>
      <c r="Y27" s="3616"/>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3616"/>
      <c r="Q28" s="2426"/>
      <c r="R28" s="1501"/>
      <c r="S28" s="1502"/>
      <c r="T28" s="1501"/>
      <c r="U28" s="1502"/>
      <c r="V28" s="1501"/>
      <c r="W28" s="1502"/>
      <c r="X28" s="1503"/>
      <c r="Y28" s="3616"/>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3616"/>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616"/>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3616"/>
      <c r="Q30" s="1505" t="str">
        <f t="shared" si="8"/>
        <v>毗邻道路的类型与等级</v>
      </c>
      <c r="R30" s="1506" t="s">
        <v>8</v>
      </c>
      <c r="S30" s="1507">
        <f t="shared" si="10"/>
        <v>100</v>
      </c>
      <c r="T30" s="1506" t="s">
        <v>8</v>
      </c>
      <c r="U30" s="1507">
        <f t="shared" si="11"/>
        <v>100</v>
      </c>
      <c r="V30" s="1506" t="s">
        <v>8</v>
      </c>
      <c r="W30" s="1507">
        <f t="shared" si="12"/>
        <v>100</v>
      </c>
      <c r="X30" s="1500"/>
      <c r="Y30" s="3616"/>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3616"/>
      <c r="Q31" s="1505"/>
      <c r="R31" s="1506"/>
      <c r="S31" s="1507"/>
      <c r="T31" s="1506"/>
      <c r="U31" s="1507"/>
      <c r="V31" s="1506"/>
      <c r="W31" s="1507"/>
      <c r="X31" s="1500"/>
      <c r="Y31" s="3616"/>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3616"/>
      <c r="Q32" s="1505" t="str">
        <f t="shared" si="8"/>
        <v>土地级别</v>
      </c>
      <c r="R32" s="1506" t="s">
        <v>8</v>
      </c>
      <c r="S32" s="1507">
        <f t="shared" si="10"/>
        <v>100</v>
      </c>
      <c r="T32" s="1506" t="s">
        <v>8</v>
      </c>
      <c r="U32" s="1507">
        <f t="shared" si="11"/>
        <v>100</v>
      </c>
      <c r="V32" s="1506" t="s">
        <v>8</v>
      </c>
      <c r="W32" s="1507">
        <f t="shared" si="12"/>
        <v>100</v>
      </c>
      <c r="X32" s="1500"/>
      <c r="Y32" s="3616"/>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3616"/>
      <c r="Q33" s="1505">
        <f t="shared" si="8"/>
        <v>111</v>
      </c>
      <c r="R33" s="1506" t="s">
        <v>8</v>
      </c>
      <c r="S33" s="1507">
        <f t="shared" si="10"/>
        <v>100</v>
      </c>
      <c r="T33" s="1506" t="s">
        <v>8</v>
      </c>
      <c r="U33" s="1507">
        <f t="shared" si="11"/>
        <v>100</v>
      </c>
      <c r="V33" s="1506" t="s">
        <v>8</v>
      </c>
      <c r="W33" s="1507">
        <f t="shared" si="12"/>
        <v>100</v>
      </c>
      <c r="X33" s="1500"/>
      <c r="Y33" s="3616"/>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3617" t="s">
        <v>542</v>
      </c>
      <c r="Q34" s="1505">
        <f t="shared" si="8"/>
        <v>111</v>
      </c>
      <c r="R34" s="1506" t="s">
        <v>8</v>
      </c>
      <c r="S34" s="1507">
        <f t="shared" si="10"/>
        <v>100</v>
      </c>
      <c r="T34" s="1506" t="s">
        <v>8</v>
      </c>
      <c r="U34" s="1507">
        <f t="shared" si="11"/>
        <v>100</v>
      </c>
      <c r="V34" s="1506" t="s">
        <v>8</v>
      </c>
      <c r="W34" s="1507">
        <f t="shared" si="12"/>
        <v>100</v>
      </c>
      <c r="X34" s="1500"/>
      <c r="Y34" s="3618"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3618"/>
      <c r="Q35" s="1505">
        <f t="shared" si="8"/>
        <v>111</v>
      </c>
      <c r="R35" s="1510" t="s">
        <v>8</v>
      </c>
      <c r="S35" s="1511">
        <f t="shared" si="10"/>
        <v>100</v>
      </c>
      <c r="T35" s="1510" t="s">
        <v>8</v>
      </c>
      <c r="U35" s="1511">
        <f t="shared" si="11"/>
        <v>100</v>
      </c>
      <c r="V35" s="1510" t="s">
        <v>8</v>
      </c>
      <c r="W35" s="1511">
        <f t="shared" si="12"/>
        <v>100</v>
      </c>
      <c r="X35" s="1512"/>
      <c r="Y35" s="3618"/>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3618"/>
      <c r="Q36" s="1505" t="str">
        <f>B36</f>
        <v>宗地面积</v>
      </c>
      <c r="R36" s="1506" t="s">
        <v>8</v>
      </c>
      <c r="S36" s="1507" t="e">
        <f t="shared" si="10"/>
        <v>#N/A</v>
      </c>
      <c r="T36" s="1506" t="s">
        <v>8</v>
      </c>
      <c r="U36" s="1507" t="e">
        <f t="shared" si="11"/>
        <v>#N/A</v>
      </c>
      <c r="V36" s="1506" t="s">
        <v>8</v>
      </c>
      <c r="W36" s="1507" t="e">
        <f t="shared" si="12"/>
        <v>#N/A</v>
      </c>
      <c r="X36" s="1500"/>
      <c r="Y36" s="3618"/>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3618"/>
      <c r="Q37" s="1505" t="str">
        <f t="shared" ref="Q37:Q42" si="14">B37</f>
        <v>宗地形状</v>
      </c>
      <c r="R37" s="1506" t="s">
        <v>8</v>
      </c>
      <c r="S37" s="1507">
        <f t="shared" si="10"/>
        <v>100</v>
      </c>
      <c r="T37" s="1506" t="s">
        <v>8</v>
      </c>
      <c r="U37" s="1507">
        <f t="shared" si="11"/>
        <v>100</v>
      </c>
      <c r="V37" s="1506" t="s">
        <v>8</v>
      </c>
      <c r="W37" s="1507">
        <f t="shared" si="12"/>
        <v>100</v>
      </c>
      <c r="X37" s="1500"/>
      <c r="Y37" s="3618"/>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3618"/>
      <c r="Q38" s="1505" t="str">
        <f t="shared" si="14"/>
        <v>宗地开发程度</v>
      </c>
      <c r="R38" s="1501" t="s">
        <v>8</v>
      </c>
      <c r="S38" s="1502">
        <f t="shared" si="10"/>
        <v>100</v>
      </c>
      <c r="T38" s="1501" t="s">
        <v>8</v>
      </c>
      <c r="U38" s="1502">
        <f t="shared" si="11"/>
        <v>100</v>
      </c>
      <c r="V38" s="1501" t="s">
        <v>8</v>
      </c>
      <c r="W38" s="1502">
        <f t="shared" si="12"/>
        <v>100</v>
      </c>
      <c r="X38" s="1503"/>
      <c r="Y38" s="3618"/>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618" t="s">
        <v>593</v>
      </c>
      <c r="Q39" s="1505" t="str">
        <f t="shared" si="14"/>
        <v>工程地质条件</v>
      </c>
      <c r="R39" s="1506" t="s">
        <v>8</v>
      </c>
      <c r="S39" s="1507">
        <f t="shared" si="10"/>
        <v>100</v>
      </c>
      <c r="T39" s="1506" t="s">
        <v>8</v>
      </c>
      <c r="U39" s="1507">
        <f t="shared" si="11"/>
        <v>100</v>
      </c>
      <c r="V39" s="1506" t="s">
        <v>8</v>
      </c>
      <c r="W39" s="1507">
        <f t="shared" si="12"/>
        <v>100</v>
      </c>
      <c r="X39" s="1500"/>
      <c r="Y39" s="3618"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3618"/>
      <c r="Q40" s="1505">
        <f t="shared" si="14"/>
        <v>111</v>
      </c>
      <c r="R40" s="1506" t="s">
        <v>8</v>
      </c>
      <c r="S40" s="1507">
        <f t="shared" si="10"/>
        <v>100</v>
      </c>
      <c r="T40" s="1506" t="s">
        <v>8</v>
      </c>
      <c r="U40" s="1507">
        <f t="shared" si="11"/>
        <v>100</v>
      </c>
      <c r="V40" s="1506" t="s">
        <v>8</v>
      </c>
      <c r="W40" s="1507">
        <f t="shared" si="12"/>
        <v>100</v>
      </c>
      <c r="X40" s="1500"/>
      <c r="Y40" s="3618"/>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3618"/>
      <c r="Q41" s="1505">
        <f t="shared" si="14"/>
        <v>111</v>
      </c>
      <c r="R41" s="1506" t="s">
        <v>8</v>
      </c>
      <c r="S41" s="1507">
        <f t="shared" si="10"/>
        <v>100</v>
      </c>
      <c r="T41" s="1506" t="s">
        <v>8</v>
      </c>
      <c r="U41" s="1507">
        <f t="shared" si="11"/>
        <v>100</v>
      </c>
      <c r="V41" s="1506" t="s">
        <v>8</v>
      </c>
      <c r="W41" s="1507">
        <f t="shared" si="12"/>
        <v>100</v>
      </c>
      <c r="X41" s="1500"/>
      <c r="Y41" s="3618"/>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3618"/>
      <c r="Q42" s="1505">
        <f t="shared" si="14"/>
        <v>111</v>
      </c>
      <c r="R42" s="1510" t="s">
        <v>8</v>
      </c>
      <c r="S42" s="1511">
        <f t="shared" si="10"/>
        <v>100</v>
      </c>
      <c r="T42" s="1510" t="s">
        <v>8</v>
      </c>
      <c r="U42" s="1511">
        <f t="shared" si="11"/>
        <v>100</v>
      </c>
      <c r="V42" s="1510" t="s">
        <v>8</v>
      </c>
      <c r="W42" s="1511">
        <f t="shared" si="12"/>
        <v>100</v>
      </c>
      <c r="X42" s="1512"/>
      <c r="Y42" s="3618"/>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581" t="str">
        <f>A43</f>
        <v>成交单价</v>
      </c>
      <c r="Q43" s="3581"/>
      <c r="R43" s="3582">
        <f>E43</f>
        <v>0</v>
      </c>
      <c r="S43" s="3582"/>
      <c r="T43" s="3582">
        <f>G43</f>
        <v>0</v>
      </c>
      <c r="U43" s="3582"/>
      <c r="V43" s="3582">
        <f>I43</f>
        <v>0</v>
      </c>
      <c r="W43" s="3582"/>
      <c r="X43" s="1495"/>
      <c r="Y43" s="1514"/>
      <c r="Z43" s="1495"/>
      <c r="AA43" s="1495"/>
      <c r="AB43" s="1495"/>
      <c r="AC43" s="1495"/>
    </row>
    <row r="44" spans="1:29" ht="15.75" thickBot="1">
      <c r="A44" s="607" t="s">
        <v>2671</v>
      </c>
      <c r="B44" s="608"/>
      <c r="C44" s="609" t="e">
        <f>R45</f>
        <v>#DIV/0!</v>
      </c>
      <c r="D44" s="3012" t="s">
        <v>2963</v>
      </c>
      <c r="E44" s="609" t="e">
        <f>R44</f>
        <v>#DIV/0!</v>
      </c>
      <c r="F44" s="3013"/>
      <c r="G44" s="610" t="e">
        <f>T44</f>
        <v>#DIV/0!</v>
      </c>
      <c r="H44" s="3013"/>
      <c r="I44" s="609" t="e">
        <f>V44</f>
        <v>#DIV/0!</v>
      </c>
      <c r="J44" s="3013"/>
      <c r="K44" s="3014">
        <f>F44+H44+J44</f>
        <v>0</v>
      </c>
      <c r="L44" s="2024"/>
      <c r="M44" s="2014"/>
      <c r="N44" s="2014"/>
      <c r="O44" s="2025"/>
      <c r="P44" s="3581" t="str">
        <f>A44</f>
        <v>比较价格（元/平方米）</v>
      </c>
      <c r="Q44" s="3581"/>
      <c r="R44" s="3583" t="e">
        <f>ROUND(PRODUCT(R43,AA9:AA42),0)</f>
        <v>#DIV/0!</v>
      </c>
      <c r="S44" s="3583"/>
      <c r="T44" s="3583" t="e">
        <f>ROUND(PRODUCT(T43,AB9:AB42),0)</f>
        <v>#DIV/0!</v>
      </c>
      <c r="U44" s="3583"/>
      <c r="V44" s="3583" t="e">
        <f>ROUND(PRODUCT(V43,AC9:AC42),0)</f>
        <v>#DIV/0!</v>
      </c>
      <c r="W44" s="3583"/>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578" t="str">
        <f>A45</f>
        <v>估价对象XX用房的比较价格（楼面单价，元/平方米）</v>
      </c>
      <c r="Q45" s="3579"/>
      <c r="R45" s="3630" t="e">
        <f>ROUND(IF(D44="简单平均",AVERAGE(R44:W44),R44*F44+T44*H44+V44*J44),0)</f>
        <v>#DIV/0!</v>
      </c>
      <c r="S45" s="3630"/>
      <c r="T45" s="3630"/>
      <c r="U45" s="3630"/>
      <c r="V45" s="3630"/>
      <c r="W45" s="3630"/>
      <c r="X45" s="1495"/>
      <c r="Y45" s="1495"/>
      <c r="Z45" s="1495"/>
      <c r="AA45" s="1495"/>
      <c r="AB45" s="1495"/>
      <c r="AC45" s="1495"/>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3625" t="s">
        <v>2269</v>
      </c>
      <c r="H52" s="3626"/>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30803.628000000001</v>
      </c>
      <c r="F53" s="1862" t="e">
        <f t="shared" ref="F53:F62" si="15">ROUND(B53*E53/10000,0)</f>
        <v>#DIV/0!</v>
      </c>
      <c r="G53" s="3627"/>
      <c r="H53" s="3628"/>
      <c r="I53" s="1865">
        <v>1</v>
      </c>
      <c r="J53" s="1493">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3629" t="s">
        <v>2270</v>
      </c>
      <c r="H54" s="1866" t="str">
        <f>项目基本情况!B43</f>
        <v>六级</v>
      </c>
      <c r="I54" s="1865">
        <f>SUMIF(修正!$A$45:$A$56,H54,修正!B45:B56)</f>
        <v>0.7</v>
      </c>
      <c r="J54" s="1494"/>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3629"/>
      <c r="H55" s="1867" t="str">
        <f>项目基本情况!B43</f>
        <v>六级</v>
      </c>
      <c r="I55" s="1865">
        <f>SUMIF(修正!$A$45:$A$56,H55,修正!C45:C56)</f>
        <v>0.4</v>
      </c>
      <c r="J55" s="1494"/>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3629"/>
      <c r="H56" s="1867" t="str">
        <f>项目基本情况!B43</f>
        <v>六级</v>
      </c>
      <c r="I56" s="1865">
        <f>SUMIF(修正!$A$45:$A$56,H56,修正!D45:D56)</f>
        <v>0.28000000000000003</v>
      </c>
      <c r="J56" s="1494"/>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3629"/>
      <c r="H57" s="1867" t="str">
        <f>项目基本情况!B43</f>
        <v>六级</v>
      </c>
      <c r="I57" s="1865">
        <f>SUMIF(修正!$A$45:$A$56,H57,修正!E45:E56)</f>
        <v>0.25</v>
      </c>
      <c r="J57" s="1494"/>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5500.65</v>
      </c>
      <c r="F63" s="634"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2021-8-1</v>
      </c>
      <c r="D65" s="2514">
        <f>EDATE(C65,-3)</f>
        <v>44317</v>
      </c>
      <c r="E65" s="2514">
        <f t="shared" ref="E65:N65" si="18">EDATE(D65,-3)</f>
        <v>44228</v>
      </c>
      <c r="F65" s="2514">
        <f t="shared" si="18"/>
        <v>44136</v>
      </c>
      <c r="G65" s="2514">
        <f t="shared" si="18"/>
        <v>44044</v>
      </c>
      <c r="H65" s="2514">
        <f t="shared" si="18"/>
        <v>43952</v>
      </c>
      <c r="I65" s="2514">
        <f t="shared" si="18"/>
        <v>43862</v>
      </c>
      <c r="J65" s="2514">
        <f t="shared" si="18"/>
        <v>43770</v>
      </c>
      <c r="K65" s="2514">
        <f t="shared" si="18"/>
        <v>43678</v>
      </c>
      <c r="L65" s="2514">
        <f t="shared" si="18"/>
        <v>43586</v>
      </c>
      <c r="M65" s="2514">
        <f t="shared" si="18"/>
        <v>43497</v>
      </c>
      <c r="N65" s="2514">
        <f t="shared" si="18"/>
        <v>43405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2021-3</v>
      </c>
      <c r="D67" s="2516" t="str">
        <f t="shared" ref="D67:N67" si="19">YEAR(D65)&amp;"-"&amp;ROUNDUP(MONTH(D65)/3,0)</f>
        <v>2021-2</v>
      </c>
      <c r="E67" s="2516" t="str">
        <f t="shared" si="19"/>
        <v>2021-1</v>
      </c>
      <c r="F67" s="2516" t="str">
        <f t="shared" si="19"/>
        <v>2020-4</v>
      </c>
      <c r="G67" s="2516" t="str">
        <f t="shared" si="19"/>
        <v>2020-3</v>
      </c>
      <c r="H67" s="2516" t="str">
        <f t="shared" si="19"/>
        <v>2020-2</v>
      </c>
      <c r="I67" s="2516" t="str">
        <f t="shared" si="19"/>
        <v>2020-1</v>
      </c>
      <c r="J67" s="2516" t="str">
        <f t="shared" si="19"/>
        <v>2019-4</v>
      </c>
      <c r="K67" s="2516" t="str">
        <f t="shared" si="19"/>
        <v>2019-3</v>
      </c>
      <c r="L67" s="2516" t="str">
        <f t="shared" si="19"/>
        <v>2019-2</v>
      </c>
      <c r="M67" s="2516" t="str">
        <f t="shared" si="19"/>
        <v>2019-1</v>
      </c>
      <c r="N67" s="2516" t="str">
        <f t="shared" si="19"/>
        <v>2018-4</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北京市平均增长率0.00%</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24"/>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24"/>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25"/>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26"/>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25"/>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26"/>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25"/>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27"/>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27"/>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25"/>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6"/>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25"/>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6"/>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24"/>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6"/>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24"/>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27"/>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25"/>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25"/>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25"/>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25"/>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26"/>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25"/>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26"/>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25"/>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26"/>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25"/>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25"/>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25"/>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26"/>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25"/>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6" priority="18" stopIfTrue="1" operator="containsText" text="超过">
      <formula>NOT(ISERROR(SEARCH("超过",F48)))</formula>
    </cfRule>
  </conditionalFormatting>
  <conditionalFormatting sqref="J50">
    <cfRule type="containsText" dxfId="165" priority="17" stopIfTrue="1" operator="containsText" text="超过">
      <formula>NOT(ISERROR(SEARCH("超过",J50)))</formula>
    </cfRule>
  </conditionalFormatting>
  <conditionalFormatting sqref="H50">
    <cfRule type="containsText" dxfId="164" priority="16" stopIfTrue="1" operator="containsText" text="超过">
      <formula>NOT(ISERROR(SEARCH("超过",H50)))</formula>
    </cfRule>
  </conditionalFormatting>
  <conditionalFormatting sqref="F50">
    <cfRule type="containsText" dxfId="163" priority="15" stopIfTrue="1" operator="containsText" text="超过">
      <formula>NOT(ISERROR(SEARCH("超过",F50)))</formula>
    </cfRule>
  </conditionalFormatting>
  <conditionalFormatting sqref="F49 H49 J49">
    <cfRule type="containsText" dxfId="162" priority="14" stopIfTrue="1" operator="containsText" text="超过">
      <formula>NOT(ISERROR(SEARCH("超过",F49)))</formula>
    </cfRule>
  </conditionalFormatting>
  <conditionalFormatting sqref="E48">
    <cfRule type="expression" dxfId="161" priority="13" stopIfTrue="1">
      <formula>$F$48="超过30%"</formula>
    </cfRule>
  </conditionalFormatting>
  <conditionalFormatting sqref="G50">
    <cfRule type="expression" dxfId="160" priority="12" stopIfTrue="1">
      <formula>$H$50="超过30%"</formula>
    </cfRule>
  </conditionalFormatting>
  <conditionalFormatting sqref="E50">
    <cfRule type="expression" dxfId="159" priority="10" stopIfTrue="1">
      <formula>$F$50="超过30%"</formula>
    </cfRule>
  </conditionalFormatting>
  <conditionalFormatting sqref="G48">
    <cfRule type="expression" dxfId="158" priority="9" stopIfTrue="1">
      <formula>$H$48="超过30%"</formula>
    </cfRule>
  </conditionalFormatting>
  <conditionalFormatting sqref="G49">
    <cfRule type="expression" dxfId="157" priority="8" stopIfTrue="1">
      <formula>$H$49="超过20%"</formula>
    </cfRule>
  </conditionalFormatting>
  <conditionalFormatting sqref="I48">
    <cfRule type="expression" dxfId="156" priority="7" stopIfTrue="1">
      <formula>$J$48="超过30%"</formula>
    </cfRule>
  </conditionalFormatting>
  <conditionalFormatting sqref="I49">
    <cfRule type="expression" dxfId="155" priority="6" stopIfTrue="1">
      <formula>$J$49="超过20%"</formula>
    </cfRule>
  </conditionalFormatting>
  <conditionalFormatting sqref="I50">
    <cfRule type="expression" dxfId="154" priority="5" stopIfTrue="1">
      <formula>$J$50="超过30%"</formula>
    </cfRule>
  </conditionalFormatting>
  <conditionalFormatting sqref="E49">
    <cfRule type="expression" dxfId="153" priority="51" stopIfTrue="1">
      <formula>#REF!+$F$49="超过20%"</formula>
    </cfRule>
  </conditionalFormatting>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F9:F42 H9:H42 J9:J42">
    <cfRule type="cellIs" dxfId="14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3061</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0</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0</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9350</v>
      </c>
      <c r="D5" s="2791">
        <f>ROUND(C6+C16,0)</f>
        <v>9350</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0</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9350</v>
      </c>
      <c r="D6" s="1370" t="s">
        <v>1683</v>
      </c>
      <c r="E6" s="1371"/>
      <c r="F6" s="1371"/>
      <c r="G6" s="1372"/>
      <c r="H6" s="1372"/>
      <c r="I6" s="1372"/>
      <c r="J6" s="1373"/>
      <c r="K6" s="3231"/>
      <c r="L6" s="1797" t="s">
        <v>2229</v>
      </c>
      <c r="M6" s="1798">
        <f>SUMPRODUCT((区片价!B110:B157=I2)*(区片价!C3:F3=E2)*(区片价!C110:F157))</f>
        <v>9350</v>
      </c>
      <c r="N6" s="1799">
        <f>SUMPRODUCT((因素修正幅度!B110:B157=I2)*(因素修正幅度!C3:F3=E2)*(因素修正幅度!C110:F157))</f>
        <v>0.11</v>
      </c>
      <c r="O6" s="3231"/>
      <c r="P6" s="3234"/>
      <c r="Q6" s="2068"/>
      <c r="R6" s="2652">
        <v>5</v>
      </c>
      <c r="S6" s="2652">
        <f>ROUND(IF(G3&gt;1,IF(R6&lt;7,SUMPRODUCT((B93:B98=R6)*(C92:N92=G2)*(C93:N98)),SUMIF(C92:N92,G2,C100:N100)),IF(R6&lt;7,SUMPRODUCT((B102:B107=R6)*(C92:N92=G2)*(C102:N107)),SUMIF(C92:N92,G2,C109:N109))),4)</f>
        <v>0.73709999999999998</v>
      </c>
      <c r="T6" s="2652">
        <f t="shared" ca="1" si="0"/>
        <v>0</v>
      </c>
      <c r="U6" s="2641"/>
      <c r="V6" s="2652">
        <f t="shared" ca="1" si="1"/>
        <v>0</v>
      </c>
      <c r="W6" s="2068"/>
      <c r="X6" s="2068"/>
      <c r="Y6" s="2068"/>
      <c r="Z6" s="2068"/>
      <c r="AA6" s="2068"/>
      <c r="AB6" s="2068"/>
      <c r="AC6" s="2070"/>
      <c r="AD6" s="1366"/>
      <c r="AE6" s="1366"/>
      <c r="AF6" s="1366"/>
      <c r="AG6" s="1366"/>
      <c r="AH6" s="1366"/>
      <c r="AI6" s="1366"/>
      <c r="AJ6" s="1367"/>
    </row>
    <row r="7" spans="1:39" ht="24">
      <c r="A7" s="3645"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0</v>
      </c>
      <c r="U7" s="2641"/>
      <c r="V7" s="2652">
        <f t="shared" ca="1" si="1"/>
        <v>0</v>
      </c>
      <c r="W7" s="2650" t="s">
        <v>2742</v>
      </c>
      <c r="X7" s="2642" t="str">
        <f>G2</f>
        <v>六级</v>
      </c>
      <c r="Y7" s="2642" t="s">
        <v>2743</v>
      </c>
      <c r="Z7" s="2643">
        <f>G3</f>
        <v>2.8</v>
      </c>
      <c r="AA7" s="2071"/>
      <c r="AB7" s="2071"/>
      <c r="AC7" s="2072"/>
      <c r="AD7" s="2644"/>
      <c r="AE7" s="2644"/>
      <c r="AF7" s="2644"/>
      <c r="AG7" s="2644"/>
      <c r="AH7" s="2644"/>
      <c r="AI7" s="2644"/>
      <c r="AJ7" s="2645"/>
    </row>
    <row r="8" spans="1:39" ht="15">
      <c r="A8" s="3646"/>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32" t="s">
        <v>2760</v>
      </c>
      <c r="X8" s="363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46"/>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3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46"/>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3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46"/>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3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45"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3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4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3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47"/>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4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45" t="s">
        <v>1826</v>
      </c>
      <c r="B16" s="1374" t="s">
        <v>939</v>
      </c>
      <c r="C16" s="1037">
        <f>ROUND(IF(F17="与级别开发程度一致",0,(G17-E17)/C17),0)</f>
        <v>0</v>
      </c>
      <c r="D16" s="3639" t="s">
        <v>943</v>
      </c>
      <c r="E16" s="3640"/>
      <c r="F16" s="3639" t="s">
        <v>940</v>
      </c>
      <c r="G16" s="3640"/>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4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3063</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ROUND(IF(H19="按公示增长率计算",SUMPRODUCT((地价!A3:A34=YEAR(G19)&amp;"-"&amp;ROUNDUP(MONTH(G19)/3,0))*(地价!X2:AB2=E2)*(地价!X3:AB34)),IF(H19="地价指数",M20/M19,(1+I19)^O19)),4)</f>
        <v>0</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423</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0.97060000000000002</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0.97060000000000002</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0</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0</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41"/>
      <c r="B33" s="1462" t="s">
        <v>988</v>
      </c>
      <c r="C33" s="1044">
        <f ca="1">ROUND(D5*C19*C20*C24*F33,0)</f>
        <v>0</v>
      </c>
      <c r="D33" s="1475"/>
      <c r="E33" s="1033">
        <f ca="1">ROUND(C33*D33/10000,0)</f>
        <v>0</v>
      </c>
      <c r="F33" s="1033">
        <f>SUMIF(修正!A45:A56,G2,修正!B45:B56)</f>
        <v>0.7</v>
      </c>
      <c r="G33" s="1033">
        <f t="shared" ref="G33" ca="1" si="6">ROUND(IF(E2="工业",C33*$M$39,C33*$M$38),0)</f>
        <v>0</v>
      </c>
      <c r="H33" s="1033">
        <f>D33</f>
        <v>0</v>
      </c>
      <c r="I33" s="1033">
        <f ca="1">ROUND(G33*H33/10000,0)</f>
        <v>0</v>
      </c>
      <c r="J33" s="364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42"/>
      <c r="B34" s="1392" t="s">
        <v>989</v>
      </c>
      <c r="C34" s="1044">
        <f ca="1">ROUND(D5*C19*C20*C24*F34,0)</f>
        <v>0</v>
      </c>
      <c r="D34" s="1475"/>
      <c r="E34" s="1033">
        <f t="shared" ref="E34:E39" ca="1" si="7">ROUND(C34*D34/10000,0)</f>
        <v>0</v>
      </c>
      <c r="F34" s="1033">
        <f>SUMIF(修正!A45:A56,G2,修正!C45:C56)</f>
        <v>0.4</v>
      </c>
      <c r="G34" s="1033">
        <f ca="1">ROUND(IF(E2="工业",C34*$M$39,C34*$M$38),0)</f>
        <v>0</v>
      </c>
      <c r="H34" s="1033">
        <f t="shared" ref="H34:H39" si="8">D34</f>
        <v>0</v>
      </c>
      <c r="I34" s="1033">
        <f t="shared" ref="I34:I39" ca="1" si="9">ROUND(G34*H34/10000,0)</f>
        <v>0</v>
      </c>
      <c r="J34" s="364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42"/>
      <c r="B35" s="1392" t="s">
        <v>990</v>
      </c>
      <c r="C35" s="1044">
        <f ca="1">ROUND(D5*C19*C20*C24*F35,0)</f>
        <v>0</v>
      </c>
      <c r="D35" s="1475"/>
      <c r="E35" s="1033">
        <f t="shared" ca="1" si="7"/>
        <v>0</v>
      </c>
      <c r="F35" s="1033">
        <f>SUMIF(修正!A45:A56,G2,修正!D45:D56)</f>
        <v>0.28000000000000003</v>
      </c>
      <c r="G35" s="1033">
        <f ca="1">ROUND(IF(E2="工业",C35*$M$39,C35*$M$38),0)</f>
        <v>0</v>
      </c>
      <c r="H35" s="1033">
        <f t="shared" si="8"/>
        <v>0</v>
      </c>
      <c r="I35" s="1033">
        <f t="shared" ca="1" si="9"/>
        <v>0</v>
      </c>
      <c r="J35" s="364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3"/>
      <c r="B36" s="1392" t="s">
        <v>991</v>
      </c>
      <c r="C36" s="1044">
        <f ca="1">ROUND(D5*C19*C20*C24*F36,0)</f>
        <v>0</v>
      </c>
      <c r="D36" s="1475"/>
      <c r="E36" s="1033">
        <f t="shared" ca="1" si="7"/>
        <v>0</v>
      </c>
      <c r="F36" s="1033">
        <f>SUMIF(修正!A45:A56,G2,修正!E45:E56)</f>
        <v>0.25</v>
      </c>
      <c r="G36" s="1033">
        <f ca="1">ROUND(IF(E2="工业",C36*$M$39,C36*$M$38),0)</f>
        <v>0</v>
      </c>
      <c r="H36" s="1033">
        <f t="shared" si="8"/>
        <v>0</v>
      </c>
      <c r="I36" s="1033">
        <f t="shared" ca="1" si="9"/>
        <v>0</v>
      </c>
      <c r="J36" s="364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0</v>
      </c>
      <c r="D37" s="1475"/>
      <c r="E37" s="1033">
        <f t="shared" ca="1" si="7"/>
        <v>0</v>
      </c>
      <c r="F37" s="1044">
        <f>SUMIF(修正!A45:A56,G2,修正!F45:F56)</f>
        <v>0.25</v>
      </c>
      <c r="G37" s="1033">
        <f ca="1">ROUND(IF(E2="工业",C37*$M$39,C37*$M$38),0)</f>
        <v>0</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0.11</v>
      </c>
      <c r="G69" s="2271">
        <f>H69</f>
        <v>7.7000000000000002E-3</v>
      </c>
      <c r="H69" s="2314">
        <f t="shared" ref="H69:H77" si="21">IFERROR(ROUNDDOWN($F$69*I69/2,4),"——")</f>
        <v>7.7000000000000002E-3</v>
      </c>
      <c r="I69" s="2288">
        <v>0.14000000000000001</v>
      </c>
      <c r="J69" s="2291">
        <f t="shared" ref="J69:J77" si="22">K69+$G69</f>
        <v>1.54E-2</v>
      </c>
      <c r="K69" s="2291">
        <f t="shared" ref="K69:K77" si="23">$L69+$G69</f>
        <v>7.7000000000000002E-3</v>
      </c>
      <c r="L69" s="2291">
        <v>0</v>
      </c>
      <c r="M69" s="2291">
        <f t="shared" ref="M69:N77" si="24">L69-$G69</f>
        <v>-7.7000000000000002E-3</v>
      </c>
      <c r="N69" s="2291">
        <f t="shared" si="24"/>
        <v>-1.54E-2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1.6500000000000001E-2</v>
      </c>
      <c r="H70" s="2314">
        <f t="shared" si="21"/>
        <v>1.6500000000000001E-2</v>
      </c>
      <c r="I70" s="2288">
        <v>0.3</v>
      </c>
      <c r="J70" s="2291">
        <f t="shared" si="22"/>
        <v>3.3000000000000002E-2</v>
      </c>
      <c r="K70" s="2291">
        <f t="shared" si="23"/>
        <v>1.6500000000000001E-2</v>
      </c>
      <c r="L70" s="2291">
        <v>0</v>
      </c>
      <c r="M70" s="2291">
        <f t="shared" si="24"/>
        <v>-1.6500000000000001E-2</v>
      </c>
      <c r="N70" s="2291">
        <f t="shared" si="24"/>
        <v>-3.3000000000000002E-2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4.4000000000000003E-3</v>
      </c>
      <c r="H71" s="2314">
        <f t="shared" si="21"/>
        <v>4.4000000000000003E-3</v>
      </c>
      <c r="I71" s="2288">
        <v>0.08</v>
      </c>
      <c r="J71" s="2291">
        <f t="shared" si="22"/>
        <v>8.8000000000000005E-3</v>
      </c>
      <c r="K71" s="2291">
        <f t="shared" si="23"/>
        <v>4.4000000000000003E-3</v>
      </c>
      <c r="L71" s="2291">
        <v>0</v>
      </c>
      <c r="M71" s="2291">
        <f t="shared" si="24"/>
        <v>-4.4000000000000003E-3</v>
      </c>
      <c r="N71" s="2291">
        <f t="shared" si="24"/>
        <v>-8.8000000000000005E-3</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2.2000000000000001E-3</v>
      </c>
      <c r="H72" s="2314">
        <f t="shared" si="21"/>
        <v>2.2000000000000001E-3</v>
      </c>
      <c r="I72" s="2288">
        <v>0.04</v>
      </c>
      <c r="J72" s="2291">
        <f t="shared" si="22"/>
        <v>4.4000000000000003E-3</v>
      </c>
      <c r="K72" s="2291">
        <f t="shared" si="23"/>
        <v>2.2000000000000001E-3</v>
      </c>
      <c r="L72" s="2291">
        <v>0</v>
      </c>
      <c r="M72" s="2291">
        <f t="shared" si="24"/>
        <v>-2.2000000000000001E-3</v>
      </c>
      <c r="N72" s="2291">
        <f t="shared" si="24"/>
        <v>-4.4000000000000003E-3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4.4000000000000003E-3</v>
      </c>
      <c r="H73" s="2314">
        <f t="shared" si="21"/>
        <v>4.4000000000000003E-3</v>
      </c>
      <c r="I73" s="2288">
        <v>0.08</v>
      </c>
      <c r="J73" s="2291">
        <f t="shared" si="22"/>
        <v>8.8000000000000005E-3</v>
      </c>
      <c r="K73" s="2291">
        <f t="shared" si="23"/>
        <v>4.4000000000000003E-3</v>
      </c>
      <c r="L73" s="2291">
        <v>0</v>
      </c>
      <c r="M73" s="2291">
        <f t="shared" si="24"/>
        <v>-4.4000000000000003E-3</v>
      </c>
      <c r="N73" s="2291">
        <f t="shared" si="24"/>
        <v>-8.8000000000000005E-3</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6.6E-3</v>
      </c>
      <c r="H74" s="2314">
        <f t="shared" si="21"/>
        <v>6.6E-3</v>
      </c>
      <c r="I74" s="2288">
        <v>0.12</v>
      </c>
      <c r="J74" s="2291">
        <f t="shared" si="22"/>
        <v>1.32E-2</v>
      </c>
      <c r="K74" s="2291">
        <f t="shared" si="23"/>
        <v>6.6E-3</v>
      </c>
      <c r="L74" s="2291">
        <v>0</v>
      </c>
      <c r="M74" s="2291">
        <f t="shared" si="24"/>
        <v>-6.6E-3</v>
      </c>
      <c r="N74" s="2291">
        <f t="shared" si="24"/>
        <v>-1.32E-2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2.7000000000000001E-3</v>
      </c>
      <c r="H75" s="2314">
        <f t="shared" si="21"/>
        <v>2.7000000000000001E-3</v>
      </c>
      <c r="I75" s="2288">
        <v>0.05</v>
      </c>
      <c r="J75" s="2291">
        <f t="shared" si="22"/>
        <v>5.4000000000000003E-3</v>
      </c>
      <c r="K75" s="2291">
        <f t="shared" si="23"/>
        <v>2.7000000000000001E-3</v>
      </c>
      <c r="L75" s="2291">
        <v>0</v>
      </c>
      <c r="M75" s="2291">
        <f t="shared" si="24"/>
        <v>-2.7000000000000001E-3</v>
      </c>
      <c r="N75" s="2291">
        <f t="shared" si="24"/>
        <v>-5.4000000000000003E-3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8.2000000000000007E-3</v>
      </c>
      <c r="H76" s="2314">
        <f t="shared" si="21"/>
        <v>8.2000000000000007E-3</v>
      </c>
      <c r="I76" s="2288">
        <v>0.15</v>
      </c>
      <c r="J76" s="2291">
        <f t="shared" si="22"/>
        <v>1.6400000000000001E-2</v>
      </c>
      <c r="K76" s="2291">
        <f t="shared" si="23"/>
        <v>8.2000000000000007E-3</v>
      </c>
      <c r="L76" s="2291">
        <v>0</v>
      </c>
      <c r="M76" s="2291">
        <f t="shared" si="24"/>
        <v>-8.2000000000000007E-3</v>
      </c>
      <c r="N76" s="2291">
        <f t="shared" si="24"/>
        <v>-1.6400000000000001E-2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2.2000000000000001E-3</v>
      </c>
      <c r="H77" s="2314">
        <f t="shared" si="21"/>
        <v>2.2000000000000001E-3</v>
      </c>
      <c r="I77" s="2295">
        <v>0.04</v>
      </c>
      <c r="J77" s="2291">
        <f t="shared" si="22"/>
        <v>4.4000000000000003E-3</v>
      </c>
      <c r="K77" s="2291">
        <f t="shared" si="23"/>
        <v>2.2000000000000001E-3</v>
      </c>
      <c r="L77" s="2291">
        <v>0</v>
      </c>
      <c r="M77" s="2291">
        <f t="shared" si="24"/>
        <v>-2.2000000000000001E-3</v>
      </c>
      <c r="N77" s="2291">
        <f t="shared" si="24"/>
        <v>-4.4000000000000003E-3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50" t="s">
        <v>1622</v>
      </c>
      <c r="B90" s="3650"/>
      <c r="C90" s="3650"/>
      <c r="D90" s="3650"/>
      <c r="E90" s="3650"/>
      <c r="F90" s="3650"/>
      <c r="G90" s="3650"/>
      <c r="H90" s="3650"/>
      <c r="I90" s="3650"/>
      <c r="J90" s="3650"/>
      <c r="K90" s="2303"/>
      <c r="L90" s="2303"/>
      <c r="M90" s="2303"/>
      <c r="N90" s="2303"/>
    </row>
    <row r="91" spans="1:40">
      <c r="A91" s="3651" t="s">
        <v>1432</v>
      </c>
      <c r="B91" s="3651" t="s">
        <v>1623</v>
      </c>
      <c r="C91" s="1121" t="s">
        <v>1624</v>
      </c>
      <c r="D91" s="1122"/>
      <c r="E91" s="1122"/>
      <c r="F91" s="1122"/>
      <c r="G91" s="1122"/>
      <c r="H91" s="1122"/>
      <c r="I91" s="1122"/>
      <c r="J91" s="1123"/>
      <c r="K91" s="1115"/>
      <c r="L91" s="1115"/>
      <c r="M91" s="1115"/>
      <c r="N91" s="1115"/>
    </row>
    <row r="92" spans="1:40">
      <c r="A92" s="3651"/>
      <c r="B92" s="3651"/>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363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3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3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3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3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3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3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3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34" t="s">
        <v>1626</v>
      </c>
      <c r="B101" s="1128" t="s">
        <v>895</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3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3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3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3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3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3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35"/>
      <c r="B108" s="363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36"/>
      <c r="B109" s="363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44" t="s">
        <v>1628</v>
      </c>
      <c r="B110" s="3644"/>
      <c r="C110" s="3644"/>
      <c r="D110" s="3644"/>
      <c r="E110" s="3644"/>
      <c r="F110" s="3644"/>
      <c r="G110" s="3644"/>
      <c r="H110" s="3644"/>
      <c r="I110" s="3644"/>
      <c r="J110" s="3644"/>
      <c r="K110" s="2301"/>
      <c r="L110" s="2301"/>
      <c r="M110" s="2301"/>
      <c r="N110" s="2301"/>
    </row>
    <row r="112" spans="1:14" ht="12.75" thickBot="1"/>
    <row r="113" spans="1:13" ht="25.5" thickBot="1">
      <c r="A113" s="1001" t="s">
        <v>885</v>
      </c>
      <c r="B113" s="2304">
        <f>G3</f>
        <v>2.8</v>
      </c>
      <c r="C113" s="1002" t="s">
        <v>886</v>
      </c>
      <c r="D113" s="1003">
        <f>SUMPRODUCT((A115:A118=F113)*(B114:M114=H113)*B115:M118)</f>
        <v>0.85240000000000005</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8" priority="5" stopIfTrue="1" operator="notEqual">
      <formula>"——"</formula>
    </cfRule>
  </conditionalFormatting>
  <conditionalFormatting sqref="F58">
    <cfRule type="cellIs" dxfId="147" priority="4" stopIfTrue="1" operator="notEqual">
      <formula>"——"</formula>
    </cfRule>
  </conditionalFormatting>
  <conditionalFormatting sqref="F69">
    <cfRule type="cellIs" dxfId="146" priority="3" stopIfTrue="1" operator="notEqual">
      <formula>"——"</formula>
    </cfRule>
  </conditionalFormatting>
  <conditionalFormatting sqref="F80">
    <cfRule type="cellIs" dxfId="145" priority="2" stopIfTrue="1" operator="notEqual">
      <formula>"——"</formula>
    </cfRule>
  </conditionalFormatting>
  <conditionalFormatting sqref="H58:H66 H47:H55 H69:H77 H80:H87">
    <cfRule type="cellIs" dxfId="14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3651" t="s">
        <v>996</v>
      </c>
      <c r="B18" s="1135" t="s">
        <v>1435</v>
      </c>
      <c r="C18" s="1112" t="s">
        <v>1436</v>
      </c>
      <c r="D18" s="1113"/>
      <c r="E18" s="1135">
        <v>1</v>
      </c>
      <c r="F18" s="1114" t="s">
        <v>1437</v>
      </c>
      <c r="G18" s="1115"/>
      <c r="H18" s="1086"/>
      <c r="I18" s="1086"/>
    </row>
    <row r="19" spans="1:9" s="1528" customFormat="1" ht="19.5" customHeight="1">
      <c r="A19" s="3651"/>
      <c r="B19" s="3651" t="s">
        <v>1438</v>
      </c>
      <c r="C19" s="1112" t="s">
        <v>1439</v>
      </c>
      <c r="D19" s="1113"/>
      <c r="E19" s="1135">
        <v>0.9</v>
      </c>
      <c r="F19" s="1114" t="s">
        <v>1440</v>
      </c>
      <c r="G19" s="1115"/>
      <c r="H19" s="1086"/>
      <c r="I19" s="1086"/>
    </row>
    <row r="20" spans="1:9" s="1528" customFormat="1" ht="19.5" customHeight="1">
      <c r="A20" s="3651"/>
      <c r="B20" s="3651"/>
      <c r="C20" s="1112" t="s">
        <v>1441</v>
      </c>
      <c r="D20" s="1113"/>
      <c r="E20" s="1135">
        <v>1.1000000000000001</v>
      </c>
      <c r="F20" s="1114" t="s">
        <v>1442</v>
      </c>
      <c r="G20" s="1115"/>
      <c r="H20" s="1086"/>
      <c r="I20" s="1086"/>
    </row>
    <row r="21" spans="1:9" s="1528" customFormat="1" ht="19.5" customHeight="1">
      <c r="A21" s="3651"/>
      <c r="B21" s="3651"/>
      <c r="C21" s="1112" t="s">
        <v>1443</v>
      </c>
      <c r="D21" s="1113"/>
      <c r="E21" s="1135">
        <v>0.8</v>
      </c>
      <c r="F21" s="1114" t="s">
        <v>1444</v>
      </c>
      <c r="G21" s="1115"/>
      <c r="H21" s="1086"/>
      <c r="I21" s="1086"/>
    </row>
    <row r="22" spans="1:9" s="1528" customFormat="1" ht="19.5" customHeight="1">
      <c r="A22" s="3651"/>
      <c r="B22" s="3651"/>
      <c r="C22" s="1112" t="s">
        <v>1445</v>
      </c>
      <c r="D22" s="1113"/>
      <c r="E22" s="1135">
        <v>0.5</v>
      </c>
      <c r="F22" s="1114"/>
      <c r="G22" s="1115"/>
      <c r="H22" s="1086"/>
      <c r="I22" s="1086"/>
    </row>
    <row r="23" spans="1:9" s="1528" customFormat="1" ht="19.5" customHeight="1">
      <c r="A23" s="3651" t="s">
        <v>1018</v>
      </c>
      <c r="B23" s="1135" t="s">
        <v>1435</v>
      </c>
      <c r="C23" s="1112" t="s">
        <v>1446</v>
      </c>
      <c r="D23" s="1113"/>
      <c r="E23" s="1135">
        <v>1</v>
      </c>
      <c r="F23" s="1114" t="s">
        <v>1447</v>
      </c>
      <c r="G23" s="1115"/>
      <c r="H23" s="1086"/>
      <c r="I23" s="1086"/>
    </row>
    <row r="24" spans="1:9" s="1528" customFormat="1" ht="19.5" customHeight="1">
      <c r="A24" s="3651"/>
      <c r="B24" s="3651" t="s">
        <v>1438</v>
      </c>
      <c r="C24" s="1112" t="s">
        <v>1448</v>
      </c>
      <c r="D24" s="1113"/>
      <c r="E24" s="1135">
        <v>0.5</v>
      </c>
      <c r="F24" s="1114"/>
      <c r="G24" s="1115"/>
      <c r="H24" s="1086"/>
      <c r="I24" s="1086"/>
    </row>
    <row r="25" spans="1:9" s="1528" customFormat="1" ht="19.5" customHeight="1">
      <c r="A25" s="3651"/>
      <c r="B25" s="3651"/>
      <c r="C25" s="1112" t="s">
        <v>1449</v>
      </c>
      <c r="D25" s="1113"/>
      <c r="E25" s="1135">
        <v>1.1000000000000001</v>
      </c>
      <c r="F25" s="1114"/>
      <c r="G25" s="1115"/>
      <c r="H25" s="1086"/>
      <c r="I25" s="1086"/>
    </row>
    <row r="26" spans="1:9" s="1528" customFormat="1" ht="19.5" customHeight="1">
      <c r="A26" s="3651"/>
      <c r="B26" s="3651"/>
      <c r="C26" s="1112" t="s">
        <v>1450</v>
      </c>
      <c r="D26" s="1113"/>
      <c r="E26" s="1135">
        <v>1.1000000000000001</v>
      </c>
      <c r="F26" s="1114"/>
      <c r="G26" s="1115"/>
      <c r="H26" s="1086"/>
      <c r="I26" s="1086"/>
    </row>
    <row r="27" spans="1:9" s="1528" customFormat="1" ht="19.5" customHeight="1">
      <c r="A27" s="3651"/>
      <c r="B27" s="3651"/>
      <c r="C27" s="1112" t="s">
        <v>1451</v>
      </c>
      <c r="D27" s="1113"/>
      <c r="E27" s="1135">
        <v>0.9</v>
      </c>
      <c r="F27" s="1114" t="s">
        <v>1452</v>
      </c>
      <c r="G27" s="1115"/>
      <c r="H27" s="1086"/>
      <c r="I27" s="1086"/>
    </row>
    <row r="28" spans="1:9" s="1528" customFormat="1" ht="19.5" customHeight="1">
      <c r="A28" s="3651"/>
      <c r="B28" s="3651"/>
      <c r="C28" s="1112" t="s">
        <v>1453</v>
      </c>
      <c r="D28" s="1113"/>
      <c r="E28" s="1135">
        <v>0.9</v>
      </c>
      <c r="F28" s="1114" t="s">
        <v>1454</v>
      </c>
      <c r="G28" s="1115"/>
      <c r="H28" s="1086"/>
      <c r="I28" s="1086"/>
    </row>
    <row r="29" spans="1:9" s="1528" customFormat="1" ht="19.5" customHeight="1">
      <c r="A29" s="3651"/>
      <c r="B29" s="3651"/>
      <c r="C29" s="1112" t="s">
        <v>1455</v>
      </c>
      <c r="D29" s="1113"/>
      <c r="E29" s="1135">
        <v>0.9</v>
      </c>
      <c r="F29" s="1114" t="s">
        <v>1456</v>
      </c>
      <c r="G29" s="1115"/>
      <c r="H29" s="1086"/>
      <c r="I29" s="1086"/>
    </row>
    <row r="30" spans="1:9" s="1528" customFormat="1" ht="19.5" customHeight="1">
      <c r="A30" s="3651"/>
      <c r="B30" s="3651"/>
      <c r="C30" s="1112" t="s">
        <v>1457</v>
      </c>
      <c r="D30" s="1113"/>
      <c r="E30" s="1135">
        <v>0.9</v>
      </c>
      <c r="F30" s="1114" t="s">
        <v>1458</v>
      </c>
      <c r="G30" s="1115"/>
      <c r="H30" s="1086"/>
      <c r="I30" s="1086"/>
    </row>
    <row r="31" spans="1:9" s="1528" customFormat="1" ht="19.5" customHeight="1">
      <c r="A31" s="3651"/>
      <c r="B31" s="3651"/>
      <c r="C31" s="1112" t="s">
        <v>1459</v>
      </c>
      <c r="D31" s="1113"/>
      <c r="E31" s="1135">
        <v>0.8</v>
      </c>
      <c r="F31" s="1114" t="s">
        <v>1460</v>
      </c>
      <c r="G31" s="1115"/>
      <c r="H31" s="1086"/>
      <c r="I31" s="1086"/>
    </row>
    <row r="32" spans="1:9" s="1528" customFormat="1" ht="19.5" customHeight="1">
      <c r="A32" s="3651"/>
      <c r="B32" s="3651"/>
      <c r="C32" s="1112" t="s">
        <v>1461</v>
      </c>
      <c r="D32" s="1113"/>
      <c r="E32" s="1135">
        <v>0.8</v>
      </c>
      <c r="F32" s="1114" t="s">
        <v>1462</v>
      </c>
      <c r="G32" s="1115"/>
      <c r="H32" s="1086"/>
      <c r="I32" s="1086"/>
    </row>
    <row r="33" spans="1:9" s="1528" customFormat="1" ht="19.5" customHeight="1">
      <c r="A33" s="3651" t="s">
        <v>1463</v>
      </c>
      <c r="B33" s="1135" t="s">
        <v>1435</v>
      </c>
      <c r="C33" s="1112" t="s">
        <v>1464</v>
      </c>
      <c r="D33" s="1113"/>
      <c r="E33" s="1135">
        <v>1</v>
      </c>
      <c r="F33" s="1114" t="s">
        <v>1465</v>
      </c>
      <c r="G33" s="1115"/>
      <c r="H33" s="1086"/>
      <c r="I33" s="1086"/>
    </row>
    <row r="34" spans="1:9" s="1528" customFormat="1" ht="19.5" customHeight="1">
      <c r="A34" s="3651"/>
      <c r="B34" s="1135" t="s">
        <v>1438</v>
      </c>
      <c r="C34" s="1112" t="s">
        <v>1466</v>
      </c>
      <c r="D34" s="1113"/>
      <c r="E34" s="1135">
        <v>1.5</v>
      </c>
      <c r="F34" s="1114" t="s">
        <v>1467</v>
      </c>
      <c r="G34" s="1115"/>
      <c r="H34" s="1086"/>
      <c r="I34" s="1086"/>
    </row>
    <row r="35" spans="1:9" s="1528" customFormat="1" ht="19.5" customHeight="1">
      <c r="A35" s="3651" t="s">
        <v>1421</v>
      </c>
      <c r="B35" s="1135" t="s">
        <v>1435</v>
      </c>
      <c r="C35" s="1112" t="s">
        <v>1468</v>
      </c>
      <c r="D35" s="1113"/>
      <c r="E35" s="1135">
        <v>1</v>
      </c>
      <c r="F35" s="1114" t="s">
        <v>1469</v>
      </c>
      <c r="G35" s="1115"/>
      <c r="H35" s="1086"/>
      <c r="I35" s="1086"/>
    </row>
    <row r="36" spans="1:9" s="1528" customFormat="1" ht="19.5" customHeight="1">
      <c r="A36" s="3651"/>
      <c r="B36" s="3651" t="s">
        <v>1438</v>
      </c>
      <c r="C36" s="1112" t="s">
        <v>1470</v>
      </c>
      <c r="D36" s="1113"/>
      <c r="E36" s="1135">
        <v>1</v>
      </c>
      <c r="F36" s="1114" t="s">
        <v>1471</v>
      </c>
      <c r="G36" s="1115"/>
      <c r="H36" s="1086"/>
      <c r="I36" s="1086"/>
    </row>
    <row r="37" spans="1:9" s="1528" customFormat="1" ht="19.5" customHeight="1">
      <c r="A37" s="3651"/>
      <c r="B37" s="3651"/>
      <c r="C37" s="1112" t="s">
        <v>1472</v>
      </c>
      <c r="D37" s="1113"/>
      <c r="E37" s="1135">
        <v>1.5</v>
      </c>
      <c r="F37" s="1114" t="s">
        <v>1473</v>
      </c>
      <c r="G37" s="1115"/>
      <c r="H37" s="1086"/>
      <c r="I37" s="1086"/>
    </row>
    <row r="38" spans="1:9" s="1528" customFormat="1" ht="19.5" customHeight="1">
      <c r="A38" s="3651"/>
      <c r="B38" s="3651"/>
      <c r="C38" s="1112" t="s">
        <v>1474</v>
      </c>
      <c r="D38" s="1113"/>
      <c r="E38" s="1135">
        <v>1</v>
      </c>
      <c r="F38" s="1114" t="s">
        <v>1475</v>
      </c>
      <c r="G38" s="1115"/>
      <c r="H38" s="1086"/>
      <c r="I38" s="1086"/>
    </row>
    <row r="39" spans="1:9" s="1528" customFormat="1" ht="19.5" customHeight="1">
      <c r="A39" s="3651"/>
      <c r="B39" s="3651"/>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3651" t="s">
        <v>1490</v>
      </c>
      <c r="C61" s="1049" t="s">
        <v>1491</v>
      </c>
      <c r="D61" s="1049" t="s">
        <v>1492</v>
      </c>
      <c r="E61" s="1120">
        <v>0.5</v>
      </c>
      <c r="F61" s="1135">
        <v>80</v>
      </c>
      <c r="H61" s="1086">
        <f>SUMIF(C59:C119,基准地价住宅!C8,E59:E119)</f>
        <v>0</v>
      </c>
    </row>
    <row r="62" spans="1:8" s="1086" customFormat="1" ht="24">
      <c r="A62" s="1135">
        <v>2</v>
      </c>
      <c r="B62" s="3651"/>
      <c r="C62" s="1049" t="s">
        <v>1493</v>
      </c>
      <c r="D62" s="1049" t="s">
        <v>1494</v>
      </c>
      <c r="E62" s="1120">
        <v>0.5</v>
      </c>
      <c r="F62" s="1135">
        <v>80</v>
      </c>
    </row>
    <row r="63" spans="1:8" s="1086" customFormat="1" ht="36">
      <c r="A63" s="1135">
        <v>3</v>
      </c>
      <c r="B63" s="3651"/>
      <c r="C63" s="1049" t="s">
        <v>1495</v>
      </c>
      <c r="D63" s="1049" t="s">
        <v>1496</v>
      </c>
      <c r="E63" s="1120">
        <v>0.5</v>
      </c>
      <c r="F63" s="1135">
        <v>80</v>
      </c>
    </row>
    <row r="64" spans="1:8" s="1086" customFormat="1" ht="36">
      <c r="A64" s="1135">
        <v>4</v>
      </c>
      <c r="B64" s="3651"/>
      <c r="C64" s="1049" t="s">
        <v>1497</v>
      </c>
      <c r="D64" s="1049" t="s">
        <v>1498</v>
      </c>
      <c r="E64" s="1120">
        <v>0.4</v>
      </c>
      <c r="F64" s="1135">
        <v>60</v>
      </c>
    </row>
    <row r="65" spans="1:6" s="1086" customFormat="1" ht="36">
      <c r="A65" s="1135">
        <v>5</v>
      </c>
      <c r="B65" s="3651"/>
      <c r="C65" s="1049" t="s">
        <v>1499</v>
      </c>
      <c r="D65" s="1049" t="s">
        <v>1500</v>
      </c>
      <c r="E65" s="1120">
        <v>0.2</v>
      </c>
      <c r="F65" s="1135">
        <v>30</v>
      </c>
    </row>
    <row r="66" spans="1:6" s="1086" customFormat="1" ht="36">
      <c r="A66" s="1135">
        <v>6</v>
      </c>
      <c r="B66" s="3651"/>
      <c r="C66" s="1049" t="s">
        <v>1501</v>
      </c>
      <c r="D66" s="1049" t="s">
        <v>1502</v>
      </c>
      <c r="E66" s="1120">
        <v>0.3</v>
      </c>
      <c r="F66" s="1135">
        <v>50</v>
      </c>
    </row>
    <row r="67" spans="1:6" s="1086" customFormat="1" ht="36">
      <c r="A67" s="1135">
        <v>7</v>
      </c>
      <c r="B67" s="3651"/>
      <c r="C67" s="1049" t="s">
        <v>1503</v>
      </c>
      <c r="D67" s="1049" t="s">
        <v>1504</v>
      </c>
      <c r="E67" s="1120">
        <v>0.2</v>
      </c>
      <c r="F67" s="1135">
        <v>30</v>
      </c>
    </row>
    <row r="68" spans="1:6" s="1086" customFormat="1" ht="36">
      <c r="A68" s="1135">
        <v>8</v>
      </c>
      <c r="B68" s="3651"/>
      <c r="C68" s="1049" t="s">
        <v>1505</v>
      </c>
      <c r="D68" s="1049" t="s">
        <v>1506</v>
      </c>
      <c r="E68" s="1120">
        <v>0.2</v>
      </c>
      <c r="F68" s="1135">
        <v>30</v>
      </c>
    </row>
    <row r="69" spans="1:6" s="1086" customFormat="1" ht="36">
      <c r="A69" s="1135">
        <v>9</v>
      </c>
      <c r="B69" s="3651"/>
      <c r="C69" s="1049" t="s">
        <v>1507</v>
      </c>
      <c r="D69" s="1049" t="s">
        <v>1508</v>
      </c>
      <c r="E69" s="1120">
        <v>0.2</v>
      </c>
      <c r="F69" s="1135">
        <v>30</v>
      </c>
    </row>
    <row r="70" spans="1:6" s="1086" customFormat="1" ht="48">
      <c r="A70" s="1135">
        <v>10</v>
      </c>
      <c r="B70" s="3651"/>
      <c r="C70" s="1049" t="s">
        <v>1509</v>
      </c>
      <c r="D70" s="1049" t="s">
        <v>1510</v>
      </c>
      <c r="E70" s="1120">
        <v>0.2</v>
      </c>
      <c r="F70" s="1135">
        <v>30</v>
      </c>
    </row>
    <row r="71" spans="1:6" s="1086" customFormat="1" ht="48">
      <c r="A71" s="1135">
        <v>11</v>
      </c>
      <c r="B71" s="3651"/>
      <c r="C71" s="1049" t="s">
        <v>1511</v>
      </c>
      <c r="D71" s="1049" t="s">
        <v>1512</v>
      </c>
      <c r="E71" s="1120">
        <v>0.2</v>
      </c>
      <c r="F71" s="1135">
        <v>30</v>
      </c>
    </row>
    <row r="72" spans="1:6" s="1086" customFormat="1" ht="36">
      <c r="A72" s="1135">
        <v>12</v>
      </c>
      <c r="B72" s="3651"/>
      <c r="C72" s="1049" t="s">
        <v>1513</v>
      </c>
      <c r="D72" s="1049" t="s">
        <v>1514</v>
      </c>
      <c r="E72" s="1120">
        <v>0.5</v>
      </c>
      <c r="F72" s="1135">
        <v>80</v>
      </c>
    </row>
    <row r="73" spans="1:6" s="1086" customFormat="1" ht="24">
      <c r="A73" s="1135">
        <v>13</v>
      </c>
      <c r="B73" s="3651"/>
      <c r="C73" s="1049" t="s">
        <v>1515</v>
      </c>
      <c r="D73" s="1049" t="s">
        <v>1516</v>
      </c>
      <c r="E73" s="1120">
        <v>0.4</v>
      </c>
      <c r="F73" s="1135">
        <v>60</v>
      </c>
    </row>
    <row r="74" spans="1:6" s="1086" customFormat="1" ht="24">
      <c r="A74" s="1135">
        <v>14</v>
      </c>
      <c r="B74" s="3651"/>
      <c r="C74" s="1049" t="s">
        <v>1517</v>
      </c>
      <c r="D74" s="1049" t="s">
        <v>1518</v>
      </c>
      <c r="E74" s="1120">
        <v>0.2</v>
      </c>
      <c r="F74" s="1135">
        <v>30</v>
      </c>
    </row>
    <row r="75" spans="1:6" s="1086" customFormat="1" ht="24">
      <c r="A75" s="1135">
        <v>15</v>
      </c>
      <c r="B75" s="3651"/>
      <c r="C75" s="1049" t="s">
        <v>1519</v>
      </c>
      <c r="D75" s="1049" t="s">
        <v>1520</v>
      </c>
      <c r="E75" s="1120">
        <v>0.2</v>
      </c>
      <c r="F75" s="1135">
        <v>30</v>
      </c>
    </row>
    <row r="76" spans="1:6" s="1086" customFormat="1" ht="24">
      <c r="A76" s="1135">
        <v>16</v>
      </c>
      <c r="B76" s="3651" t="s">
        <v>1521</v>
      </c>
      <c r="C76" s="1049" t="s">
        <v>1522</v>
      </c>
      <c r="D76" s="1049" t="s">
        <v>1523</v>
      </c>
      <c r="E76" s="1120">
        <v>0.5</v>
      </c>
      <c r="F76" s="1135">
        <v>80</v>
      </c>
    </row>
    <row r="77" spans="1:6" s="1086" customFormat="1" ht="24">
      <c r="A77" s="1135">
        <v>17</v>
      </c>
      <c r="B77" s="3651"/>
      <c r="C77" s="1049" t="s">
        <v>1524</v>
      </c>
      <c r="D77" s="1049" t="s">
        <v>1525</v>
      </c>
      <c r="E77" s="1120">
        <v>0.5</v>
      </c>
      <c r="F77" s="1135">
        <v>80</v>
      </c>
    </row>
    <row r="78" spans="1:6" s="1086" customFormat="1" ht="24">
      <c r="A78" s="1135">
        <v>18</v>
      </c>
      <c r="B78" s="3651"/>
      <c r="C78" s="1049" t="s">
        <v>1526</v>
      </c>
      <c r="D78" s="1049" t="s">
        <v>1527</v>
      </c>
      <c r="E78" s="1120">
        <v>0.2</v>
      </c>
      <c r="F78" s="1135">
        <v>30</v>
      </c>
    </row>
    <row r="79" spans="1:6" s="1086" customFormat="1" ht="24">
      <c r="A79" s="1135">
        <v>19</v>
      </c>
      <c r="B79" s="3651"/>
      <c r="C79" s="1049" t="s">
        <v>1528</v>
      </c>
      <c r="D79" s="1049" t="s">
        <v>1529</v>
      </c>
      <c r="E79" s="1120">
        <v>0.5</v>
      </c>
      <c r="F79" s="1135">
        <v>80</v>
      </c>
    </row>
    <row r="80" spans="1:6" s="1086" customFormat="1" ht="36">
      <c r="A80" s="1135">
        <v>20</v>
      </c>
      <c r="B80" s="3651"/>
      <c r="C80" s="1049" t="s">
        <v>1530</v>
      </c>
      <c r="D80" s="1049" t="s">
        <v>1531</v>
      </c>
      <c r="E80" s="1120">
        <v>0.2</v>
      </c>
      <c r="F80" s="1135">
        <v>30</v>
      </c>
    </row>
    <row r="81" spans="1:6" s="1086" customFormat="1" ht="36">
      <c r="A81" s="1135">
        <v>21</v>
      </c>
      <c r="B81" s="3651"/>
      <c r="C81" s="1049" t="s">
        <v>1532</v>
      </c>
      <c r="D81" s="1049" t="s">
        <v>1533</v>
      </c>
      <c r="E81" s="1120">
        <v>0.2</v>
      </c>
      <c r="F81" s="1135">
        <v>30</v>
      </c>
    </row>
    <row r="82" spans="1:6" s="1086" customFormat="1" ht="48">
      <c r="A82" s="1135">
        <v>22</v>
      </c>
      <c r="B82" s="3651"/>
      <c r="C82" s="1049" t="s">
        <v>1534</v>
      </c>
      <c r="D82" s="1049" t="s">
        <v>1535</v>
      </c>
      <c r="E82" s="1120">
        <v>0.2</v>
      </c>
      <c r="F82" s="1135">
        <v>30</v>
      </c>
    </row>
    <row r="83" spans="1:6" s="1086" customFormat="1" ht="48">
      <c r="A83" s="1135">
        <v>23</v>
      </c>
      <c r="B83" s="3651"/>
      <c r="C83" s="1049" t="s">
        <v>1536</v>
      </c>
      <c r="D83" s="1049" t="s">
        <v>1537</v>
      </c>
      <c r="E83" s="1120">
        <v>0.2</v>
      </c>
      <c r="F83" s="1135">
        <v>30</v>
      </c>
    </row>
    <row r="84" spans="1:6" s="1086" customFormat="1" ht="36">
      <c r="A84" s="1135">
        <v>24</v>
      </c>
      <c r="B84" s="3651"/>
      <c r="C84" s="1049" t="s">
        <v>1538</v>
      </c>
      <c r="D84" s="1049" t="s">
        <v>1539</v>
      </c>
      <c r="E84" s="1120">
        <v>0.2</v>
      </c>
      <c r="F84" s="1135">
        <v>30</v>
      </c>
    </row>
    <row r="85" spans="1:6" s="1086" customFormat="1" ht="36">
      <c r="A85" s="1135">
        <v>25</v>
      </c>
      <c r="B85" s="3651"/>
      <c r="C85" s="1049" t="s">
        <v>1540</v>
      </c>
      <c r="D85" s="1049" t="s">
        <v>1541</v>
      </c>
      <c r="E85" s="1120">
        <v>0.5</v>
      </c>
      <c r="F85" s="1135">
        <v>80</v>
      </c>
    </row>
    <row r="86" spans="1:6" s="1086" customFormat="1" ht="36">
      <c r="A86" s="1135">
        <v>26</v>
      </c>
      <c r="B86" s="3651"/>
      <c r="C86" s="1049" t="s">
        <v>1542</v>
      </c>
      <c r="D86" s="1049" t="s">
        <v>1543</v>
      </c>
      <c r="E86" s="1120">
        <v>0.2</v>
      </c>
      <c r="F86" s="1135">
        <v>30</v>
      </c>
    </row>
    <row r="87" spans="1:6" s="1086" customFormat="1" ht="36">
      <c r="A87" s="1135">
        <v>27</v>
      </c>
      <c r="B87" s="3651"/>
      <c r="C87" s="1049" t="s">
        <v>1544</v>
      </c>
      <c r="D87" s="1049" t="s">
        <v>1545</v>
      </c>
      <c r="E87" s="1120">
        <v>0.2</v>
      </c>
      <c r="F87" s="1135">
        <v>30</v>
      </c>
    </row>
    <row r="88" spans="1:6" s="1086" customFormat="1" ht="36">
      <c r="A88" s="1135">
        <v>28</v>
      </c>
      <c r="B88" s="3651"/>
      <c r="C88" s="1049" t="s">
        <v>1546</v>
      </c>
      <c r="D88" s="1049" t="s">
        <v>1547</v>
      </c>
      <c r="E88" s="1120">
        <v>0.2</v>
      </c>
      <c r="F88" s="1135">
        <v>30</v>
      </c>
    </row>
    <row r="89" spans="1:6" s="1086" customFormat="1" ht="24">
      <c r="A89" s="1135">
        <v>29</v>
      </c>
      <c r="B89" s="3651"/>
      <c r="C89" s="1049" t="s">
        <v>1548</v>
      </c>
      <c r="D89" s="1049" t="s">
        <v>1549</v>
      </c>
      <c r="E89" s="1120">
        <v>0.2</v>
      </c>
      <c r="F89" s="1135">
        <v>30</v>
      </c>
    </row>
    <row r="90" spans="1:6" s="1086" customFormat="1" ht="24">
      <c r="A90" s="1135">
        <v>30</v>
      </c>
      <c r="B90" s="3651"/>
      <c r="C90" s="1049" t="s">
        <v>1550</v>
      </c>
      <c r="D90" s="1049" t="s">
        <v>1551</v>
      </c>
      <c r="E90" s="1120">
        <v>0.2</v>
      </c>
      <c r="F90" s="1135">
        <v>30</v>
      </c>
    </row>
    <row r="91" spans="1:6" s="1086" customFormat="1" ht="36">
      <c r="A91" s="1135">
        <v>31</v>
      </c>
      <c r="B91" s="3651"/>
      <c r="C91" s="1049" t="s">
        <v>1552</v>
      </c>
      <c r="D91" s="1049" t="s">
        <v>1553</v>
      </c>
      <c r="E91" s="1120">
        <v>0.2</v>
      </c>
      <c r="F91" s="1135">
        <v>30</v>
      </c>
    </row>
    <row r="92" spans="1:6" s="1086" customFormat="1" ht="24">
      <c r="A92" s="1135">
        <v>32</v>
      </c>
      <c r="B92" s="3651" t="s">
        <v>1554</v>
      </c>
      <c r="C92" s="1135" t="s">
        <v>1555</v>
      </c>
      <c r="D92" s="1049" t="s">
        <v>1556</v>
      </c>
      <c r="E92" s="1120">
        <v>0.2</v>
      </c>
      <c r="F92" s="1135">
        <v>30</v>
      </c>
    </row>
    <row r="93" spans="1:6" s="1086" customFormat="1" ht="36">
      <c r="A93" s="1135">
        <v>33</v>
      </c>
      <c r="B93" s="3651"/>
      <c r="C93" s="1135" t="s">
        <v>1557</v>
      </c>
      <c r="D93" s="1049" t="s">
        <v>1558</v>
      </c>
      <c r="E93" s="1120">
        <v>0.2</v>
      </c>
      <c r="F93" s="1135">
        <v>30</v>
      </c>
    </row>
    <row r="94" spans="1:6" s="1086" customFormat="1" ht="48">
      <c r="A94" s="1135">
        <v>34</v>
      </c>
      <c r="B94" s="3651"/>
      <c r="C94" s="1135" t="s">
        <v>1559</v>
      </c>
      <c r="D94" s="1049" t="s">
        <v>1560</v>
      </c>
      <c r="E94" s="1120">
        <v>0.2</v>
      </c>
      <c r="F94" s="1135">
        <v>30</v>
      </c>
    </row>
    <row r="95" spans="1:6" s="1086" customFormat="1" ht="36">
      <c r="A95" s="1135">
        <v>35</v>
      </c>
      <c r="B95" s="3651"/>
      <c r="C95" s="1135" t="s">
        <v>1561</v>
      </c>
      <c r="D95" s="1049" t="s">
        <v>1562</v>
      </c>
      <c r="E95" s="1120">
        <v>0.2</v>
      </c>
      <c r="F95" s="1135">
        <v>30</v>
      </c>
    </row>
    <row r="96" spans="1:6" s="1086" customFormat="1" ht="48">
      <c r="A96" s="1135">
        <v>36</v>
      </c>
      <c r="B96" s="3651"/>
      <c r="C96" s="1049" t="s">
        <v>1563</v>
      </c>
      <c r="D96" s="1049" t="s">
        <v>1564</v>
      </c>
      <c r="E96" s="1120">
        <v>0.2</v>
      </c>
      <c r="F96" s="1135">
        <v>30</v>
      </c>
    </row>
    <row r="97" spans="1:6" s="1086" customFormat="1" ht="36">
      <c r="A97" s="1135">
        <v>37</v>
      </c>
      <c r="B97" s="3651"/>
      <c r="C97" s="1135" t="s">
        <v>1565</v>
      </c>
      <c r="D97" s="1049" t="s">
        <v>1566</v>
      </c>
      <c r="E97" s="1120">
        <v>0.2</v>
      </c>
      <c r="F97" s="1135">
        <v>30</v>
      </c>
    </row>
    <row r="98" spans="1:6" s="1086" customFormat="1" ht="36">
      <c r="A98" s="1135">
        <v>38</v>
      </c>
      <c r="B98" s="3651"/>
      <c r="C98" s="1135" t="s">
        <v>1567</v>
      </c>
      <c r="D98" s="1049" t="s">
        <v>1568</v>
      </c>
      <c r="E98" s="1120">
        <v>0.2</v>
      </c>
      <c r="F98" s="1135">
        <v>30</v>
      </c>
    </row>
    <row r="99" spans="1:6" s="1086" customFormat="1" ht="36">
      <c r="A99" s="1135">
        <v>39</v>
      </c>
      <c r="B99" s="3651" t="s">
        <v>1569</v>
      </c>
      <c r="C99" s="1135" t="s">
        <v>1570</v>
      </c>
      <c r="D99" s="1049" t="s">
        <v>1571</v>
      </c>
      <c r="E99" s="1120">
        <v>0.3</v>
      </c>
      <c r="F99" s="1135">
        <v>50</v>
      </c>
    </row>
    <row r="100" spans="1:6" s="1086" customFormat="1" ht="24">
      <c r="A100" s="1135">
        <v>40</v>
      </c>
      <c r="B100" s="3651"/>
      <c r="C100" s="1135" t="s">
        <v>1572</v>
      </c>
      <c r="D100" s="1049" t="s">
        <v>1573</v>
      </c>
      <c r="E100" s="1120">
        <v>0.2</v>
      </c>
      <c r="F100" s="1135">
        <v>30</v>
      </c>
    </row>
    <row r="101" spans="1:6" s="1086" customFormat="1" ht="36">
      <c r="A101" s="1135">
        <v>41</v>
      </c>
      <c r="B101" s="3651"/>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3651" t="s">
        <v>1584</v>
      </c>
      <c r="C105" s="1135" t="s">
        <v>1585</v>
      </c>
      <c r="D105" s="1049" t="s">
        <v>1586</v>
      </c>
      <c r="E105" s="1120">
        <v>0.2</v>
      </c>
      <c r="F105" s="1135">
        <v>30</v>
      </c>
    </row>
    <row r="106" spans="1:6" s="1086" customFormat="1" ht="36">
      <c r="A106" s="1135">
        <v>46</v>
      </c>
      <c r="B106" s="3651"/>
      <c r="C106" s="1135" t="s">
        <v>1587</v>
      </c>
      <c r="D106" s="1049" t="s">
        <v>1588</v>
      </c>
      <c r="E106" s="1120">
        <v>0.2</v>
      </c>
      <c r="F106" s="1135">
        <v>30</v>
      </c>
    </row>
    <row r="107" spans="1:6" s="1086" customFormat="1" ht="36">
      <c r="A107" s="1135">
        <v>47</v>
      </c>
      <c r="B107" s="3651" t="s">
        <v>1589</v>
      </c>
      <c r="C107" s="1135" t="s">
        <v>1590</v>
      </c>
      <c r="D107" s="1049" t="s">
        <v>1591</v>
      </c>
      <c r="E107" s="1120">
        <v>0.3</v>
      </c>
      <c r="F107" s="1135">
        <v>50</v>
      </c>
    </row>
    <row r="108" spans="1:6" s="1086" customFormat="1" ht="36">
      <c r="A108" s="1135">
        <v>48</v>
      </c>
      <c r="B108" s="3651"/>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3651" t="s">
        <v>1600</v>
      </c>
      <c r="C111" s="1135" t="s">
        <v>1601</v>
      </c>
      <c r="D111" s="1049" t="s">
        <v>1602</v>
      </c>
      <c r="E111" s="1120">
        <v>0.2</v>
      </c>
      <c r="F111" s="1135">
        <v>30</v>
      </c>
    </row>
    <row r="112" spans="1:6" s="1086" customFormat="1" ht="24">
      <c r="A112" s="1135">
        <v>52</v>
      </c>
      <c r="B112" s="3651"/>
      <c r="C112" s="1135" t="s">
        <v>1603</v>
      </c>
      <c r="D112" s="1049" t="s">
        <v>1604</v>
      </c>
      <c r="E112" s="1120">
        <v>0.2</v>
      </c>
      <c r="F112" s="1135">
        <v>30</v>
      </c>
    </row>
    <row r="113" spans="1:14" s="1086" customFormat="1" ht="24">
      <c r="A113" s="1135">
        <v>53</v>
      </c>
      <c r="B113" s="3651"/>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3651" t="s">
        <v>1613</v>
      </c>
      <c r="C116" s="1135" t="s">
        <v>1614</v>
      </c>
      <c r="D116" s="1049" t="s">
        <v>1615</v>
      </c>
      <c r="E116" s="1120">
        <v>0.2</v>
      </c>
      <c r="F116" s="1135">
        <v>30</v>
      </c>
    </row>
    <row r="117" spans="1:14" ht="36">
      <c r="A117" s="1135">
        <v>57</v>
      </c>
      <c r="B117" s="3651"/>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3650" t="s">
        <v>1622</v>
      </c>
      <c r="B121" s="3650"/>
      <c r="C121" s="3650"/>
      <c r="D121" s="3650"/>
      <c r="E121" s="3650"/>
      <c r="F121" s="3650"/>
      <c r="G121" s="3650"/>
      <c r="H121" s="3650"/>
      <c r="I121" s="3650"/>
      <c r="J121" s="3650"/>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652" t="s">
        <v>1028</v>
      </c>
      <c r="B1" s="3652"/>
      <c r="C1" s="3652"/>
      <c r="D1" s="3652"/>
      <c r="E1" s="3652"/>
      <c r="F1" s="3652"/>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3653" t="s">
        <v>1041</v>
      </c>
      <c r="B2" s="3653"/>
      <c r="C2" s="3653"/>
      <c r="D2" s="3653"/>
      <c r="E2" s="3653"/>
      <c r="F2" s="3653"/>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3654"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3655"/>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9350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0.96399999999999997</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5500.65平方米。根据《建设工程规划许可证》[]、《出让合同》[]，估价对象规划建筑面积为30803.628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656" t="s">
        <v>2065</v>
      </c>
      <c r="B1" s="3656"/>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8" zoomScale="80" zoomScaleNormal="60" zoomScaleSheetLayoutView="80" workbookViewId="0">
      <selection activeCell="D51" sqref="D51"/>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27480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3171</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19725</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15913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9244</v>
      </c>
      <c r="D5" s="2791">
        <f>ROUND(C6+C16,0)</f>
        <v>9244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12768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9300</v>
      </c>
      <c r="D6" s="1370" t="s">
        <v>1683</v>
      </c>
      <c r="E6" s="1371"/>
      <c r="F6" s="1371"/>
      <c r="G6" s="1372"/>
      <c r="H6" s="1372"/>
      <c r="I6" s="1372"/>
      <c r="J6" s="1373"/>
      <c r="K6" s="3231"/>
      <c r="L6" s="1797" t="s">
        <v>2229</v>
      </c>
      <c r="M6" s="1798">
        <f>SUMPRODUCT((区片价!B110:B157=I2)*(区片价!C3:F3=E2)*(区片价!C110:F157))</f>
        <v>9300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10873</v>
      </c>
      <c r="U6" s="2641"/>
      <c r="V6" s="2652">
        <f t="shared" ca="1" si="1"/>
        <v>0</v>
      </c>
      <c r="W6" s="2068"/>
      <c r="X6" s="2068"/>
      <c r="Y6" s="2068"/>
      <c r="Z6" s="2068"/>
      <c r="AA6" s="2068"/>
      <c r="AB6" s="2068"/>
      <c r="AC6" s="2070"/>
      <c r="AD6" s="1366"/>
      <c r="AE6" s="1366"/>
      <c r="AF6" s="1366"/>
      <c r="AG6" s="1366"/>
      <c r="AH6" s="1366"/>
      <c r="AI6" s="1366"/>
      <c r="AJ6" s="1367"/>
    </row>
    <row r="7" spans="1:39" ht="24">
      <c r="A7" s="3645" t="str">
        <f>IF(E2="商业",IF(C8="不临58条商业街","",2),"")</f>
        <v/>
      </c>
      <c r="B7" s="1374" t="s">
        <v>921</v>
      </c>
      <c r="C7" s="1028">
        <f>IF(C8="不临58条商业街",1,ROUND(1+(1.6*E8+1.2*E9+0.8*E10+0.4*E11)*C9,4))</f>
        <v>1</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9562</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25.5">
      <c r="A8" s="3646"/>
      <c r="B8" s="1361" t="s">
        <v>923</v>
      </c>
      <c r="C8" s="1467" t="s">
        <v>3065</v>
      </c>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32" t="s">
        <v>2760</v>
      </c>
      <c r="X8" s="363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46"/>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3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46"/>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3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46"/>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3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45"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3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4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3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47"/>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4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45" t="s">
        <v>1826</v>
      </c>
      <c r="B16" s="1374" t="s">
        <v>939</v>
      </c>
      <c r="C16" s="3379">
        <f>ROUND(IF(F17="与级别开发程度一致",0,(G17-E17)/C17),0)</f>
        <v>-56</v>
      </c>
      <c r="D16" s="3639" t="s">
        <v>943</v>
      </c>
      <c r="E16" s="3640"/>
      <c r="F16" s="3639" t="s">
        <v>940</v>
      </c>
      <c r="G16" s="3640"/>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4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1.1000000000000001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0.96160000000000001</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0.96160000000000001</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1.0431999999999999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14185</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3546</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41"/>
      <c r="B33" s="1462" t="s">
        <v>988</v>
      </c>
      <c r="C33" s="1044">
        <f ca="1">ROUND(D5*C19*C20*C24*F33,0)</f>
        <v>9387</v>
      </c>
      <c r="D33" s="1475"/>
      <c r="E33" s="1033">
        <f ca="1">ROUND(C33*D33/10000,0)</f>
        <v>0</v>
      </c>
      <c r="F33" s="1033">
        <f>SUMIF(修正!A45:A56,G2,修正!B45:B56)</f>
        <v>0.7</v>
      </c>
      <c r="G33" s="1033">
        <f t="shared" ref="G33" ca="1" si="6">ROUND(IF(E2="工业",C33*$M$39,C33*$M$38),0)</f>
        <v>2347</v>
      </c>
      <c r="H33" s="1033">
        <f>D33</f>
        <v>0</v>
      </c>
      <c r="I33" s="1033">
        <f ca="1">ROUND(G33*H33/10000,0)</f>
        <v>0</v>
      </c>
      <c r="J33" s="364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42"/>
      <c r="B34" s="1392" t="s">
        <v>989</v>
      </c>
      <c r="C34" s="1044">
        <f ca="1">ROUND(D5*C19*C20*C24*F34,0)</f>
        <v>5364</v>
      </c>
      <c r="D34" s="1475"/>
      <c r="E34" s="1033">
        <f t="shared" ref="E34:E39" ca="1" si="7">ROUND(C34*D34/10000,0)</f>
        <v>0</v>
      </c>
      <c r="F34" s="1033">
        <f>SUMIF(修正!A45:A56,G2,修正!C45:C56)</f>
        <v>0.4</v>
      </c>
      <c r="G34" s="1033">
        <f ca="1">ROUND(IF(E2="工业",C34*$M$39,C34*$M$38),0)</f>
        <v>1341</v>
      </c>
      <c r="H34" s="1033">
        <f t="shared" ref="H34:H39" si="8">D34</f>
        <v>0</v>
      </c>
      <c r="I34" s="1033">
        <f t="shared" ref="I34:I39" ca="1" si="9">ROUND(G34*H34/10000,0)</f>
        <v>0</v>
      </c>
      <c r="J34" s="364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42"/>
      <c r="B35" s="1392" t="s">
        <v>990</v>
      </c>
      <c r="C35" s="1044">
        <f ca="1">ROUND(D5*C19*C20*C24*F35,0)</f>
        <v>3755</v>
      </c>
      <c r="D35" s="1475"/>
      <c r="E35" s="1033">
        <f t="shared" ca="1" si="7"/>
        <v>0</v>
      </c>
      <c r="F35" s="1033">
        <f>SUMIF(修正!A45:A56,G2,修正!D45:D56)</f>
        <v>0.28000000000000003</v>
      </c>
      <c r="G35" s="1033">
        <f ca="1">ROUND(IF(E2="工业",C35*$M$39,C35*$M$38),0)</f>
        <v>939</v>
      </c>
      <c r="H35" s="1033">
        <f t="shared" si="8"/>
        <v>0</v>
      </c>
      <c r="I35" s="1033">
        <f t="shared" ca="1" si="9"/>
        <v>0</v>
      </c>
      <c r="J35" s="364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3"/>
      <c r="B36" s="1392" t="s">
        <v>991</v>
      </c>
      <c r="C36" s="1044">
        <f ca="1">ROUND(D5*C19*C20*C24*F36,0)</f>
        <v>3353</v>
      </c>
      <c r="D36" s="1475"/>
      <c r="E36" s="1033">
        <f t="shared" ca="1" si="7"/>
        <v>0</v>
      </c>
      <c r="F36" s="1033">
        <f>SUMIF(修正!A45:A56,G2,修正!E45:E56)</f>
        <v>0.25</v>
      </c>
      <c r="G36" s="1033">
        <f ca="1">ROUND(IF(E2="工业",C36*$M$39,C36*$M$38),0)</f>
        <v>838</v>
      </c>
      <c r="H36" s="1033">
        <f t="shared" si="8"/>
        <v>0</v>
      </c>
      <c r="I36" s="1033">
        <f t="shared" ca="1" si="9"/>
        <v>0</v>
      </c>
      <c r="J36" s="364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3353</v>
      </c>
      <c r="D37" s="1475"/>
      <c r="E37" s="1033">
        <f t="shared" ca="1" si="7"/>
        <v>0</v>
      </c>
      <c r="F37" s="1044">
        <f>SUMIF(修正!A45:A56,G2,修正!F45:F56)</f>
        <v>0.25</v>
      </c>
      <c r="G37" s="1033">
        <f ca="1">ROUND(IF(E2="工业",C37*$M$39,C37*$M$38),0)</f>
        <v>838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1.0431999999999999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3074</v>
      </c>
      <c r="D47" s="2270">
        <f t="shared" ref="D47:D55" si="10">SUMIF($J$46:$N$46,C47,J47:N47)</f>
        <v>0</v>
      </c>
      <c r="E47" s="2289">
        <f>ROUND(SUM(D47:D55),4)</f>
        <v>4.3200000000000002E-2</v>
      </c>
      <c r="F47" s="2290">
        <f>IF(E2="商业",SUMIF(L1:L12,G2,N1:N12),"——")</f>
        <v>0.123</v>
      </c>
      <c r="G47" s="2268">
        <f>H47</f>
        <v>2.0199999999999999E-2</v>
      </c>
      <c r="H47" s="2313">
        <f t="shared" ref="H47:H55" si="11">IFERROR(ROUNDDOWN(($F$47*I47/2),4),"——")</f>
        <v>2.0199999999999999E-2</v>
      </c>
      <c r="I47" s="2288">
        <v>0.33</v>
      </c>
      <c r="J47" s="2291">
        <f t="shared" ref="J47:J55" si="12">K47+$G47</f>
        <v>4.0399999999999998E-2</v>
      </c>
      <c r="K47" s="2291">
        <f t="shared" ref="K47:K55" si="13">$L47+$G47</f>
        <v>2.0199999999999999E-2</v>
      </c>
      <c r="L47" s="2291">
        <v>0</v>
      </c>
      <c r="M47" s="2291">
        <f t="shared" ref="M47:N55" si="14">L47-$G47</f>
        <v>-2.0199999999999999E-2</v>
      </c>
      <c r="N47" s="2291">
        <f t="shared" si="14"/>
        <v>-4.0399999999999998E-2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78" t="s">
        <v>3075</v>
      </c>
      <c r="D48" s="2270">
        <f t="shared" si="10"/>
        <v>1.5299999999999999E-2</v>
      </c>
      <c r="E48" s="2292"/>
      <c r="F48" s="2290"/>
      <c r="G48" s="2268">
        <f t="shared" ref="G48:G55" si="15">H48</f>
        <v>1.5299999999999999E-2</v>
      </c>
      <c r="H48" s="2313">
        <f t="shared" si="11"/>
        <v>1.5299999999999999E-2</v>
      </c>
      <c r="I48" s="2288">
        <v>0.25</v>
      </c>
      <c r="J48" s="2291">
        <f t="shared" si="12"/>
        <v>3.0599999999999999E-2</v>
      </c>
      <c r="K48" s="2291">
        <f t="shared" si="13"/>
        <v>1.5299999999999999E-2</v>
      </c>
      <c r="L48" s="2291">
        <v>0</v>
      </c>
      <c r="M48" s="2291">
        <f t="shared" si="14"/>
        <v>-1.5299999999999999E-2</v>
      </c>
      <c r="N48" s="2291">
        <f t="shared" si="14"/>
        <v>-3.0599999999999999E-2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3378" t="s">
        <v>3074</v>
      </c>
      <c r="D49" s="2270">
        <f t="shared" si="10"/>
        <v>0</v>
      </c>
      <c r="E49" s="2292"/>
      <c r="F49" s="2290"/>
      <c r="G49" s="2268">
        <f t="shared" si="15"/>
        <v>3.0000000000000001E-3</v>
      </c>
      <c r="H49" s="2313">
        <f t="shared" si="11"/>
        <v>3.0000000000000001E-3</v>
      </c>
      <c r="I49" s="2288">
        <v>0.05</v>
      </c>
      <c r="J49" s="2291">
        <f t="shared" si="12"/>
        <v>6.0000000000000001E-3</v>
      </c>
      <c r="K49" s="2291">
        <f t="shared" si="13"/>
        <v>3.0000000000000001E-3</v>
      </c>
      <c r="L49" s="2291">
        <v>0</v>
      </c>
      <c r="M49" s="2291">
        <f t="shared" si="14"/>
        <v>-3.0000000000000001E-3</v>
      </c>
      <c r="N49" s="2291">
        <f t="shared" si="14"/>
        <v>-6.0000000000000001E-3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3075</v>
      </c>
      <c r="D50" s="2270">
        <f t="shared" si="10"/>
        <v>3.0000000000000001E-3</v>
      </c>
      <c r="E50" s="2292"/>
      <c r="F50" s="2290"/>
      <c r="G50" s="2268">
        <f t="shared" si="15"/>
        <v>3.0000000000000001E-3</v>
      </c>
      <c r="H50" s="2313">
        <f t="shared" si="11"/>
        <v>3.0000000000000001E-3</v>
      </c>
      <c r="I50" s="2288">
        <v>0.05</v>
      </c>
      <c r="J50" s="2291">
        <f t="shared" si="12"/>
        <v>6.0000000000000001E-3</v>
      </c>
      <c r="K50" s="2291">
        <f t="shared" si="13"/>
        <v>3.0000000000000001E-3</v>
      </c>
      <c r="L50" s="2291">
        <v>0</v>
      </c>
      <c r="M50" s="2291">
        <f t="shared" si="14"/>
        <v>-3.0000000000000001E-3</v>
      </c>
      <c r="N50" s="2291">
        <f t="shared" si="14"/>
        <v>-6.0000000000000001E-3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3081</v>
      </c>
      <c r="D51" s="2270">
        <f t="shared" si="10"/>
        <v>9.7999999999999997E-3</v>
      </c>
      <c r="E51" s="2292"/>
      <c r="F51" s="2290"/>
      <c r="G51" s="2268">
        <f t="shared" si="15"/>
        <v>4.8999999999999998E-3</v>
      </c>
      <c r="H51" s="2313">
        <f t="shared" si="11"/>
        <v>4.8999999999999998E-3</v>
      </c>
      <c r="I51" s="2288">
        <v>0.08</v>
      </c>
      <c r="J51" s="2291">
        <f t="shared" si="12"/>
        <v>9.7999999999999997E-3</v>
      </c>
      <c r="K51" s="2291">
        <f t="shared" si="13"/>
        <v>4.8999999999999998E-3</v>
      </c>
      <c r="L51" s="2291">
        <v>0</v>
      </c>
      <c r="M51" s="2291">
        <f t="shared" si="14"/>
        <v>-4.8999999999999998E-3</v>
      </c>
      <c r="N51" s="2291">
        <f t="shared" si="14"/>
        <v>-9.7999999999999997E-3</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3075</v>
      </c>
      <c r="D52" s="2270">
        <f t="shared" si="10"/>
        <v>1.8E-3</v>
      </c>
      <c r="E52" s="2292"/>
      <c r="F52" s="2290"/>
      <c r="G52" s="2268">
        <f t="shared" si="15"/>
        <v>1.8E-3</v>
      </c>
      <c r="H52" s="2313">
        <f t="shared" si="11"/>
        <v>1.8E-3</v>
      </c>
      <c r="I52" s="2288">
        <v>0.03</v>
      </c>
      <c r="J52" s="2291">
        <f t="shared" si="12"/>
        <v>3.5999999999999999E-3</v>
      </c>
      <c r="K52" s="2291">
        <f t="shared" si="13"/>
        <v>1.8E-3</v>
      </c>
      <c r="L52" s="2291">
        <v>0</v>
      </c>
      <c r="M52" s="2291">
        <f t="shared" si="14"/>
        <v>-1.8E-3</v>
      </c>
      <c r="N52" s="2291">
        <f t="shared" si="14"/>
        <v>-3.5999999999999999E-3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3074</v>
      </c>
      <c r="D53" s="2270">
        <f t="shared" si="10"/>
        <v>0</v>
      </c>
      <c r="E53" s="2292"/>
      <c r="F53" s="2290"/>
      <c r="G53" s="2268">
        <f t="shared" si="15"/>
        <v>3.0000000000000001E-3</v>
      </c>
      <c r="H53" s="2313">
        <f t="shared" si="11"/>
        <v>3.0000000000000001E-3</v>
      </c>
      <c r="I53" s="2288">
        <v>0.05</v>
      </c>
      <c r="J53" s="2291">
        <f t="shared" si="12"/>
        <v>6.0000000000000001E-3</v>
      </c>
      <c r="K53" s="2291">
        <f t="shared" si="13"/>
        <v>3.0000000000000001E-3</v>
      </c>
      <c r="L53" s="2291">
        <v>0</v>
      </c>
      <c r="M53" s="2291">
        <f t="shared" si="14"/>
        <v>-3.0000000000000001E-3</v>
      </c>
      <c r="N53" s="2291">
        <f t="shared" si="14"/>
        <v>-6.0000000000000001E-3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3075</v>
      </c>
      <c r="D54" s="2270">
        <f t="shared" si="10"/>
        <v>6.1000000000000004E-3</v>
      </c>
      <c r="E54" s="2292"/>
      <c r="F54" s="2290"/>
      <c r="G54" s="2268">
        <f t="shared" si="15"/>
        <v>6.1000000000000004E-3</v>
      </c>
      <c r="H54" s="2313">
        <f t="shared" si="11"/>
        <v>6.1000000000000004E-3</v>
      </c>
      <c r="I54" s="2288">
        <v>0.1</v>
      </c>
      <c r="J54" s="2291">
        <f t="shared" si="12"/>
        <v>1.2200000000000001E-2</v>
      </c>
      <c r="K54" s="2291">
        <f t="shared" si="13"/>
        <v>6.1000000000000004E-3</v>
      </c>
      <c r="L54" s="2291">
        <v>0</v>
      </c>
      <c r="M54" s="2291">
        <f t="shared" si="14"/>
        <v>-6.1000000000000004E-3</v>
      </c>
      <c r="N54" s="2291">
        <f t="shared" si="14"/>
        <v>-1.2200000000000001E-2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3081</v>
      </c>
      <c r="D55" s="2270">
        <f t="shared" si="10"/>
        <v>7.1999999999999998E-3</v>
      </c>
      <c r="E55" s="2296"/>
      <c r="F55" s="2290"/>
      <c r="G55" s="2268">
        <f t="shared" si="15"/>
        <v>3.5999999999999999E-3</v>
      </c>
      <c r="H55" s="2313">
        <f t="shared" si="11"/>
        <v>3.5999999999999999E-3</v>
      </c>
      <c r="I55" s="2295">
        <v>0.06</v>
      </c>
      <c r="J55" s="2291">
        <f t="shared" si="12"/>
        <v>7.1999999999999998E-3</v>
      </c>
      <c r="K55" s="2291">
        <f t="shared" si="13"/>
        <v>3.5999999999999999E-3</v>
      </c>
      <c r="L55" s="2291">
        <v>0</v>
      </c>
      <c r="M55" s="2291">
        <f t="shared" si="14"/>
        <v>-3.5999999999999999E-3</v>
      </c>
      <c r="N55" s="2291">
        <f t="shared" si="14"/>
        <v>-7.1999999999999998E-3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50" t="s">
        <v>1622</v>
      </c>
      <c r="B90" s="3650"/>
      <c r="C90" s="3650"/>
      <c r="D90" s="3650"/>
      <c r="E90" s="3650"/>
      <c r="F90" s="3650"/>
      <c r="G90" s="3650"/>
      <c r="H90" s="3650"/>
      <c r="I90" s="3650"/>
      <c r="J90" s="3650"/>
      <c r="K90" s="3278"/>
      <c r="L90" s="3278"/>
      <c r="M90" s="3278"/>
      <c r="N90" s="3278"/>
    </row>
    <row r="91" spans="1:40">
      <c r="A91" s="3651" t="s">
        <v>1432</v>
      </c>
      <c r="B91" s="3651" t="s">
        <v>1623</v>
      </c>
      <c r="C91" s="1121" t="s">
        <v>1624</v>
      </c>
      <c r="D91" s="1122"/>
      <c r="E91" s="1122"/>
      <c r="F91" s="1122"/>
      <c r="G91" s="1122"/>
      <c r="H91" s="1122"/>
      <c r="I91" s="1122"/>
      <c r="J91" s="1123"/>
      <c r="K91" s="1115"/>
      <c r="L91" s="1115"/>
      <c r="M91" s="1115"/>
      <c r="N91" s="1115"/>
    </row>
    <row r="92" spans="1:40">
      <c r="A92" s="3651"/>
      <c r="B92" s="3651"/>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3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3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3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3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3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3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3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3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34"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3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3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3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3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3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3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35"/>
      <c r="B108" s="363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36"/>
      <c r="B109" s="363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44" t="s">
        <v>1628</v>
      </c>
      <c r="B110" s="3644"/>
      <c r="C110" s="3644"/>
      <c r="D110" s="3644"/>
      <c r="E110" s="3644"/>
      <c r="F110" s="3644"/>
      <c r="G110" s="3644"/>
      <c r="H110" s="3644"/>
      <c r="I110" s="3644"/>
      <c r="J110" s="3644"/>
      <c r="K110" s="3277"/>
      <c r="L110" s="3277"/>
      <c r="M110" s="3277"/>
      <c r="N110" s="3277"/>
    </row>
    <row r="112" spans="1:14" ht="12.75" thickBot="1"/>
    <row r="113" spans="1:13" ht="25.5" thickBot="1">
      <c r="A113" s="1001" t="s">
        <v>885</v>
      </c>
      <c r="B113" s="2304">
        <f>G3</f>
        <v>2.8</v>
      </c>
      <c r="C113" s="1002" t="s">
        <v>886</v>
      </c>
      <c r="D113" s="1003">
        <f>SUMPRODUCT((A115:A118=F113)*(B114:M114=H113)*B115:M118)</f>
        <v>0.80259999999999998</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43" priority="5" stopIfTrue="1" operator="notEqual">
      <formula>"——"</formula>
    </cfRule>
  </conditionalFormatting>
  <conditionalFormatting sqref="F58">
    <cfRule type="cellIs" dxfId="142" priority="4" stopIfTrue="1" operator="notEqual">
      <formula>"——"</formula>
    </cfRule>
  </conditionalFormatting>
  <conditionalFormatting sqref="F69">
    <cfRule type="cellIs" dxfId="141" priority="3" stopIfTrue="1" operator="notEqual">
      <formula>"——"</formula>
    </cfRule>
  </conditionalFormatting>
  <conditionalFormatting sqref="F80">
    <cfRule type="cellIs" dxfId="140" priority="2" stopIfTrue="1" operator="notEqual">
      <formula>"——"</formula>
    </cfRule>
  </conditionalFormatting>
  <conditionalFormatting sqref="H58:H66 H47:H55 H69:H77 H80:H87">
    <cfRule type="cellIs" dxfId="13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61" zoomScale="80" zoomScaleNormal="60" zoomScaleSheetLayoutView="80" workbookViewId="0">
      <selection activeCell="D58" sqref="D58:D66"/>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15401.814</v>
      </c>
      <c r="E1" s="1353" t="s">
        <v>2409</v>
      </c>
      <c r="F1" s="2305">
        <f>'数据-汇总表'!D3</f>
        <v>5500.65</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19878</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24941</v>
      </c>
      <c r="U2" s="2641"/>
      <c r="V2" s="2652">
        <f ca="1">ROUND(T2*U2/10000,0)</f>
        <v>0</v>
      </c>
      <c r="W2" s="2068"/>
      <c r="X2" s="2068"/>
      <c r="Y2" s="2068"/>
      <c r="Z2" s="2068"/>
      <c r="AA2" s="2068"/>
      <c r="AB2" s="2068"/>
      <c r="AC2" s="2069"/>
    </row>
    <row r="3" spans="1:39" ht="24">
      <c r="A3" s="1358" t="s">
        <v>1675</v>
      </c>
      <c r="B3" s="1023">
        <f ca="1">ROUND(B2*10000/D1,0)</f>
        <v>12906</v>
      </c>
      <c r="C3" s="1354" t="s">
        <v>916</v>
      </c>
      <c r="D3" s="1355" t="s">
        <v>917</v>
      </c>
      <c r="E3" s="1359" t="s">
        <v>3066</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17903</v>
      </c>
      <c r="U3" s="2641"/>
      <c r="V3" s="2652">
        <f t="shared" ref="V3:V16" ca="1" si="1">ROUND(T3*U3/10000,0)</f>
        <v>0</v>
      </c>
      <c r="W3" s="2068"/>
      <c r="X3" s="2068"/>
      <c r="Y3" s="2068"/>
      <c r="Z3" s="2068"/>
      <c r="AA3" s="2068"/>
      <c r="AB3" s="2068"/>
      <c r="AC3" s="2069"/>
    </row>
    <row r="4" spans="1:39" ht="28.5">
      <c r="A4" s="1803" t="s">
        <v>2265</v>
      </c>
      <c r="B4" s="2306">
        <f ca="1">ROUND(B2*10000/F1,0)</f>
        <v>36138</v>
      </c>
      <c r="C4" s="1806" t="s">
        <v>2240</v>
      </c>
      <c r="D4" s="1806">
        <f ca="1">ROUND(B2/(F1/666.67),0)</f>
        <v>2409</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14443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9214</v>
      </c>
      <c r="D5" s="2791">
        <f>ROUND(C6+C16,0)</f>
        <v>9214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11589</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9270</v>
      </c>
      <c r="D6" s="1370" t="s">
        <v>1683</v>
      </c>
      <c r="E6" s="1371"/>
      <c r="F6" s="1371"/>
      <c r="G6" s="1372"/>
      <c r="H6" s="1372"/>
      <c r="I6" s="1372"/>
      <c r="J6" s="1373"/>
      <c r="K6" s="3231"/>
      <c r="L6" s="1797" t="s">
        <v>2229</v>
      </c>
      <c r="M6" s="1798">
        <f>SUMPRODUCT((区片价!B110:B157=I2)*(区片价!C3:F3=E2)*(区片价!C110:F157))</f>
        <v>9270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9869</v>
      </c>
      <c r="U6" s="2641"/>
      <c r="V6" s="2652">
        <f t="shared" ca="1" si="1"/>
        <v>0</v>
      </c>
      <c r="W6" s="2068"/>
      <c r="X6" s="2068"/>
      <c r="Y6" s="2068"/>
      <c r="Z6" s="2068"/>
      <c r="AA6" s="2068"/>
      <c r="AB6" s="2068"/>
      <c r="AC6" s="2070"/>
      <c r="AD6" s="1366"/>
      <c r="AE6" s="1366"/>
      <c r="AF6" s="1366"/>
      <c r="AG6" s="1366"/>
      <c r="AH6" s="1366"/>
      <c r="AI6" s="1366"/>
      <c r="AJ6" s="1367"/>
    </row>
    <row r="7" spans="1:39" ht="24">
      <c r="A7" s="3645"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8678</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15">
      <c r="A8" s="3646"/>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32" t="s">
        <v>2760</v>
      </c>
      <c r="X8" s="363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46"/>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3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46"/>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3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46"/>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3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45"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3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4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3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47"/>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4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45" t="s">
        <v>1826</v>
      </c>
      <c r="B16" s="1374" t="s">
        <v>939</v>
      </c>
      <c r="C16" s="1037">
        <f>ROUND(IF(F17="与级别开发程度一致",0,(G17-E17)/C17),0)</f>
        <v>-56</v>
      </c>
      <c r="D16" s="3639" t="s">
        <v>943</v>
      </c>
      <c r="E16" s="3640"/>
      <c r="F16" s="3639" t="s">
        <v>940</v>
      </c>
      <c r="G16" s="3640"/>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4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f>基准地价商业!C19</f>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0.96399999999999997</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0.96399999999999997</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0.96399999999999997</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0.96399999999999997</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1.0448999999999999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19878</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12906</v>
      </c>
      <c r="D29" s="1442">
        <f>'数据-基础表'!K13</f>
        <v>15401.814</v>
      </c>
      <c r="E29" s="1761">
        <f ca="1">ROUND(C29*D29/10000,0)</f>
        <v>19878</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3227</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41"/>
      <c r="B33" s="1462" t="s">
        <v>988</v>
      </c>
      <c r="C33" s="1044">
        <f ca="1">ROUND(D5*C19*C20*C24*F33,0)</f>
        <v>9372</v>
      </c>
      <c r="D33" s="1475"/>
      <c r="E33" s="1033">
        <f ca="1">ROUND(C33*D33/10000,0)</f>
        <v>0</v>
      </c>
      <c r="F33" s="1033">
        <f>SUMIF(修正!A45:A56,G2,修正!B45:B56)</f>
        <v>0.7</v>
      </c>
      <c r="G33" s="1033">
        <f t="shared" ref="G33" ca="1" si="6">ROUND(IF(E2="工业",C33*$M$39,C33*$M$38),0)</f>
        <v>2343</v>
      </c>
      <c r="H33" s="1033">
        <f>D33</f>
        <v>0</v>
      </c>
      <c r="I33" s="1033">
        <f ca="1">ROUND(G33*H33/10000,0)</f>
        <v>0</v>
      </c>
      <c r="J33" s="364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42"/>
      <c r="B34" s="1392" t="s">
        <v>989</v>
      </c>
      <c r="C34" s="1044">
        <f ca="1">ROUND(D5*C19*C20*C24*F34,0)</f>
        <v>5355</v>
      </c>
      <c r="D34" s="1475"/>
      <c r="E34" s="1033">
        <f t="shared" ref="E34:E39" ca="1" si="7">ROUND(C34*D34/10000,0)</f>
        <v>0</v>
      </c>
      <c r="F34" s="1033">
        <f>SUMIF(修正!A45:A56,G2,修正!C45:C56)</f>
        <v>0.4</v>
      </c>
      <c r="G34" s="1033">
        <f ca="1">ROUND(IF(E2="工业",C34*$M$39,C34*$M$38),0)</f>
        <v>1339</v>
      </c>
      <c r="H34" s="1033">
        <f t="shared" ref="H34:H39" si="8">D34</f>
        <v>0</v>
      </c>
      <c r="I34" s="1033">
        <f t="shared" ref="I34:I39" ca="1" si="9">ROUND(G34*H34/10000,0)</f>
        <v>0</v>
      </c>
      <c r="J34" s="364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42"/>
      <c r="B35" s="1392" t="s">
        <v>990</v>
      </c>
      <c r="C35" s="1044">
        <f ca="1">ROUND(D5*C19*C20*C24*F35,0)</f>
        <v>3749</v>
      </c>
      <c r="D35" s="1475"/>
      <c r="E35" s="1033">
        <f t="shared" ca="1" si="7"/>
        <v>0</v>
      </c>
      <c r="F35" s="1033">
        <f>SUMIF(修正!A45:A56,G2,修正!D45:D56)</f>
        <v>0.28000000000000003</v>
      </c>
      <c r="G35" s="1033">
        <f ca="1">ROUND(IF(E2="工业",C35*$M$39,C35*$M$38),0)</f>
        <v>937</v>
      </c>
      <c r="H35" s="1033">
        <f t="shared" si="8"/>
        <v>0</v>
      </c>
      <c r="I35" s="1033">
        <f t="shared" ca="1" si="9"/>
        <v>0</v>
      </c>
      <c r="J35" s="364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3"/>
      <c r="B36" s="1392" t="s">
        <v>991</v>
      </c>
      <c r="C36" s="1044">
        <f ca="1">ROUND(D5*C19*C20*C24*F36,0)</f>
        <v>3347</v>
      </c>
      <c r="D36" s="1475"/>
      <c r="E36" s="1033">
        <f t="shared" ca="1" si="7"/>
        <v>0</v>
      </c>
      <c r="F36" s="1033">
        <f>SUMIF(修正!A45:A56,G2,修正!E45:E56)</f>
        <v>0.25</v>
      </c>
      <c r="G36" s="1033">
        <f ca="1">ROUND(IF(E2="工业",C36*$M$39,C36*$M$38),0)</f>
        <v>837</v>
      </c>
      <c r="H36" s="1033">
        <f t="shared" si="8"/>
        <v>0</v>
      </c>
      <c r="I36" s="1033">
        <f t="shared" ca="1" si="9"/>
        <v>0</v>
      </c>
      <c r="J36" s="364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3347</v>
      </c>
      <c r="D37" s="1475"/>
      <c r="E37" s="1033">
        <f t="shared" ca="1" si="7"/>
        <v>0</v>
      </c>
      <c r="F37" s="1044">
        <f>SUMIF(修正!A45:A56,G2,修正!F45:F56)</f>
        <v>0.25</v>
      </c>
      <c r="G37" s="1033">
        <f ca="1">ROUND(IF(E2="工业",C37*$M$39,C37*$M$38),0)</f>
        <v>837</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1.0448999999999999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3074</v>
      </c>
      <c r="D58" s="3399">
        <f t="shared" ref="D58:D66" si="15">SUMIF($J$57:$N$57,C58,J58:N58)</f>
        <v>0</v>
      </c>
      <c r="E58" s="2289">
        <f>ROUND(SUM(D58:D66),4)</f>
        <v>4.4900000000000002E-2</v>
      </c>
      <c r="F58" s="2290">
        <f>IF(E2="办公",SUMIF(L1:L12,G2,N1:N12),"——")</f>
        <v>0.123</v>
      </c>
      <c r="G58" s="2268">
        <f>H58</f>
        <v>1.47E-2</v>
      </c>
      <c r="H58" s="2313">
        <f>IFERROR(ROUNDDOWN($F$58*I58/2,4),"——")</f>
        <v>1.47E-2</v>
      </c>
      <c r="I58" s="2288">
        <v>0.24</v>
      </c>
      <c r="J58" s="3398">
        <f t="shared" ref="J58:J66" si="16">K58+$G58</f>
        <v>2.9399999999999999E-2</v>
      </c>
      <c r="K58" s="3398">
        <f t="shared" ref="K58:K66" si="17">$L58+$G58</f>
        <v>1.47E-2</v>
      </c>
      <c r="L58" s="3398">
        <v>0</v>
      </c>
      <c r="M58" s="3398">
        <f t="shared" ref="M58:N66" si="18">L58-$G58</f>
        <v>-1.47E-2</v>
      </c>
      <c r="N58" s="3398">
        <f t="shared" si="18"/>
        <v>-2.9399999999999999E-2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78" t="s">
        <v>3075</v>
      </c>
      <c r="D59" s="3399">
        <f t="shared" si="15"/>
        <v>1.8449999999999998E-2</v>
      </c>
      <c r="E59" s="2292"/>
      <c r="F59" s="2290"/>
      <c r="G59" s="2268">
        <f t="shared" ref="G59:G66" si="19">H59</f>
        <v>1.8449999999999998E-2</v>
      </c>
      <c r="H59" s="2269">
        <f t="shared" ref="H59:H66" si="20">IFERROR($F$58*I59/2,"——")</f>
        <v>1.8449999999999998E-2</v>
      </c>
      <c r="I59" s="2288">
        <v>0.3</v>
      </c>
      <c r="J59" s="3398">
        <f t="shared" si="16"/>
        <v>3.6899999999999995E-2</v>
      </c>
      <c r="K59" s="3398">
        <f t="shared" si="17"/>
        <v>1.8449999999999998E-2</v>
      </c>
      <c r="L59" s="3398">
        <v>0</v>
      </c>
      <c r="M59" s="3398">
        <f t="shared" si="18"/>
        <v>-1.8449999999999998E-2</v>
      </c>
      <c r="N59" s="3398">
        <f t="shared" si="18"/>
        <v>-3.6899999999999995E-2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3074</v>
      </c>
      <c r="D60" s="3399">
        <f t="shared" si="15"/>
        <v>0</v>
      </c>
      <c r="E60" s="2292"/>
      <c r="F60" s="2290"/>
      <c r="G60" s="2268">
        <f t="shared" si="19"/>
        <v>4.9199999999999999E-3</v>
      </c>
      <c r="H60" s="2269">
        <f t="shared" si="20"/>
        <v>4.9199999999999999E-3</v>
      </c>
      <c r="I60" s="2288">
        <v>0.08</v>
      </c>
      <c r="J60" s="3398">
        <f t="shared" si="16"/>
        <v>9.8399999999999998E-3</v>
      </c>
      <c r="K60" s="3398">
        <f t="shared" si="17"/>
        <v>4.9199999999999999E-3</v>
      </c>
      <c r="L60" s="3398">
        <v>0</v>
      </c>
      <c r="M60" s="3398">
        <f t="shared" si="18"/>
        <v>-4.9199999999999999E-3</v>
      </c>
      <c r="N60" s="3398">
        <f t="shared" si="18"/>
        <v>-9.8399999999999998E-3</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3075</v>
      </c>
      <c r="D61" s="3399">
        <f t="shared" si="15"/>
        <v>2.4599999999999999E-3</v>
      </c>
      <c r="E61" s="2292"/>
      <c r="F61" s="2290"/>
      <c r="G61" s="2268">
        <f t="shared" si="19"/>
        <v>2.4599999999999999E-3</v>
      </c>
      <c r="H61" s="2269">
        <f t="shared" si="20"/>
        <v>2.4599999999999999E-3</v>
      </c>
      <c r="I61" s="2288">
        <v>0.04</v>
      </c>
      <c r="J61" s="3398">
        <f t="shared" si="16"/>
        <v>4.9199999999999999E-3</v>
      </c>
      <c r="K61" s="3398">
        <f t="shared" si="17"/>
        <v>2.4599999999999999E-3</v>
      </c>
      <c r="L61" s="3398">
        <v>0</v>
      </c>
      <c r="M61" s="3398">
        <f t="shared" si="18"/>
        <v>-2.4599999999999999E-3</v>
      </c>
      <c r="N61" s="3398">
        <f t="shared" si="18"/>
        <v>-4.9199999999999999E-3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3081</v>
      </c>
      <c r="D62" s="3399">
        <f t="shared" si="15"/>
        <v>6.1500000000000001E-3</v>
      </c>
      <c r="E62" s="2292"/>
      <c r="F62" s="2290"/>
      <c r="G62" s="2268">
        <f t="shared" si="19"/>
        <v>3.075E-3</v>
      </c>
      <c r="H62" s="2269">
        <f t="shared" si="20"/>
        <v>3.075E-3</v>
      </c>
      <c r="I62" s="2288">
        <v>0.05</v>
      </c>
      <c r="J62" s="3398">
        <f t="shared" si="16"/>
        <v>6.1500000000000001E-3</v>
      </c>
      <c r="K62" s="3398">
        <f t="shared" si="17"/>
        <v>3.075E-3</v>
      </c>
      <c r="L62" s="3398">
        <v>0</v>
      </c>
      <c r="M62" s="3398">
        <f t="shared" si="18"/>
        <v>-3.075E-3</v>
      </c>
      <c r="N62" s="3398">
        <f t="shared" si="18"/>
        <v>-6.1500000000000001E-3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3075</v>
      </c>
      <c r="D63" s="3399">
        <f t="shared" si="15"/>
        <v>3.075E-3</v>
      </c>
      <c r="E63" s="2292"/>
      <c r="F63" s="2290"/>
      <c r="G63" s="2268">
        <f t="shared" si="19"/>
        <v>3.075E-3</v>
      </c>
      <c r="H63" s="2269">
        <f t="shared" si="20"/>
        <v>3.075E-3</v>
      </c>
      <c r="I63" s="2288">
        <v>0.05</v>
      </c>
      <c r="J63" s="3398">
        <f t="shared" si="16"/>
        <v>6.1500000000000001E-3</v>
      </c>
      <c r="K63" s="3398">
        <f t="shared" si="17"/>
        <v>3.075E-3</v>
      </c>
      <c r="L63" s="3398">
        <v>0</v>
      </c>
      <c r="M63" s="3398">
        <f t="shared" si="18"/>
        <v>-3.075E-3</v>
      </c>
      <c r="N63" s="3398">
        <f t="shared" si="18"/>
        <v>-6.1500000000000001E-3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3074</v>
      </c>
      <c r="D64" s="3399">
        <f t="shared" si="15"/>
        <v>0</v>
      </c>
      <c r="E64" s="2292"/>
      <c r="F64" s="2290"/>
      <c r="G64" s="2268">
        <f t="shared" si="19"/>
        <v>3.6899999999999997E-3</v>
      </c>
      <c r="H64" s="2269">
        <f t="shared" si="20"/>
        <v>3.6899999999999997E-3</v>
      </c>
      <c r="I64" s="2288">
        <v>0.06</v>
      </c>
      <c r="J64" s="3398">
        <f t="shared" si="16"/>
        <v>7.3799999999999994E-3</v>
      </c>
      <c r="K64" s="3398">
        <f t="shared" si="17"/>
        <v>3.6899999999999997E-3</v>
      </c>
      <c r="L64" s="3398">
        <v>0</v>
      </c>
      <c r="M64" s="3398">
        <f t="shared" si="18"/>
        <v>-3.6899999999999997E-3</v>
      </c>
      <c r="N64" s="3398">
        <f t="shared" si="18"/>
        <v>-7.3799999999999994E-3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3075</v>
      </c>
      <c r="D65" s="3399">
        <f t="shared" si="15"/>
        <v>7.3799999999999994E-3</v>
      </c>
      <c r="E65" s="2292"/>
      <c r="F65" s="2290"/>
      <c r="G65" s="2268">
        <f t="shared" si="19"/>
        <v>7.3799999999999994E-3</v>
      </c>
      <c r="H65" s="2269">
        <f t="shared" si="20"/>
        <v>7.3799999999999994E-3</v>
      </c>
      <c r="I65" s="2288">
        <v>0.12</v>
      </c>
      <c r="J65" s="3398">
        <f t="shared" si="16"/>
        <v>1.4759999999999999E-2</v>
      </c>
      <c r="K65" s="3398">
        <f t="shared" si="17"/>
        <v>7.3799999999999994E-3</v>
      </c>
      <c r="L65" s="3398">
        <v>0</v>
      </c>
      <c r="M65" s="3398">
        <f t="shared" si="18"/>
        <v>-7.3799999999999994E-3</v>
      </c>
      <c r="N65" s="3398">
        <f t="shared" si="18"/>
        <v>-1.4759999999999999E-2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3081</v>
      </c>
      <c r="D66" s="3399">
        <f t="shared" si="15"/>
        <v>7.3799999999999994E-3</v>
      </c>
      <c r="E66" s="2296"/>
      <c r="F66" s="2290"/>
      <c r="G66" s="2268">
        <f t="shared" si="19"/>
        <v>3.6899999999999997E-3</v>
      </c>
      <c r="H66" s="2269">
        <f t="shared" si="20"/>
        <v>3.6899999999999997E-3</v>
      </c>
      <c r="I66" s="2295">
        <v>0.06</v>
      </c>
      <c r="J66" s="3398">
        <f t="shared" si="16"/>
        <v>7.3799999999999994E-3</v>
      </c>
      <c r="K66" s="3398">
        <f t="shared" si="17"/>
        <v>3.6899999999999997E-3</v>
      </c>
      <c r="L66" s="3398">
        <v>0</v>
      </c>
      <c r="M66" s="3398">
        <f t="shared" si="18"/>
        <v>-3.6899999999999997E-3</v>
      </c>
      <c r="N66" s="3398">
        <f t="shared" si="18"/>
        <v>-7.3799999999999994E-3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50" t="s">
        <v>1622</v>
      </c>
      <c r="B90" s="3650"/>
      <c r="C90" s="3650"/>
      <c r="D90" s="3650"/>
      <c r="E90" s="3650"/>
      <c r="F90" s="3650"/>
      <c r="G90" s="3650"/>
      <c r="H90" s="3650"/>
      <c r="I90" s="3650"/>
      <c r="J90" s="3650"/>
      <c r="K90" s="3278"/>
      <c r="L90" s="3278"/>
      <c r="M90" s="3278"/>
      <c r="N90" s="3278"/>
    </row>
    <row r="91" spans="1:40">
      <c r="A91" s="3651" t="s">
        <v>1432</v>
      </c>
      <c r="B91" s="3651" t="s">
        <v>1623</v>
      </c>
      <c r="C91" s="1121" t="s">
        <v>1624</v>
      </c>
      <c r="D91" s="1122"/>
      <c r="E91" s="1122"/>
      <c r="F91" s="1122"/>
      <c r="G91" s="1122"/>
      <c r="H91" s="1122"/>
      <c r="I91" s="1122"/>
      <c r="J91" s="1123"/>
      <c r="K91" s="1115"/>
      <c r="L91" s="1115"/>
      <c r="M91" s="1115"/>
      <c r="N91" s="1115"/>
    </row>
    <row r="92" spans="1:40">
      <c r="A92" s="3651"/>
      <c r="B92" s="3651"/>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3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3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3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3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3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3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3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3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34"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3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3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3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3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3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3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35"/>
      <c r="B108" s="363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36"/>
      <c r="B109" s="363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44" t="s">
        <v>1628</v>
      </c>
      <c r="B110" s="3644"/>
      <c r="C110" s="3644"/>
      <c r="D110" s="3644"/>
      <c r="E110" s="3644"/>
      <c r="F110" s="3644"/>
      <c r="G110" s="3644"/>
      <c r="H110" s="3644"/>
      <c r="I110" s="3644"/>
      <c r="J110" s="3644"/>
      <c r="K110" s="3277"/>
      <c r="L110" s="3277"/>
      <c r="M110" s="3277"/>
      <c r="N110" s="3277"/>
    </row>
    <row r="112" spans="1:14" ht="12.75" thickBot="1"/>
    <row r="113" spans="1:13" ht="25.5" thickBot="1">
      <c r="A113" s="1001" t="s">
        <v>885</v>
      </c>
      <c r="B113" s="2304">
        <f>G3</f>
        <v>2.8</v>
      </c>
      <c r="C113" s="1002" t="s">
        <v>886</v>
      </c>
      <c r="D113" s="1003">
        <f>SUMPRODUCT((A115:A118=F113)*(B114:M114=H113)*B115:M118)</f>
        <v>0.82030000000000003</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38" priority="5" stopIfTrue="1" operator="notEqual">
      <formula>"——"</formula>
    </cfRule>
  </conditionalFormatting>
  <conditionalFormatting sqref="F58">
    <cfRule type="cellIs" dxfId="137" priority="4" stopIfTrue="1" operator="notEqual">
      <formula>"——"</formula>
    </cfRule>
  </conditionalFormatting>
  <conditionalFormatting sqref="F69">
    <cfRule type="cellIs" dxfId="136" priority="3" stopIfTrue="1" operator="notEqual">
      <formula>"——"</formula>
    </cfRule>
  </conditionalFormatting>
  <conditionalFormatting sqref="F80">
    <cfRule type="cellIs" dxfId="135" priority="2" stopIfTrue="1" operator="notEqual">
      <formula>"——"</formula>
    </cfRule>
  </conditionalFormatting>
  <conditionalFormatting sqref="H58:H66 H47:H55 H69:H77 H80:H87">
    <cfRule type="cellIs" dxfId="13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G1" zoomScale="80" zoomScaleNormal="80" workbookViewId="0">
      <selection activeCell="L27" sqref="L27"/>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664" t="s">
        <v>2554</v>
      </c>
      <c r="C1" s="3664"/>
      <c r="D1" s="3664"/>
      <c r="E1" s="3664"/>
      <c r="F1" s="3664"/>
      <c r="G1" s="3663" t="s">
        <v>2555</v>
      </c>
      <c r="H1" s="3663"/>
      <c r="I1" s="3663"/>
      <c r="J1" s="3663"/>
      <c r="K1" s="3663"/>
      <c r="L1" s="3663"/>
      <c r="N1" s="3663" t="s">
        <v>2556</v>
      </c>
      <c r="O1" s="3663"/>
      <c r="P1" s="3663"/>
      <c r="Q1" s="3663"/>
      <c r="S1" s="3663" t="s">
        <v>2557</v>
      </c>
      <c r="T1" s="3663"/>
      <c r="U1" s="3663"/>
      <c r="V1" s="3663"/>
      <c r="X1" s="3662" t="s">
        <v>2617</v>
      </c>
      <c r="Y1" s="3663"/>
      <c r="Z1" s="3663"/>
      <c r="AA1" s="3663"/>
      <c r="AB1" s="3663"/>
      <c r="AD1" s="3662" t="s">
        <v>2621</v>
      </c>
      <c r="AE1" s="3663"/>
      <c r="AF1" s="3663"/>
      <c r="AG1" s="3663"/>
      <c r="AH1" s="3663"/>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ROUND(AVERAGE($I4:$I34),2)</f>
        <v>1.73</v>
      </c>
      <c r="J3" s="2872">
        <f>ROUND(AVERAGE($J4:$J34),2)</f>
        <v>1.0900000000000001</v>
      </c>
      <c r="K3" s="2872">
        <f>ROUND(AVERAGE($K4:$K34),2)</f>
        <v>1.9</v>
      </c>
      <c r="L3" s="2872">
        <f>ROUND(AVERAGE($L4:$L34),2)</f>
        <v>1.25</v>
      </c>
      <c r="N3" s="2870"/>
      <c r="S3" s="2870"/>
      <c r="W3" s="2874"/>
      <c r="X3" s="2875">
        <f>ROUND(SUMPRODUCT(PRODUCT(1+N3:N$33)),4)</f>
        <v>1.619</v>
      </c>
      <c r="Y3" s="2875">
        <f>ROUND(SUMPRODUCT(PRODUCT(1+O3:O$33)),4)</f>
        <v>1.3491</v>
      </c>
      <c r="Z3" s="2875">
        <f t="shared" ref="Z3" si="0">Y3</f>
        <v>1.3491</v>
      </c>
      <c r="AA3" s="2875">
        <f>ROUND(SUMPRODUCT(PRODUCT(1+P3:P$33)),4)</f>
        <v>1.6988000000000001</v>
      </c>
      <c r="AB3" s="2875">
        <f>ROUND(SUMPRODUCT(PRODUCT(1+Q3:Q$33)),4)</f>
        <v>1.4315</v>
      </c>
      <c r="AD3" s="2876">
        <f>ROUND(AVERAGE(I3:I$34)/100,4)</f>
        <v>1.7299999999999999E-2</v>
      </c>
      <c r="AE3" s="2876">
        <f>ROUND(AVERAGE(J3:J$34)/100,4)</f>
        <v>1.09E-2</v>
      </c>
      <c r="AF3" s="2876">
        <f t="shared" ref="AF3:AF32" si="1">AE3</f>
        <v>1.09E-2</v>
      </c>
      <c r="AG3" s="2876">
        <f>ROUND(AVERAGE(K3:K$34)/100,4)</f>
        <v>1.9E-2</v>
      </c>
      <c r="AH3" s="2876">
        <f>ROUND(AVERAGE(L3:L$34)/100,4)</f>
        <v>1.2500000000000001E-2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2995</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2</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2929</v>
      </c>
      <c r="X5" s="2894">
        <f>ROUND(SUMPRODUCT(PRODUCT(1+N5:N$34)),4)</f>
        <v>1.6671</v>
      </c>
      <c r="Y5" s="2894">
        <f>ROUND(SUMPRODUCT(PRODUCT(1+O5:O$34)),4)</f>
        <v>1.3807</v>
      </c>
      <c r="Z5" s="2894">
        <f t="shared" ref="Z5" si="11">Y5</f>
        <v>1.3807</v>
      </c>
      <c r="AA5" s="2894">
        <f>ROUND(SUMPRODUCT(PRODUCT(1+P5:P$34)),4)</f>
        <v>1.7545999999999999</v>
      </c>
      <c r="AB5" s="2894">
        <f>ROUND(SUMPRODUCT(PRODUCT(1+Q5:Q$34)),4)</f>
        <v>1.4510000000000001</v>
      </c>
      <c r="AD5" s="2895">
        <f>ROUND(AVERAGE(I5:I$34)/100,4)</f>
        <v>1.7299999999999999E-2</v>
      </c>
      <c r="AE5" s="2895">
        <f>ROUND(AVERAGE(J5:J$34)/100,4)</f>
        <v>1.09E-2</v>
      </c>
      <c r="AF5" s="2895">
        <f t="shared" ref="AF5" si="12">AE5</f>
        <v>1.09E-2</v>
      </c>
      <c r="AG5" s="2895">
        <f>ROUND(AVERAGE(K5:K$34)/100,4)</f>
        <v>1.9E-2</v>
      </c>
      <c r="AH5" s="2895">
        <f>ROUND(AVERAGE(L5:L$34)/100,4)</f>
        <v>1.2500000000000001E-2</v>
      </c>
    </row>
    <row r="6" spans="1:34" s="2903" customFormat="1">
      <c r="A6" s="2896" t="s">
        <v>2994</v>
      </c>
      <c r="B6" s="2897">
        <f t="shared" ref="B6" si="13">B7*(1+N6)</f>
        <v>497.92799851020823</v>
      </c>
      <c r="C6" s="2897">
        <f t="shared" ref="C6" si="14">C7*(1+O6)</f>
        <v>347.77173663537445</v>
      </c>
      <c r="D6" s="2897">
        <f t="shared" ref="D6" si="15">C6</f>
        <v>347.77173663537445</v>
      </c>
      <c r="E6" s="2897">
        <f t="shared" ref="E6" si="16">E7*(1+P6)</f>
        <v>718.44695593258189</v>
      </c>
      <c r="F6" s="2897">
        <f t="shared" ref="F6" si="17">F7*(1+Q6)</f>
        <v>329.12600580153247</v>
      </c>
      <c r="G6" s="2880">
        <v>2021</v>
      </c>
      <c r="H6" s="2898">
        <v>1</v>
      </c>
      <c r="I6" s="2860">
        <v>0.97</v>
      </c>
      <c r="J6" s="2860">
        <v>0.16</v>
      </c>
      <c r="K6" s="2860">
        <v>1.1100000000000001</v>
      </c>
      <c r="L6" s="2861">
        <v>0.36</v>
      </c>
      <c r="M6" s="2884"/>
      <c r="N6" s="2899">
        <f t="shared" ref="N6" si="18">I6/100</f>
        <v>9.7000000000000003E-3</v>
      </c>
      <c r="O6" s="2885">
        <f t="shared" ref="O6" si="19">J6/100</f>
        <v>1.6000000000000001E-3</v>
      </c>
      <c r="P6" s="2885">
        <f t="shared" ref="P6" si="20">K6/100</f>
        <v>1.11E-2</v>
      </c>
      <c r="Q6" s="2885">
        <f t="shared" ref="Q6" si="21">L6/100</f>
        <v>3.5999999999999999E-3</v>
      </c>
      <c r="R6" s="2900"/>
      <c r="S6" s="2901">
        <f>B6/B7-1</f>
        <v>9.7000000000000419E-3</v>
      </c>
      <c r="T6" s="2902">
        <f>C6/C7-1</f>
        <v>1.6000000000000458E-3</v>
      </c>
      <c r="U6" s="2902">
        <f>E6/E7-1</f>
        <v>1.110000000000011E-2</v>
      </c>
      <c r="V6" s="2902">
        <f>F6/F7-1</f>
        <v>3.6000000000000476E-3</v>
      </c>
      <c r="W6" s="2884"/>
      <c r="X6" s="2884">
        <f>ROUND(SUMPRODUCT(PRODUCT(1+N6:N$34)),4)</f>
        <v>1.6671</v>
      </c>
      <c r="Y6" s="2884">
        <f>ROUND(SUMPRODUCT(PRODUCT(1+O6:O$34)),4)</f>
        <v>1.3807</v>
      </c>
      <c r="Z6" s="2884">
        <f t="shared" ref="Z6" si="22">Y6</f>
        <v>1.3807</v>
      </c>
      <c r="AA6" s="2884">
        <f>ROUND(SUMPRODUCT(PRODUCT(1+P6:P$34)),4)</f>
        <v>1.7545999999999999</v>
      </c>
      <c r="AB6" s="2884">
        <f>ROUND(SUMPRODUCT(PRODUCT(1+Q6:Q$34)),4)</f>
        <v>1.4510000000000001</v>
      </c>
      <c r="AC6" s="2884"/>
      <c r="AD6" s="2885">
        <f>ROUND(AVERAGE(I6:I$34)/100,4)</f>
        <v>1.7899999999999999E-2</v>
      </c>
      <c r="AE6" s="2885">
        <f>ROUND(AVERAGE(J6:J$34)/100,4)</f>
        <v>1.12E-2</v>
      </c>
      <c r="AF6" s="2885">
        <f t="shared" ref="AF6" si="23">AE6</f>
        <v>1.12E-2</v>
      </c>
      <c r="AG6" s="2885">
        <f>ROUND(AVERAGE(K6:K$34)/100,4)</f>
        <v>1.9699999999999999E-2</v>
      </c>
      <c r="AH6" s="2885">
        <f>ROUND(AVERAGE(L6:L$34)/100,4)</f>
        <v>1.29E-2</v>
      </c>
    </row>
    <row r="7" spans="1:34" s="2903" customFormat="1">
      <c r="A7" s="2896" t="s">
        <v>2993</v>
      </c>
      <c r="B7" s="2897">
        <f t="shared" ref="B7" si="24">B8*(1+N7)</f>
        <v>493.14449689037161</v>
      </c>
      <c r="C7" s="2897">
        <f t="shared" ref="C7" si="25">C8*(1+O7)</f>
        <v>347.21619073020611</v>
      </c>
      <c r="D7" s="2897">
        <f t="shared" ref="D7" si="26">C7</f>
        <v>347.21619073020611</v>
      </c>
      <c r="E7" s="2897">
        <f t="shared" ref="E7" si="27">E8*(1+P7)</f>
        <v>710.55974278763904</v>
      </c>
      <c r="F7" s="2897">
        <f t="shared" ref="F7" si="28">F8*(1+Q7)</f>
        <v>327.94540235306141</v>
      </c>
      <c r="G7" s="2880">
        <v>2020</v>
      </c>
      <c r="H7" s="2898">
        <v>4</v>
      </c>
      <c r="I7" s="2860">
        <v>2.0699999999999998</v>
      </c>
      <c r="J7" s="2860">
        <v>0.37</v>
      </c>
      <c r="K7" s="2860">
        <v>2.35</v>
      </c>
      <c r="L7" s="2861">
        <v>2.69</v>
      </c>
      <c r="M7" s="2884"/>
      <c r="N7" s="2899">
        <f t="shared" ref="N7" si="29">I7/100</f>
        <v>2.07E-2</v>
      </c>
      <c r="O7" s="2885">
        <f t="shared" ref="O7" si="30">J7/100</f>
        <v>3.7000000000000002E-3</v>
      </c>
      <c r="P7" s="2885">
        <f t="shared" ref="P7" si="31">K7/100</f>
        <v>2.35E-2</v>
      </c>
      <c r="Q7" s="2885">
        <f t="shared" ref="Q7" si="32">L7/100</f>
        <v>2.69E-2</v>
      </c>
      <c r="R7" s="2900"/>
      <c r="S7" s="2901"/>
      <c r="T7" s="2902"/>
      <c r="U7" s="2902"/>
      <c r="V7" s="2902"/>
      <c r="W7" s="2884"/>
      <c r="X7" s="2884">
        <f>ROUND(SUMPRODUCT(PRODUCT(1+N7:N$34)),4)</f>
        <v>1.6511</v>
      </c>
      <c r="Y7" s="2884">
        <f>ROUND(SUMPRODUCT(PRODUCT(1+O7:O$34)),4)</f>
        <v>1.3785000000000001</v>
      </c>
      <c r="Z7" s="2884">
        <f t="shared" ref="Z7" si="33">Y7</f>
        <v>1.3785000000000001</v>
      </c>
      <c r="AA7" s="2884">
        <f>ROUND(SUMPRODUCT(PRODUCT(1+P7:P$34)),4)</f>
        <v>1.7353000000000001</v>
      </c>
      <c r="AB7" s="2884">
        <f>ROUND(SUMPRODUCT(PRODUCT(1+Q7:Q$34)),4)</f>
        <v>1.4458</v>
      </c>
      <c r="AC7" s="2884"/>
      <c r="AD7" s="2885">
        <f>ROUND(AVERAGE(I7:I$34)/100,4)</f>
        <v>1.8200000000000001E-2</v>
      </c>
      <c r="AE7" s="2885">
        <f>ROUND(AVERAGE(J7:J$34)/100,4)</f>
        <v>1.1599999999999999E-2</v>
      </c>
      <c r="AF7" s="2885">
        <f t="shared" ref="AF7" si="34">AE7</f>
        <v>1.1599999999999999E-2</v>
      </c>
      <c r="AG7" s="2885">
        <f>ROUND(AVERAGE(K7:K$34)/100,4)</f>
        <v>0.02</v>
      </c>
      <c r="AH7" s="2885">
        <f>ROUND(AVERAGE(L7:L$34)/100,4)</f>
        <v>1.3299999999999999E-2</v>
      </c>
    </row>
    <row r="8" spans="1:34" s="2903" customFormat="1">
      <c r="A8" s="2896" t="s">
        <v>2992</v>
      </c>
      <c r="B8" s="2897">
        <f t="shared" ref="B8" si="35">B9*(1+N8)</f>
        <v>483.1434279321756</v>
      </c>
      <c r="C8" s="2897">
        <f t="shared" ref="C8" si="36">C9*(1+O8)</f>
        <v>345.93622669144776</v>
      </c>
      <c r="D8" s="2897">
        <f t="shared" ref="D8" si="37">C8</f>
        <v>345.93622669144776</v>
      </c>
      <c r="E8" s="2897">
        <f t="shared" ref="E8" si="38">E9*(1+P8)</f>
        <v>694.24498562544113</v>
      </c>
      <c r="F8" s="2897">
        <f t="shared" ref="F8" si="39">F9*(1+Q8)</f>
        <v>319.35475932716082</v>
      </c>
      <c r="G8" s="2880">
        <v>2020</v>
      </c>
      <c r="H8" s="2898">
        <v>3</v>
      </c>
      <c r="I8" s="2860">
        <v>0.36</v>
      </c>
      <c r="J8" s="2860">
        <v>-0.39</v>
      </c>
      <c r="K8" s="2860">
        <v>0.49</v>
      </c>
      <c r="L8" s="2861">
        <v>7.0000000000000007E-2</v>
      </c>
      <c r="M8" s="2884"/>
      <c r="N8" s="2899">
        <f t="shared" ref="N8" si="40">I8/100</f>
        <v>3.5999999999999999E-3</v>
      </c>
      <c r="O8" s="2885">
        <f t="shared" ref="O8" si="41">J8/100</f>
        <v>-3.9000000000000003E-3</v>
      </c>
      <c r="P8" s="2885">
        <f t="shared" ref="P8" si="42">K8/100</f>
        <v>4.8999999999999998E-3</v>
      </c>
      <c r="Q8" s="2885">
        <f t="shared" ref="Q8" si="43">L8/100</f>
        <v>7.000000000000001E-4</v>
      </c>
      <c r="R8" s="2900"/>
      <c r="S8" s="2901"/>
      <c r="T8" s="2902"/>
      <c r="U8" s="2902"/>
      <c r="V8" s="2902"/>
      <c r="W8" s="2884"/>
      <c r="X8" s="2884">
        <f>ROUND(SUMPRODUCT(PRODUCT(1+N8:N$34)),4)</f>
        <v>1.6175999999999999</v>
      </c>
      <c r="Y8" s="2884">
        <f>ROUND(SUMPRODUCT(PRODUCT(1+O8:O$34)),4)</f>
        <v>1.3734</v>
      </c>
      <c r="Z8" s="2884">
        <f t="shared" ref="Z8" si="44">Y8</f>
        <v>1.3734</v>
      </c>
      <c r="AA8" s="2884">
        <f>ROUND(SUMPRODUCT(PRODUCT(1+P8:P$34)),4)</f>
        <v>1.6955</v>
      </c>
      <c r="AB8" s="2884">
        <f>ROUND(SUMPRODUCT(PRODUCT(1+Q8:Q$34)),4)</f>
        <v>1.4078999999999999</v>
      </c>
      <c r="AC8" s="2884"/>
      <c r="AD8" s="2885">
        <f>ROUND(AVERAGE(I8:I$34)/100,4)</f>
        <v>1.8100000000000002E-2</v>
      </c>
      <c r="AE8" s="2885">
        <f>ROUND(AVERAGE(J8:J$34)/100,4)</f>
        <v>1.1900000000000001E-2</v>
      </c>
      <c r="AF8" s="2885">
        <f t="shared" ref="AF8" si="45">AE8</f>
        <v>1.1900000000000001E-2</v>
      </c>
      <c r="AG8" s="2885">
        <f>ROUND(AVERAGE(K8:K$34)/100,4)</f>
        <v>1.9900000000000001E-2</v>
      </c>
      <c r="AH8" s="2885">
        <f>ROUND(AVERAGE(L8:L$34)/100,4)</f>
        <v>1.2800000000000001E-2</v>
      </c>
    </row>
    <row r="9" spans="1:34" s="2903" customFormat="1">
      <c r="A9" s="2896" t="s">
        <v>2955</v>
      </c>
      <c r="B9" s="2897">
        <f t="shared" ref="B9" si="46">B10*(1+N9)</f>
        <v>481.4103506697644</v>
      </c>
      <c r="C9" s="2897">
        <f t="shared" ref="C9" si="47">C10*(1+O9)</f>
        <v>347.29066026648707</v>
      </c>
      <c r="D9" s="2897">
        <f t="shared" ref="D9" si="48">C9</f>
        <v>347.29066026648707</v>
      </c>
      <c r="E9" s="2897">
        <f t="shared" ref="E9" si="49">E10*(1+P9)</f>
        <v>690.85977273901995</v>
      </c>
      <c r="F9" s="2897">
        <f t="shared" ref="F9" si="50">F10*(1+Q9)</f>
        <v>319.13136737000184</v>
      </c>
      <c r="G9" s="2880">
        <v>2020</v>
      </c>
      <c r="H9" s="2898">
        <v>2</v>
      </c>
      <c r="I9" s="2860">
        <v>0.31</v>
      </c>
      <c r="J9" s="2860">
        <v>-0.78</v>
      </c>
      <c r="K9" s="2860">
        <v>0.5</v>
      </c>
      <c r="L9" s="2861">
        <v>0.47</v>
      </c>
      <c r="M9" s="2884"/>
      <c r="N9" s="2899">
        <f t="shared" ref="N9" si="51">I9/100</f>
        <v>3.0999999999999999E-3</v>
      </c>
      <c r="O9" s="2885">
        <f t="shared" ref="O9" si="52">J9/100</f>
        <v>-7.8000000000000005E-3</v>
      </c>
      <c r="P9" s="2885">
        <f t="shared" ref="P9" si="53">K9/100</f>
        <v>5.0000000000000001E-3</v>
      </c>
      <c r="Q9" s="2885">
        <f t="shared" ref="Q9" si="54">L9/100</f>
        <v>4.6999999999999993E-3</v>
      </c>
      <c r="R9" s="2900"/>
      <c r="S9" s="2901"/>
      <c r="T9" s="2902"/>
      <c r="U9" s="2902"/>
      <c r="V9" s="2902"/>
      <c r="W9" s="2884"/>
      <c r="X9" s="2884">
        <f>ROUND(SUMPRODUCT(PRODUCT(1+N9:N$34)),4)</f>
        <v>1.6117999999999999</v>
      </c>
      <c r="Y9" s="2884">
        <f>ROUND(SUMPRODUCT(PRODUCT(1+O9:O$34)),4)</f>
        <v>1.3788</v>
      </c>
      <c r="Z9" s="2884">
        <f t="shared" ref="Z9" si="55">Y9</f>
        <v>1.3788</v>
      </c>
      <c r="AA9" s="2884">
        <f>ROUND(SUMPRODUCT(PRODUCT(1+P9:P$34)),4)</f>
        <v>1.6872</v>
      </c>
      <c r="AB9" s="2884">
        <f>ROUND(SUMPRODUCT(PRODUCT(1+Q9:Q$34)),4)</f>
        <v>1.4069</v>
      </c>
      <c r="AC9" s="2884"/>
      <c r="AD9" s="2885">
        <f>ROUND(AVERAGE(I9:I$34)/100,4)</f>
        <v>1.8599999999999998E-2</v>
      </c>
      <c r="AE9" s="2885">
        <f>ROUND(AVERAGE(J9:J$34)/100,4)</f>
        <v>1.2500000000000001E-2</v>
      </c>
      <c r="AF9" s="2885">
        <f t="shared" ref="AF9" si="56">AE9</f>
        <v>1.2500000000000001E-2</v>
      </c>
      <c r="AG9" s="2885">
        <f>ROUND(AVERAGE(K9:K$34)/100,4)</f>
        <v>2.0400000000000001E-2</v>
      </c>
      <c r="AH9" s="2885">
        <f>ROUND(AVERAGE(L9:L$34)/100,4)</f>
        <v>1.32E-2</v>
      </c>
    </row>
    <row r="10" spans="1:34" s="2903" customFormat="1">
      <c r="A10" s="2896" t="s">
        <v>2953</v>
      </c>
      <c r="B10" s="2897">
        <f t="shared" ref="B10" si="57">B11*(1+N10)</f>
        <v>479.92259063878413</v>
      </c>
      <c r="C10" s="2897">
        <f t="shared" ref="C10" si="58">C11*(1+O10)</f>
        <v>350.02082268341775</v>
      </c>
      <c r="D10" s="2897">
        <f t="shared" ref="D10" si="59">C10</f>
        <v>350.02082268341775</v>
      </c>
      <c r="E10" s="2897">
        <f t="shared" ref="E10" si="60">E11*(1+P10)</f>
        <v>687.42265944181099</v>
      </c>
      <c r="F10" s="2897">
        <f t="shared" ref="F10" si="61">F11*(1+Q10)</f>
        <v>317.63846657708956</v>
      </c>
      <c r="G10" s="2880">
        <v>2020</v>
      </c>
      <c r="H10" s="2898">
        <v>1</v>
      </c>
      <c r="I10" s="2860">
        <v>0.12</v>
      </c>
      <c r="J10" s="2860">
        <v>-0.4</v>
      </c>
      <c r="K10" s="2860">
        <v>0.21</v>
      </c>
      <c r="L10" s="2861">
        <v>0.27</v>
      </c>
      <c r="M10" s="2884"/>
      <c r="N10" s="2899">
        <f t="shared" ref="N10" si="62">I10/100</f>
        <v>1.1999999999999999E-3</v>
      </c>
      <c r="O10" s="2885">
        <f t="shared" ref="O10" si="63">J10/100</f>
        <v>-4.0000000000000001E-3</v>
      </c>
      <c r="P10" s="2885">
        <f t="shared" ref="P10" si="64">K10/100</f>
        <v>2.0999999999999999E-3</v>
      </c>
      <c r="Q10" s="2885">
        <f t="shared" ref="Q10" si="65">L10/100</f>
        <v>2.7000000000000001E-3</v>
      </c>
      <c r="R10" s="2900"/>
      <c r="S10" s="2901">
        <f>B10/B11-1</f>
        <v>1.2000000000000899E-3</v>
      </c>
      <c r="T10" s="2902">
        <f>C10/C11-1</f>
        <v>-4.0000000000000036E-3</v>
      </c>
      <c r="U10" s="2902">
        <f>E10/E11-1</f>
        <v>2.0999999999999908E-3</v>
      </c>
      <c r="V10" s="2902">
        <f>F10/F11-1</f>
        <v>2.6999999999999247E-3</v>
      </c>
      <c r="W10" s="2884"/>
      <c r="X10" s="2884">
        <f>ROUND(SUMPRODUCT(PRODUCT(1+N10:N$34)),4)</f>
        <v>1.6068</v>
      </c>
      <c r="Y10" s="2884">
        <f>ROUND(SUMPRODUCT(PRODUCT(1+O10:O$34)),4)</f>
        <v>1.3895999999999999</v>
      </c>
      <c r="Z10" s="2884">
        <f t="shared" ref="Z10:Z33" si="66">Y10</f>
        <v>1.3895999999999999</v>
      </c>
      <c r="AA10" s="2884">
        <f>ROUND(SUMPRODUCT(PRODUCT(1+P10:P$34)),4)</f>
        <v>1.6788000000000001</v>
      </c>
      <c r="AB10" s="2884">
        <f>ROUND(SUMPRODUCT(PRODUCT(1+Q10:Q$34)),4)</f>
        <v>1.4004000000000001</v>
      </c>
      <c r="AC10" s="2884"/>
      <c r="AD10" s="2885">
        <f>ROUND(AVERAGE(I10:I$34)/100,4)</f>
        <v>1.9199999999999998E-2</v>
      </c>
      <c r="AE10" s="2885">
        <f>ROUND(AVERAGE(J10:J$34)/100,4)</f>
        <v>1.3299999999999999E-2</v>
      </c>
      <c r="AF10" s="2885">
        <f t="shared" ref="AF10" si="67">AE10</f>
        <v>1.3299999999999999E-2</v>
      </c>
      <c r="AG10" s="2885">
        <f>ROUND(AVERAGE(K10:K$34)/100,4)</f>
        <v>2.1100000000000001E-2</v>
      </c>
      <c r="AH10" s="2885">
        <f>ROUND(AVERAGE(L10:L$34)/100,4)</f>
        <v>1.3599999999999999E-2</v>
      </c>
    </row>
    <row r="11" spans="1:34" s="2903" customFormat="1">
      <c r="A11" s="2896" t="s">
        <v>2950</v>
      </c>
      <c r="B11" s="2897">
        <f t="shared" ref="B11" si="68">B12*(1+N11)</f>
        <v>479.34737379023579</v>
      </c>
      <c r="C11" s="2897">
        <f t="shared" ref="C11" si="69">C12*(1+O11)</f>
        <v>351.4265287986122</v>
      </c>
      <c r="D11" s="2897">
        <f t="shared" ref="D11" si="70">C11</f>
        <v>351.4265287986122</v>
      </c>
      <c r="E11" s="2897">
        <f t="shared" ref="E11" si="71">E12*(1+P11)</f>
        <v>685.98209703803116</v>
      </c>
      <c r="F11" s="2897">
        <f t="shared" ref="F11" si="72">F12*(1+Q11)</f>
        <v>316.78315206651001</v>
      </c>
      <c r="G11" s="2880">
        <v>2019</v>
      </c>
      <c r="H11" s="2898">
        <v>4</v>
      </c>
      <c r="I11" s="2898">
        <v>0.45</v>
      </c>
      <c r="J11" s="2898">
        <v>-0.12</v>
      </c>
      <c r="K11" s="2898">
        <v>0.54</v>
      </c>
      <c r="L11" s="2904">
        <v>0.48</v>
      </c>
      <c r="M11" s="2884"/>
      <c r="N11" s="2899">
        <f t="shared" ref="N11" si="73">I11/100</f>
        <v>4.5000000000000005E-3</v>
      </c>
      <c r="O11" s="2885">
        <f t="shared" ref="O11" si="74">J11/100</f>
        <v>-1.1999999999999999E-3</v>
      </c>
      <c r="P11" s="2885">
        <f t="shared" ref="P11" si="75">K11/100</f>
        <v>5.4000000000000003E-3</v>
      </c>
      <c r="Q11" s="2885">
        <f t="shared" ref="Q11" si="76">L11/100</f>
        <v>4.7999999999999996E-3</v>
      </c>
      <c r="R11" s="2900"/>
      <c r="S11" s="2901"/>
      <c r="T11" s="2902"/>
      <c r="U11" s="2902"/>
      <c r="V11" s="2902"/>
      <c r="W11" s="2884"/>
      <c r="X11" s="2884">
        <f>ROUND(SUMPRODUCT(PRODUCT(1+N11:N$34)),4)</f>
        <v>1.6049</v>
      </c>
      <c r="Y11" s="2884">
        <f>ROUND(SUMPRODUCT(PRODUCT(1+O11:O$34)),4)</f>
        <v>1.3952</v>
      </c>
      <c r="Z11" s="2884">
        <f t="shared" si="66"/>
        <v>1.3952</v>
      </c>
      <c r="AA11" s="2884">
        <f>ROUND(SUMPRODUCT(PRODUCT(1+P11:P$34)),4)</f>
        <v>1.6753</v>
      </c>
      <c r="AB11" s="2884">
        <f>ROUND(SUMPRODUCT(PRODUCT(1+Q11:Q$34)),4)</f>
        <v>1.3966000000000001</v>
      </c>
      <c r="AC11" s="2884"/>
      <c r="AD11" s="2885">
        <f>ROUND(AVERAGE(I11:I$34)/100,4)</f>
        <v>0.02</v>
      </c>
      <c r="AE11" s="2885">
        <f>ROUND(AVERAGE(J11:J$34)/100,4)</f>
        <v>1.4E-2</v>
      </c>
      <c r="AF11" s="2885">
        <f t="shared" ref="AF11" si="77">AE11</f>
        <v>1.4E-2</v>
      </c>
      <c r="AG11" s="2885">
        <f>ROUND(AVERAGE(K11:K$34)/100,4)</f>
        <v>2.1899999999999999E-2</v>
      </c>
      <c r="AH11" s="2885">
        <f>ROUND(AVERAGE(L11:L$34)/100,4)</f>
        <v>1.4E-2</v>
      </c>
    </row>
    <row r="12" spans="1:34" s="2903" customFormat="1" ht="13.5" thickBot="1">
      <c r="A12" s="2896" t="s">
        <v>2949</v>
      </c>
      <c r="B12" s="2897">
        <f t="shared" ref="B12" si="78">B13*(1+N12)</f>
        <v>477.19997390765138</v>
      </c>
      <c r="C12" s="2897">
        <f t="shared" ref="C12" si="79">C13*(1+O12)</f>
        <v>351.84874729536665</v>
      </c>
      <c r="D12" s="2897">
        <f t="shared" ref="D12" si="80">C12</f>
        <v>351.84874729536665</v>
      </c>
      <c r="E12" s="2897">
        <f t="shared" ref="E12" si="81">E13*(1+P12)</f>
        <v>682.29768951465201</v>
      </c>
      <c r="F12" s="2897">
        <f t="shared" ref="F12" si="82">F13*(1+Q12)</f>
        <v>315.26985675409043</v>
      </c>
      <c r="G12" s="2880">
        <v>2019</v>
      </c>
      <c r="H12" s="2898">
        <v>3</v>
      </c>
      <c r="I12" s="2898">
        <v>0.61</v>
      </c>
      <c r="J12" s="2898">
        <v>0.67</v>
      </c>
      <c r="K12" s="2898">
        <v>0.6</v>
      </c>
      <c r="L12" s="2904">
        <v>1.03</v>
      </c>
      <c r="M12" s="2884"/>
      <c r="N12" s="2899">
        <f t="shared" ref="N12" si="83">I12/100</f>
        <v>6.0999999999999995E-3</v>
      </c>
      <c r="O12" s="2885">
        <f t="shared" ref="O12" si="84">J12/100</f>
        <v>6.7000000000000002E-3</v>
      </c>
      <c r="P12" s="2885">
        <f t="shared" ref="P12" si="85">K12/100</f>
        <v>6.0000000000000001E-3</v>
      </c>
      <c r="Q12" s="2885">
        <f t="shared" ref="Q12" si="86">L12/100</f>
        <v>1.03E-2</v>
      </c>
      <c r="R12" s="2900"/>
      <c r="S12" s="2901"/>
      <c r="T12" s="2902"/>
      <c r="U12" s="2902"/>
      <c r="V12" s="2902"/>
      <c r="W12" s="2884"/>
      <c r="X12" s="2884">
        <f>ROUND(SUMPRODUCT(PRODUCT(1+N12:N$34)),4)</f>
        <v>1.5976999999999999</v>
      </c>
      <c r="Y12" s="2884">
        <f>ROUND(SUMPRODUCT(PRODUCT(1+O12:O$34)),4)</f>
        <v>1.3969</v>
      </c>
      <c r="Z12" s="2884">
        <f t="shared" si="66"/>
        <v>1.3969</v>
      </c>
      <c r="AA12" s="2884">
        <f>ROUND(SUMPRODUCT(PRODUCT(1+P12:P$34)),4)</f>
        <v>1.6662999999999999</v>
      </c>
      <c r="AB12" s="2884">
        <f>ROUND(SUMPRODUCT(PRODUCT(1+Q12:Q$34)),4)</f>
        <v>1.3898999999999999</v>
      </c>
      <c r="AC12" s="2884"/>
      <c r="AD12" s="2885">
        <f>ROUND(AVERAGE(I12:I$34)/100,4)</f>
        <v>2.07E-2</v>
      </c>
      <c r="AE12" s="2885">
        <f>ROUND(AVERAGE(J12:J$34)/100,4)</f>
        <v>1.47E-2</v>
      </c>
      <c r="AF12" s="2885">
        <f t="shared" ref="AF12" si="87">AE12</f>
        <v>1.47E-2</v>
      </c>
      <c r="AG12" s="2885">
        <f>ROUND(AVERAGE(K12:K$34)/100,4)</f>
        <v>2.2599999999999999E-2</v>
      </c>
      <c r="AH12" s="2885">
        <f>ROUND(AVERAGE(L12:L$34)/100,4)</f>
        <v>1.44E-2</v>
      </c>
    </row>
    <row r="13" spans="1:34" s="2903" customFormat="1">
      <c r="A13" s="2896" t="s">
        <v>2948</v>
      </c>
      <c r="B13" s="2897">
        <f t="shared" ref="B13:B18" si="88">B14*(1+N13)</f>
        <v>474.30670301923408</v>
      </c>
      <c r="C13" s="2897">
        <f t="shared" ref="C13" si="89">C14*(1+O13)</f>
        <v>349.50705005996491</v>
      </c>
      <c r="D13" s="2897">
        <f t="shared" ref="D13" si="90">C13</f>
        <v>349.50705005996491</v>
      </c>
      <c r="E13" s="2897">
        <f t="shared" ref="E13" si="91">E14*(1+P13)</f>
        <v>678.22831959706957</v>
      </c>
      <c r="F13" s="2897">
        <f t="shared" ref="F13" si="92">F14*(1+Q13)</f>
        <v>312.0556832169558</v>
      </c>
      <c r="G13" s="2880">
        <v>2019</v>
      </c>
      <c r="H13" s="2905">
        <v>2</v>
      </c>
      <c r="I13" s="2905">
        <v>1.53</v>
      </c>
      <c r="J13" s="2905">
        <v>1.01</v>
      </c>
      <c r="K13" s="2905">
        <v>1.62</v>
      </c>
      <c r="L13" s="2906">
        <v>1.25</v>
      </c>
      <c r="M13" s="2884"/>
      <c r="N13" s="2899">
        <f t="shared" ref="N13" si="93">I13/100</f>
        <v>1.5300000000000001E-2</v>
      </c>
      <c r="O13" s="2885">
        <f t="shared" ref="O13" si="94">J13/100</f>
        <v>1.01E-2</v>
      </c>
      <c r="P13" s="2885">
        <f t="shared" ref="P13" si="95">K13/100</f>
        <v>1.6200000000000003E-2</v>
      </c>
      <c r="Q13" s="2885">
        <f t="shared" ref="Q13" si="96">L13/100</f>
        <v>1.2500000000000001E-2</v>
      </c>
      <c r="R13" s="2900"/>
      <c r="S13" s="2901"/>
      <c r="T13" s="2902"/>
      <c r="U13" s="2902"/>
      <c r="V13" s="2902"/>
      <c r="W13" s="2884"/>
      <c r="X13" s="2884">
        <f>ROUND(SUMPRODUCT(PRODUCT(1+N13:N$34)),4)</f>
        <v>1.5880000000000001</v>
      </c>
      <c r="Y13" s="2884">
        <f>ROUND(SUMPRODUCT(PRODUCT(1+O13:O$34)),4)</f>
        <v>1.3875999999999999</v>
      </c>
      <c r="Z13" s="2884">
        <f t="shared" si="66"/>
        <v>1.3875999999999999</v>
      </c>
      <c r="AA13" s="2884">
        <f>ROUND(SUMPRODUCT(PRODUCT(1+P13:P$34)),4)</f>
        <v>1.6563000000000001</v>
      </c>
      <c r="AB13" s="2884">
        <f>ROUND(SUMPRODUCT(PRODUCT(1+Q13:Q$34)),4)</f>
        <v>1.3756999999999999</v>
      </c>
      <c r="AC13" s="2884"/>
      <c r="AD13" s="2885">
        <f>ROUND(AVERAGE(I13:I$34)/100,4)</f>
        <v>2.1299999999999999E-2</v>
      </c>
      <c r="AE13" s="2885">
        <f>ROUND(AVERAGE(J13:J$34)/100,4)</f>
        <v>1.4999999999999999E-2</v>
      </c>
      <c r="AF13" s="2885">
        <f t="shared" ref="AF13" si="97">AE13</f>
        <v>1.4999999999999999E-2</v>
      </c>
      <c r="AG13" s="2885">
        <f>ROUND(AVERAGE(K13:K$34)/100,4)</f>
        <v>2.3300000000000001E-2</v>
      </c>
      <c r="AH13" s="2885">
        <f>ROUND(AVERAGE(L13:L$34)/100,4)</f>
        <v>1.46E-2</v>
      </c>
    </row>
    <row r="14" spans="1:34" s="2903" customFormat="1" ht="13.5" thickBot="1">
      <c r="A14" s="2896" t="s">
        <v>2947</v>
      </c>
      <c r="B14" s="2897">
        <f t="shared" si="88"/>
        <v>467.15916775261894</v>
      </c>
      <c r="C14" s="2897">
        <f t="shared" ref="C14" si="98">C15*(1+O14)</f>
        <v>346.01232557169084</v>
      </c>
      <c r="D14" s="2897">
        <f t="shared" ref="D14" si="99">C14</f>
        <v>346.01232557169084</v>
      </c>
      <c r="E14" s="2897">
        <f t="shared" ref="E14" si="100">E15*(1+P14)</f>
        <v>667.41617752122568</v>
      </c>
      <c r="F14" s="2897">
        <f t="shared" ref="F14" si="101">F15*(1+Q14)</f>
        <v>308.20314391798104</v>
      </c>
      <c r="G14" s="2880">
        <v>2019</v>
      </c>
      <c r="H14" s="2898">
        <v>1</v>
      </c>
      <c r="I14" s="2898">
        <v>0.6</v>
      </c>
      <c r="J14" s="2898">
        <v>0.37</v>
      </c>
      <c r="K14" s="2898">
        <v>0.63</v>
      </c>
      <c r="L14" s="2904">
        <v>1.1299999999999999</v>
      </c>
      <c r="M14" s="2884"/>
      <c r="N14" s="2899">
        <f t="shared" ref="N14" si="102">I14/100</f>
        <v>6.0000000000000001E-3</v>
      </c>
      <c r="O14" s="2885">
        <f t="shared" ref="O14" si="103">J14/100</f>
        <v>3.7000000000000002E-3</v>
      </c>
      <c r="P14" s="2885">
        <f t="shared" ref="P14" si="104">K14/100</f>
        <v>6.3E-3</v>
      </c>
      <c r="Q14" s="2885">
        <f t="shared" ref="Q14" si="105">L14/100</f>
        <v>1.1299999999999999E-2</v>
      </c>
      <c r="R14" s="2900"/>
      <c r="S14" s="2901">
        <f>B14/B15-1</f>
        <v>6.0000000000000053E-3</v>
      </c>
      <c r="T14" s="2902">
        <f>C14/C15-1</f>
        <v>3.7000000000000366E-3</v>
      </c>
      <c r="U14" s="2902">
        <f>E14/E15-1</f>
        <v>6.2999999999999723E-3</v>
      </c>
      <c r="V14" s="2902">
        <f>F14/F15-1</f>
        <v>1.1300000000000088E-2</v>
      </c>
      <c r="W14" s="2884"/>
      <c r="X14" s="2884">
        <f>ROUND(SUMPRODUCT(PRODUCT(1+N14:N$34)),4)</f>
        <v>1.5641</v>
      </c>
      <c r="Y14" s="2884">
        <f>ROUND(SUMPRODUCT(PRODUCT(1+O14:O$34)),4)</f>
        <v>1.3736999999999999</v>
      </c>
      <c r="Z14" s="2884">
        <f t="shared" si="66"/>
        <v>1.3736999999999999</v>
      </c>
      <c r="AA14" s="2884">
        <f>ROUND(SUMPRODUCT(PRODUCT(1+P14:P$34)),4)</f>
        <v>1.6298999999999999</v>
      </c>
      <c r="AB14" s="2884">
        <f>ROUND(SUMPRODUCT(PRODUCT(1+Q14:Q$34)),4)</f>
        <v>1.3588</v>
      </c>
      <c r="AC14" s="2884"/>
      <c r="AD14" s="2885">
        <f>ROUND(AVERAGE(I14:I$34)/100,4)</f>
        <v>2.1600000000000001E-2</v>
      </c>
      <c r="AE14" s="2885">
        <f>ROUND(AVERAGE(J14:J$34)/100,4)</f>
        <v>1.5299999999999999E-2</v>
      </c>
      <c r="AF14" s="2885">
        <f t="shared" ref="AF14" si="106">AE14</f>
        <v>1.5299999999999999E-2</v>
      </c>
      <c r="AG14" s="2885">
        <f>ROUND(AVERAGE(K14:K$34)/100,4)</f>
        <v>2.3699999999999999E-2</v>
      </c>
      <c r="AH14" s="2885">
        <f>ROUND(AVERAGE(L14:L$34)/100,4)</f>
        <v>1.47E-2</v>
      </c>
    </row>
    <row r="15" spans="1:34" s="2903" customFormat="1">
      <c r="A15" s="2896" t="s">
        <v>2945</v>
      </c>
      <c r="B15" s="2907">
        <f t="shared" si="88"/>
        <v>464.37293017158942</v>
      </c>
      <c r="C15" s="2907">
        <f t="shared" ref="C15" si="107">C16*(1+O15)</f>
        <v>344.73679941385956</v>
      </c>
      <c r="D15" s="2907">
        <f t="shared" ref="D15" si="108">C15</f>
        <v>344.73679941385956</v>
      </c>
      <c r="E15" s="2907">
        <f t="shared" ref="E15" si="109">E16*(1+P15)</f>
        <v>663.2377795103107</v>
      </c>
      <c r="F15" s="2908">
        <f t="shared" ref="F15" si="110">F16*(1+Q15)</f>
        <v>304.75936311478398</v>
      </c>
      <c r="G15" s="3658">
        <v>2018</v>
      </c>
      <c r="H15" s="2905">
        <v>4</v>
      </c>
      <c r="I15" s="2905">
        <v>0.96</v>
      </c>
      <c r="J15" s="2905">
        <v>1.03</v>
      </c>
      <c r="K15" s="2905">
        <v>0.92</v>
      </c>
      <c r="L15" s="2906">
        <v>1.29</v>
      </c>
      <c r="M15" s="2884"/>
      <c r="N15" s="2899">
        <f t="shared" ref="N15" si="111">I15/100</f>
        <v>9.5999999999999992E-3</v>
      </c>
      <c r="O15" s="2885">
        <f t="shared" ref="O15" si="112">J15/100</f>
        <v>1.03E-2</v>
      </c>
      <c r="P15" s="2885">
        <f t="shared" ref="P15" si="113">K15/100</f>
        <v>9.1999999999999998E-3</v>
      </c>
      <c r="Q15" s="2885">
        <f t="shared" ref="Q15" si="114">L15/100</f>
        <v>1.29E-2</v>
      </c>
      <c r="R15" s="2900"/>
      <c r="S15" s="2909"/>
      <c r="T15" s="2910"/>
      <c r="U15" s="2910"/>
      <c r="V15" s="2910"/>
      <c r="W15" s="2884"/>
      <c r="X15" s="2884">
        <f>ROUND(SUMPRODUCT(PRODUCT(1+N15:N$34)),4)</f>
        <v>1.5548</v>
      </c>
      <c r="Y15" s="2884">
        <f>ROUND(SUMPRODUCT(PRODUCT(1+O15:O$34)),4)</f>
        <v>1.3686</v>
      </c>
      <c r="Z15" s="2884">
        <f t="shared" si="66"/>
        <v>1.3686</v>
      </c>
      <c r="AA15" s="2884">
        <f>ROUND(SUMPRODUCT(PRODUCT(1+P15:P$34)),4)</f>
        <v>1.6196999999999999</v>
      </c>
      <c r="AB15" s="2884">
        <f>ROUND(SUMPRODUCT(PRODUCT(1+Q15:Q$34)),4)</f>
        <v>1.3435999999999999</v>
      </c>
      <c r="AC15" s="2884"/>
      <c r="AD15" s="2885">
        <f>ROUND(AVERAGE(I15:I$34)/100,4)</f>
        <v>2.24E-2</v>
      </c>
      <c r="AE15" s="2885">
        <f>ROUND(AVERAGE(J15:J$34)/100,4)</f>
        <v>1.5800000000000002E-2</v>
      </c>
      <c r="AF15" s="2885">
        <f t="shared" ref="AF15" si="115">AE15</f>
        <v>1.5800000000000002E-2</v>
      </c>
      <c r="AG15" s="2885">
        <f>ROUND(AVERAGE(K15:K$34)/100,4)</f>
        <v>2.4500000000000001E-2</v>
      </c>
      <c r="AH15" s="2885">
        <f>ROUND(AVERAGE(L15:L$34)/100,4)</f>
        <v>1.49E-2</v>
      </c>
    </row>
    <row r="16" spans="1:34" s="2903" customFormat="1" ht="14.45" customHeight="1">
      <c r="A16" s="2896" t="s">
        <v>2938</v>
      </c>
      <c r="B16" s="2897">
        <f t="shared" si="88"/>
        <v>459.95733971036987</v>
      </c>
      <c r="C16" s="2897">
        <f t="shared" ref="C16" si="116">C17*(1+O16)</f>
        <v>341.22221064422405</v>
      </c>
      <c r="D16" s="2897">
        <f t="shared" ref="D16" si="117">C16</f>
        <v>341.22221064422405</v>
      </c>
      <c r="E16" s="2897">
        <f t="shared" ref="E16" si="118">E17*(1+P16)</f>
        <v>657.19161663724799</v>
      </c>
      <c r="F16" s="2897">
        <f t="shared" ref="F16" si="119">F17*(1+Q16)</f>
        <v>300.87803644464805</v>
      </c>
      <c r="G16" s="3658"/>
      <c r="H16" s="2898">
        <v>3</v>
      </c>
      <c r="I16" s="2898">
        <v>1.51</v>
      </c>
      <c r="J16" s="2898">
        <v>1.41</v>
      </c>
      <c r="K16" s="2898">
        <v>1.52</v>
      </c>
      <c r="L16" s="2904">
        <v>1.74</v>
      </c>
      <c r="M16" s="2884"/>
      <c r="N16" s="2899">
        <f t="shared" ref="N16" si="120">I16/100</f>
        <v>1.5100000000000001E-2</v>
      </c>
      <c r="O16" s="2885">
        <f t="shared" ref="O16" si="121">J16/100</f>
        <v>1.41E-2</v>
      </c>
      <c r="P16" s="2885">
        <f t="shared" ref="P16" si="122">K16/100</f>
        <v>1.52E-2</v>
      </c>
      <c r="Q16" s="2885">
        <f t="shared" ref="Q16" si="123">L16/100</f>
        <v>1.7399999999999999E-2</v>
      </c>
      <c r="R16" s="2900"/>
      <c r="S16" s="2899"/>
      <c r="T16" s="2885"/>
      <c r="U16" s="2885"/>
      <c r="V16" s="2885"/>
      <c r="W16" s="2884"/>
      <c r="X16" s="2884">
        <f>ROUND(SUMPRODUCT(PRODUCT(1+N16:N$34)),4)</f>
        <v>1.54</v>
      </c>
      <c r="Y16" s="2884">
        <f>ROUND(SUMPRODUCT(PRODUCT(1+O16:O$34)),4)</f>
        <v>1.3547</v>
      </c>
      <c r="Z16" s="2884">
        <f t="shared" si="66"/>
        <v>1.3547</v>
      </c>
      <c r="AA16" s="2884">
        <f>ROUND(SUMPRODUCT(PRODUCT(1+P16:P$34)),4)</f>
        <v>1.605</v>
      </c>
      <c r="AB16" s="2884">
        <f>ROUND(SUMPRODUCT(PRODUCT(1+Q16:Q$34)),4)</f>
        <v>1.3265</v>
      </c>
      <c r="AC16" s="2884"/>
      <c r="AD16" s="2885">
        <f>ROUND(AVERAGE(I16:I$34)/100,4)</f>
        <v>2.3099999999999999E-2</v>
      </c>
      <c r="AE16" s="2885">
        <f>ROUND(AVERAGE(J16:J$34)/100,4)</f>
        <v>1.61E-2</v>
      </c>
      <c r="AF16" s="2885">
        <f t="shared" ref="AF16" si="124">AE16</f>
        <v>1.61E-2</v>
      </c>
      <c r="AG16" s="2885">
        <f>ROUND(AVERAGE(K16:K$34)/100,4)</f>
        <v>2.53E-2</v>
      </c>
      <c r="AH16" s="2885">
        <f>ROUND(AVERAGE(L16:L$34)/100,4)</f>
        <v>1.4999999999999999E-2</v>
      </c>
    </row>
    <row r="17" spans="1:34" s="2903" customFormat="1" ht="14.45" customHeight="1">
      <c r="A17" s="2896" t="s">
        <v>2939</v>
      </c>
      <c r="B17" s="2897">
        <f t="shared" si="88"/>
        <v>453.11529869999993</v>
      </c>
      <c r="C17" s="2897">
        <f t="shared" ref="C17" si="125">C18*(1+O17)</f>
        <v>336.47787264000004</v>
      </c>
      <c r="D17" s="2897">
        <f t="shared" ref="D17" si="126">C17</f>
        <v>336.47787264000004</v>
      </c>
      <c r="E17" s="2897">
        <f t="shared" ref="E17" si="127">E18*(1+P17)</f>
        <v>647.35186823999993</v>
      </c>
      <c r="F17" s="2897">
        <f t="shared" ref="F17" si="128">F18*(1+Q17)</f>
        <v>295.73229452000004</v>
      </c>
      <c r="G17" s="3658"/>
      <c r="H17" s="2911">
        <v>2</v>
      </c>
      <c r="I17" s="2911">
        <v>1.49</v>
      </c>
      <c r="J17" s="2911">
        <v>0.96</v>
      </c>
      <c r="K17" s="2911">
        <v>1.58</v>
      </c>
      <c r="L17" s="2912">
        <v>2.44</v>
      </c>
      <c r="M17" s="2884"/>
      <c r="N17" s="2899">
        <f t="shared" ref="N17" si="129">I17/100</f>
        <v>1.49E-2</v>
      </c>
      <c r="O17" s="2885">
        <f t="shared" ref="O17" si="130">J17/100</f>
        <v>9.5999999999999992E-3</v>
      </c>
      <c r="P17" s="2885">
        <f t="shared" ref="P17" si="131">K17/100</f>
        <v>1.5800000000000002E-2</v>
      </c>
      <c r="Q17" s="2885">
        <f t="shared" ref="Q17" si="132">L17/100</f>
        <v>2.4399999999999998E-2</v>
      </c>
      <c r="R17" s="2900"/>
      <c r="S17" s="2899"/>
      <c r="T17" s="2885"/>
      <c r="U17" s="2885"/>
      <c r="V17" s="2885"/>
      <c r="W17" s="2884"/>
      <c r="X17" s="2884">
        <f>ROUND(SUMPRODUCT(PRODUCT(1+N17:N$34)),4)</f>
        <v>1.5170999999999999</v>
      </c>
      <c r="Y17" s="2884">
        <f>ROUND(SUMPRODUCT(PRODUCT(1+O17:O$34)),4)</f>
        <v>1.3358000000000001</v>
      </c>
      <c r="Z17" s="2884">
        <f t="shared" si="66"/>
        <v>1.3358000000000001</v>
      </c>
      <c r="AA17" s="2884">
        <f>ROUND(SUMPRODUCT(PRODUCT(1+P17:P$34)),4)</f>
        <v>1.5809</v>
      </c>
      <c r="AB17" s="2884">
        <f>ROUND(SUMPRODUCT(PRODUCT(1+Q17:Q$34)),4)</f>
        <v>1.3038000000000001</v>
      </c>
      <c r="AC17" s="2884"/>
      <c r="AD17" s="2885">
        <f>ROUND(AVERAGE(I17:I$34)/100,4)</f>
        <v>2.35E-2</v>
      </c>
      <c r="AE17" s="2885">
        <f>ROUND(AVERAGE(J17:J$34)/100,4)</f>
        <v>1.6199999999999999E-2</v>
      </c>
      <c r="AF17" s="2885">
        <f t="shared" ref="AF17" si="133">AE17</f>
        <v>1.6199999999999999E-2</v>
      </c>
      <c r="AG17" s="2885">
        <f>ROUND(AVERAGE(K17:K$34)/100,4)</f>
        <v>2.5899999999999999E-2</v>
      </c>
      <c r="AH17" s="2885">
        <f>ROUND(AVERAGE(L17:L$34)/100,4)</f>
        <v>1.49E-2</v>
      </c>
    </row>
    <row r="18" spans="1:34" s="2903" customFormat="1" ht="15" customHeight="1" thickBot="1">
      <c r="A18" s="2896" t="s">
        <v>2935</v>
      </c>
      <c r="B18" s="2897">
        <f t="shared" si="88"/>
        <v>446.46299999999997</v>
      </c>
      <c r="C18" s="2897">
        <f t="shared" ref="C18" si="134">C19*(1+O18)</f>
        <v>333.27840000000003</v>
      </c>
      <c r="D18" s="2897">
        <f t="shared" ref="D18:D23" si="135">C18</f>
        <v>333.27840000000003</v>
      </c>
      <c r="E18" s="2897">
        <f t="shared" ref="E18" si="136">E19*(1+P18)</f>
        <v>637.28279999999995</v>
      </c>
      <c r="F18" s="2897">
        <f t="shared" ref="F18" si="137">F19*(1+Q18)</f>
        <v>288.68830000000003</v>
      </c>
      <c r="G18" s="3659"/>
      <c r="H18" s="2898">
        <v>1</v>
      </c>
      <c r="I18" s="2898">
        <v>1.7</v>
      </c>
      <c r="J18" s="2898">
        <v>1.92</v>
      </c>
      <c r="K18" s="2898">
        <v>1.64</v>
      </c>
      <c r="L18" s="2904">
        <v>2.0099999999999998</v>
      </c>
      <c r="M18" s="2884"/>
      <c r="N18" s="2899">
        <f t="shared" ref="N18:N23" si="138">I18/100</f>
        <v>1.7000000000000001E-2</v>
      </c>
      <c r="O18" s="2885">
        <f t="shared" ref="O18" si="139">J18/100</f>
        <v>1.9199999999999998E-2</v>
      </c>
      <c r="P18" s="2885">
        <f t="shared" ref="P18" si="140">K18/100</f>
        <v>1.6399999999999998E-2</v>
      </c>
      <c r="Q18" s="2885">
        <f t="shared" ref="Q18" si="141">L18/100</f>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ROUND(SUMPRODUCT(PRODUCT(1+N18:N$34)),4)</f>
        <v>1.4947999999999999</v>
      </c>
      <c r="Y18" s="2884">
        <f>ROUND(SUMPRODUCT(PRODUCT(1+O18:O$34)),4)</f>
        <v>1.3230999999999999</v>
      </c>
      <c r="Z18" s="2884">
        <f t="shared" si="66"/>
        <v>1.3230999999999999</v>
      </c>
      <c r="AA18" s="2884">
        <f>ROUND(SUMPRODUCT(PRODUCT(1+P18:P$34)),4)</f>
        <v>1.5564</v>
      </c>
      <c r="AB18" s="2884">
        <f>ROUND(SUMPRODUCT(PRODUCT(1+Q18:Q$34)),4)</f>
        <v>1.2726999999999999</v>
      </c>
      <c r="AC18" s="2884"/>
      <c r="AD18" s="2885">
        <f>ROUND(AVERAGE(I18:I$34)/100,4)</f>
        <v>2.4E-2</v>
      </c>
      <c r="AE18" s="2885">
        <f>ROUND(AVERAGE(J18:J$34)/100,4)</f>
        <v>1.66E-2</v>
      </c>
      <c r="AF18" s="2885">
        <f t="shared" ref="AF18" si="142">AE18</f>
        <v>1.66E-2</v>
      </c>
      <c r="AG18" s="2885">
        <f>ROUND(AVERAGE(K18:K$34)/100,4)</f>
        <v>2.6499999999999999E-2</v>
      </c>
      <c r="AH18" s="2885">
        <f>ROUND(AVERAGE(L18:L$34)/100,4)</f>
        <v>1.43E-2</v>
      </c>
    </row>
    <row r="19" spans="1:34">
      <c r="A19" s="2896" t="s">
        <v>2927</v>
      </c>
      <c r="B19" s="2913">
        <v>439</v>
      </c>
      <c r="C19" s="2913">
        <v>327</v>
      </c>
      <c r="D19" s="2913">
        <f t="shared" si="135"/>
        <v>327</v>
      </c>
      <c r="E19" s="2913">
        <v>627</v>
      </c>
      <c r="F19" s="2914">
        <v>283</v>
      </c>
      <c r="G19" s="3657">
        <v>2017</v>
      </c>
      <c r="H19" s="2905">
        <v>4</v>
      </c>
      <c r="I19" s="2905">
        <v>1.71</v>
      </c>
      <c r="J19" s="2905">
        <v>1.78</v>
      </c>
      <c r="K19" s="2905">
        <v>1.71</v>
      </c>
      <c r="L19" s="2906">
        <v>1.43</v>
      </c>
      <c r="N19" s="2915">
        <f t="shared" si="138"/>
        <v>1.7100000000000001E-2</v>
      </c>
      <c r="O19" s="2916">
        <f t="shared" ref="O19" si="143">J19/100</f>
        <v>1.78E-2</v>
      </c>
      <c r="P19" s="2916">
        <f t="shared" ref="P19" si="144">K19/100</f>
        <v>1.7100000000000001E-2</v>
      </c>
      <c r="Q19" s="2916">
        <f t="shared" ref="Q19" si="145">L19/100</f>
        <v>1.43E-2</v>
      </c>
      <c r="R19" s="2900"/>
      <c r="S19" s="2909"/>
      <c r="T19" s="2910"/>
      <c r="U19" s="2910"/>
      <c r="V19" s="2910"/>
      <c r="X19" s="2884">
        <f>ROUND(SUMPRODUCT(PRODUCT(1+N19:N$34)),4)</f>
        <v>1.4698</v>
      </c>
      <c r="Y19" s="2884">
        <f>ROUND(SUMPRODUCT(PRODUCT(1+O19:O$34)),4)</f>
        <v>1.2982</v>
      </c>
      <c r="Z19" s="2884">
        <f t="shared" si="66"/>
        <v>1.2982</v>
      </c>
      <c r="AA19" s="2884">
        <f>ROUND(SUMPRODUCT(PRODUCT(1+P19:P$34)),4)</f>
        <v>1.5311999999999999</v>
      </c>
      <c r="AB19" s="2884">
        <f>ROUND(SUMPRODUCT(PRODUCT(1+Q19:Q$34)),4)</f>
        <v>1.2476</v>
      </c>
      <c r="AD19" s="2885">
        <f>ROUND(AVERAGE(I19:I$34)/100,4)</f>
        <v>2.4500000000000001E-2</v>
      </c>
      <c r="AE19" s="2885">
        <f>ROUND(AVERAGE(J19:J$34)/100,4)</f>
        <v>1.6500000000000001E-2</v>
      </c>
      <c r="AF19" s="2885">
        <f t="shared" si="1"/>
        <v>1.6500000000000001E-2</v>
      </c>
      <c r="AG19" s="2885">
        <f>ROUND(AVERAGE(K19:K$34)/100,4)</f>
        <v>2.7099999999999999E-2</v>
      </c>
      <c r="AH19" s="2885">
        <f>ROUND(AVERAGE(L19:L$34)/100,4)</f>
        <v>1.3899999999999999E-2</v>
      </c>
    </row>
    <row r="20" spans="1:34" s="2903" customFormat="1" ht="14.45" customHeight="1">
      <c r="A20" s="2896" t="s">
        <v>2930</v>
      </c>
      <c r="B20" s="2897">
        <f t="shared" ref="B20:C22" si="146">B21*(1+N20)</f>
        <v>431.80730811680002</v>
      </c>
      <c r="C20" s="2897">
        <f t="shared" si="146"/>
        <v>320.57880516480003</v>
      </c>
      <c r="D20" s="2897">
        <f t="shared" si="135"/>
        <v>320.57880516480003</v>
      </c>
      <c r="E20" s="2897">
        <f t="shared" ref="E20:F22" si="147">E21*(1+P20)</f>
        <v>615.96110553196797</v>
      </c>
      <c r="F20" s="2897">
        <f t="shared" si="147"/>
        <v>279.46777300108801</v>
      </c>
      <c r="G20" s="3658"/>
      <c r="H20" s="2898">
        <v>3</v>
      </c>
      <c r="I20" s="2898">
        <v>2.98</v>
      </c>
      <c r="J20" s="2898">
        <v>2.11</v>
      </c>
      <c r="K20" s="2898">
        <v>3.24</v>
      </c>
      <c r="L20" s="2904">
        <v>1.72</v>
      </c>
      <c r="M20" s="2884"/>
      <c r="N20" s="2899">
        <f t="shared" si="138"/>
        <v>2.98E-2</v>
      </c>
      <c r="O20" s="2917">
        <f t="shared" ref="O20:O21" si="148">J20/100</f>
        <v>2.1099999999999997E-2</v>
      </c>
      <c r="P20" s="2917">
        <f t="shared" ref="P20:P21" si="149">K20/100</f>
        <v>3.2400000000000005E-2</v>
      </c>
      <c r="Q20" s="2917">
        <f t="shared" ref="Q20:Q21" si="150">L20/100</f>
        <v>1.72E-2</v>
      </c>
      <c r="R20" s="2900"/>
      <c r="S20" s="2899"/>
      <c r="T20" s="2885"/>
      <c r="U20" s="2885"/>
      <c r="V20" s="2885"/>
      <c r="W20" s="2884"/>
      <c r="X20" s="2884">
        <f>ROUND(SUMPRODUCT(PRODUCT(1+N20:N$34)),4)</f>
        <v>1.4451000000000001</v>
      </c>
      <c r="Y20" s="2884">
        <f>ROUND(SUMPRODUCT(PRODUCT(1+O20:O$34)),4)</f>
        <v>1.2755000000000001</v>
      </c>
      <c r="Z20" s="2884">
        <f t="shared" si="66"/>
        <v>1.2755000000000001</v>
      </c>
      <c r="AA20" s="2884">
        <f>ROUND(SUMPRODUCT(PRODUCT(1+P20:P$34)),4)</f>
        <v>1.5055000000000001</v>
      </c>
      <c r="AB20" s="2884">
        <f>ROUND(SUMPRODUCT(PRODUCT(1+Q20:Q$34)),4)</f>
        <v>1.2301</v>
      </c>
      <c r="AC20" s="2884"/>
      <c r="AD20" s="2885">
        <f>ROUND(AVERAGE(I20:I$34)/100,4)</f>
        <v>2.4899999999999999E-2</v>
      </c>
      <c r="AE20" s="2885">
        <f>ROUND(AVERAGE(J20:J$34)/100,4)</f>
        <v>1.6400000000000001E-2</v>
      </c>
      <c r="AF20" s="2885">
        <f t="shared" si="1"/>
        <v>1.6400000000000001E-2</v>
      </c>
      <c r="AG20" s="2885">
        <f>ROUND(AVERAGE(K20:K$34)/100,4)</f>
        <v>2.7799999999999998E-2</v>
      </c>
      <c r="AH20" s="2885">
        <f>ROUND(AVERAGE(L20:L$34)/100,4)</f>
        <v>1.3899999999999999E-2</v>
      </c>
    </row>
    <row r="21" spans="1:34" s="2862" customFormat="1" ht="14.45" customHeight="1">
      <c r="A21" s="2896" t="s">
        <v>2559</v>
      </c>
      <c r="B21" s="2897">
        <f t="shared" si="146"/>
        <v>419.31181600000002</v>
      </c>
      <c r="C21" s="2897">
        <f t="shared" si="146"/>
        <v>313.95436800000004</v>
      </c>
      <c r="D21" s="2897">
        <f t="shared" si="135"/>
        <v>313.95436800000004</v>
      </c>
      <c r="E21" s="2897">
        <f t="shared" si="147"/>
        <v>596.63028431999999</v>
      </c>
      <c r="F21" s="2897">
        <f t="shared" si="147"/>
        <v>274.74220703999998</v>
      </c>
      <c r="G21" s="3658"/>
      <c r="H21" s="2911">
        <v>2</v>
      </c>
      <c r="I21" s="2911">
        <v>3.4</v>
      </c>
      <c r="J21" s="2911">
        <v>2</v>
      </c>
      <c r="K21" s="2911">
        <v>3.82</v>
      </c>
      <c r="L21" s="2912">
        <v>1.68</v>
      </c>
      <c r="N21" s="2899">
        <f t="shared" si="138"/>
        <v>3.4000000000000002E-2</v>
      </c>
      <c r="O21" s="2917">
        <f t="shared" si="148"/>
        <v>0.02</v>
      </c>
      <c r="P21" s="2917">
        <f t="shared" si="149"/>
        <v>3.8199999999999998E-2</v>
      </c>
      <c r="Q21" s="2917">
        <f t="shared" si="150"/>
        <v>1.6799999999999999E-2</v>
      </c>
      <c r="S21" s="2899"/>
      <c r="T21" s="2885"/>
      <c r="U21" s="2885"/>
      <c r="V21" s="2885"/>
      <c r="X21" s="2884">
        <f>ROUND(SUMPRODUCT(PRODUCT(1+N21:N$34)),4)</f>
        <v>1.4033</v>
      </c>
      <c r="Y21" s="2884">
        <f>ROUND(SUMPRODUCT(PRODUCT(1+O21:O$34)),4)</f>
        <v>1.2491000000000001</v>
      </c>
      <c r="Z21" s="2884">
        <f t="shared" si="66"/>
        <v>1.2491000000000001</v>
      </c>
      <c r="AA21" s="2884">
        <f>ROUND(SUMPRODUCT(PRODUCT(1+P21:P$34)),4)</f>
        <v>1.4581999999999999</v>
      </c>
      <c r="AB21" s="2884">
        <f>ROUND(SUMPRODUCT(PRODUCT(1+Q21:Q$34)),4)</f>
        <v>1.2093</v>
      </c>
      <c r="AD21" s="2885">
        <f>ROUND(AVERAGE(I21:I$34)/100,4)</f>
        <v>2.46E-2</v>
      </c>
      <c r="AE21" s="2885">
        <f>ROUND(AVERAGE(J21:J$34)/100,4)</f>
        <v>1.6E-2</v>
      </c>
      <c r="AF21" s="2885">
        <f t="shared" si="1"/>
        <v>1.6E-2</v>
      </c>
      <c r="AG21" s="2885">
        <f>ROUND(AVERAGE(K21:K$34)/100,4)</f>
        <v>2.75E-2</v>
      </c>
      <c r="AH21" s="2885">
        <f>ROUND(AVERAGE(L21:L$34)/100,4)</f>
        <v>1.37E-2</v>
      </c>
    </row>
    <row r="22" spans="1:34" s="2903" customFormat="1" ht="15" customHeight="1" thickBot="1">
      <c r="A22" s="2896" t="s">
        <v>2560</v>
      </c>
      <c r="B22" s="2897">
        <f t="shared" si="146"/>
        <v>405.524</v>
      </c>
      <c r="C22" s="2897">
        <f t="shared" si="146"/>
        <v>307.79840000000002</v>
      </c>
      <c r="D22" s="2897">
        <f t="shared" si="135"/>
        <v>307.79840000000002</v>
      </c>
      <c r="E22" s="2897">
        <f t="shared" si="147"/>
        <v>574.67759999999998</v>
      </c>
      <c r="F22" s="2897">
        <f t="shared" si="147"/>
        <v>270.20280000000002</v>
      </c>
      <c r="G22" s="3659"/>
      <c r="H22" s="2898">
        <v>1</v>
      </c>
      <c r="I22" s="2898">
        <v>3.45</v>
      </c>
      <c r="J22" s="2898">
        <v>1.92</v>
      </c>
      <c r="K22" s="2898">
        <v>3.92</v>
      </c>
      <c r="L22" s="2904">
        <v>1.58</v>
      </c>
      <c r="M22" s="2884"/>
      <c r="N22" s="2901">
        <f t="shared" si="138"/>
        <v>3.4500000000000003E-2</v>
      </c>
      <c r="O22" s="2902">
        <f t="shared" ref="O22" si="151">J22/100</f>
        <v>1.9199999999999998E-2</v>
      </c>
      <c r="P22" s="2902">
        <f t="shared" ref="P22" si="152">K22/100</f>
        <v>3.9199999999999999E-2</v>
      </c>
      <c r="Q22" s="2902">
        <f t="shared" ref="Q22" si="153">L22/100</f>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ROUND(SUMPRODUCT(PRODUCT(1+N22:N$34)),4)</f>
        <v>1.3571</v>
      </c>
      <c r="Y22" s="2884">
        <f>ROUND(SUMPRODUCT(PRODUCT(1+O22:O$34)),4)</f>
        <v>1.2245999999999999</v>
      </c>
      <c r="Z22" s="2884">
        <f t="shared" si="66"/>
        <v>1.2245999999999999</v>
      </c>
      <c r="AA22" s="2884">
        <f>ROUND(SUMPRODUCT(PRODUCT(1+P22:P$34)),4)</f>
        <v>1.4046000000000001</v>
      </c>
      <c r="AB22" s="2884">
        <f>ROUND(SUMPRODUCT(PRODUCT(1+Q22:Q$34)),4)</f>
        <v>1.1893</v>
      </c>
      <c r="AC22" s="2884"/>
      <c r="AD22" s="2885">
        <f>ROUND(AVERAGE(I22:I$34)/100,4)</f>
        <v>2.3900000000000001E-2</v>
      </c>
      <c r="AE22" s="2885">
        <f>ROUND(AVERAGE(J22:J$34)/100,4)</f>
        <v>1.5699999999999999E-2</v>
      </c>
      <c r="AF22" s="2885">
        <f t="shared" si="1"/>
        <v>1.5699999999999999E-2</v>
      </c>
      <c r="AG22" s="2885">
        <f>ROUND(AVERAGE(K22:K$34)/100,4)</f>
        <v>2.6599999999999999E-2</v>
      </c>
      <c r="AH22" s="2885">
        <f>ROUND(AVERAGE(L22:L$34)/100,4)</f>
        <v>1.34E-2</v>
      </c>
    </row>
    <row r="23" spans="1:34">
      <c r="A23" s="2896" t="s">
        <v>959</v>
      </c>
      <c r="B23" s="2918">
        <v>392</v>
      </c>
      <c r="C23" s="2918">
        <v>302</v>
      </c>
      <c r="D23" s="2918">
        <f t="shared" si="135"/>
        <v>302</v>
      </c>
      <c r="E23" s="2918">
        <v>553</v>
      </c>
      <c r="F23" s="2919">
        <v>266</v>
      </c>
      <c r="G23" s="3657">
        <v>2016</v>
      </c>
      <c r="H23" s="2905">
        <v>4</v>
      </c>
      <c r="I23" s="2905">
        <v>4.5599999999999996</v>
      </c>
      <c r="J23" s="2905">
        <v>2.15</v>
      </c>
      <c r="K23" s="2905">
        <v>5.32</v>
      </c>
      <c r="L23" s="2906">
        <v>1.57</v>
      </c>
      <c r="N23" s="2899">
        <f t="shared" si="138"/>
        <v>4.5599999999999995E-2</v>
      </c>
      <c r="O23" s="2885">
        <f t="shared" ref="O23:Q38" si="154">J23/100</f>
        <v>2.1499999999999998E-2</v>
      </c>
      <c r="P23" s="2885">
        <f t="shared" si="154"/>
        <v>5.3200000000000004E-2</v>
      </c>
      <c r="Q23" s="2885">
        <f t="shared" si="154"/>
        <v>1.5700000000000002E-2</v>
      </c>
      <c r="R23" s="2900"/>
      <c r="S23" s="2909"/>
      <c r="T23" s="2910"/>
      <c r="U23" s="2910"/>
      <c r="V23" s="2910"/>
      <c r="X23" s="2884">
        <f>ROUND(SUMPRODUCT(PRODUCT(1+N23:N$34)),4)</f>
        <v>1.3119000000000001</v>
      </c>
      <c r="Y23" s="2884">
        <f>ROUND(SUMPRODUCT(PRODUCT(1+O23:O$34)),4)</f>
        <v>1.2016</v>
      </c>
      <c r="Z23" s="2884">
        <f t="shared" si="66"/>
        <v>1.2016</v>
      </c>
      <c r="AA23" s="2884">
        <f>ROUND(SUMPRODUCT(PRODUCT(1+P23:P$34)),4)</f>
        <v>1.3515999999999999</v>
      </c>
      <c r="AB23" s="2884">
        <f>ROUND(SUMPRODUCT(PRODUCT(1+Q23:Q$34)),4)</f>
        <v>1.1708000000000001</v>
      </c>
      <c r="AD23" s="2885">
        <f>ROUND(AVERAGE(I23:I$34)/100,4)</f>
        <v>2.3E-2</v>
      </c>
      <c r="AE23" s="2885">
        <f>ROUND(AVERAGE(J23:J$34)/100,4)</f>
        <v>1.55E-2</v>
      </c>
      <c r="AF23" s="2885">
        <f t="shared" si="1"/>
        <v>1.55E-2</v>
      </c>
      <c r="AG23" s="2885">
        <f>ROUND(AVERAGE(K23:K$34)/100,4)</f>
        <v>2.5600000000000001E-2</v>
      </c>
      <c r="AH23" s="2885">
        <f>ROUND(AVERAGE(L23:L$34)/100,4)</f>
        <v>1.32E-2</v>
      </c>
    </row>
    <row r="24" spans="1:34">
      <c r="A24" s="2896" t="s">
        <v>958</v>
      </c>
      <c r="B24" s="2897">
        <f t="shared" ref="B24:C26" si="155">B23/(1+N23)</f>
        <v>374.90436113236416</v>
      </c>
      <c r="C24" s="2897">
        <f t="shared" si="155"/>
        <v>295.64366128242779</v>
      </c>
      <c r="D24" s="2897">
        <f t="shared" ref="D24:D83" si="156">C24</f>
        <v>295.64366128242779</v>
      </c>
      <c r="E24" s="2897">
        <f t="shared" ref="E24:F26" si="157">E23/(1+P23)</f>
        <v>525.06646410938095</v>
      </c>
      <c r="F24" s="2897">
        <f t="shared" si="157"/>
        <v>261.88835286009646</v>
      </c>
      <c r="G24" s="3658"/>
      <c r="H24" s="2898">
        <v>3</v>
      </c>
      <c r="I24" s="2898">
        <v>4.12</v>
      </c>
      <c r="J24" s="2898">
        <v>2</v>
      </c>
      <c r="K24" s="2898">
        <v>4.79</v>
      </c>
      <c r="L24" s="2904">
        <v>1.97</v>
      </c>
      <c r="N24" s="2899">
        <f t="shared" ref="N24:Q58" si="158">I24/100</f>
        <v>4.1200000000000001E-2</v>
      </c>
      <c r="O24" s="2885">
        <f t="shared" si="154"/>
        <v>0.02</v>
      </c>
      <c r="P24" s="2885">
        <f t="shared" si="154"/>
        <v>4.7899999999999998E-2</v>
      </c>
      <c r="Q24" s="2885">
        <f t="shared" si="154"/>
        <v>1.9699999999999999E-2</v>
      </c>
      <c r="R24" s="2900"/>
      <c r="S24" s="2899"/>
      <c r="T24" s="2885"/>
      <c r="U24" s="2885"/>
      <c r="V24" s="2885"/>
      <c r="X24" s="2884">
        <f>ROUND(SUMPRODUCT(PRODUCT(1+N24:N$34)),4)</f>
        <v>1.2546999999999999</v>
      </c>
      <c r="Y24" s="2884">
        <f>ROUND(SUMPRODUCT(PRODUCT(1+O24:O$34)),4)</f>
        <v>1.1762999999999999</v>
      </c>
      <c r="Z24" s="2884">
        <f t="shared" si="66"/>
        <v>1.1762999999999999</v>
      </c>
      <c r="AA24" s="2884">
        <f>ROUND(SUMPRODUCT(PRODUCT(1+P24:P$34)),4)</f>
        <v>1.2833000000000001</v>
      </c>
      <c r="AB24" s="2884">
        <f>ROUND(SUMPRODUCT(PRODUCT(1+Q24:Q$34)),4)</f>
        <v>1.1527000000000001</v>
      </c>
      <c r="AD24" s="2885">
        <f>ROUND(AVERAGE(I24:I$34)/100,4)</f>
        <v>2.0899999999999998E-2</v>
      </c>
      <c r="AE24" s="2885">
        <f>ROUND(AVERAGE(J24:J$34)/100,4)</f>
        <v>1.49E-2</v>
      </c>
      <c r="AF24" s="2885">
        <f t="shared" si="1"/>
        <v>1.49E-2</v>
      </c>
      <c r="AG24" s="2885">
        <f>ROUND(AVERAGE(K24:K$34)/100,4)</f>
        <v>2.3099999999999999E-2</v>
      </c>
      <c r="AH24" s="2885">
        <f>ROUND(AVERAGE(L24:L$34)/100,4)</f>
        <v>1.2999999999999999E-2</v>
      </c>
    </row>
    <row r="25" spans="1:34">
      <c r="A25" s="2896" t="s">
        <v>948</v>
      </c>
      <c r="B25" s="2897">
        <f t="shared" si="155"/>
        <v>360.06949782209392</v>
      </c>
      <c r="C25" s="2897">
        <f t="shared" si="155"/>
        <v>289.84672674747821</v>
      </c>
      <c r="D25" s="2897">
        <f t="shared" si="156"/>
        <v>289.84672674747821</v>
      </c>
      <c r="E25" s="2897">
        <f t="shared" si="157"/>
        <v>501.06543001181495</v>
      </c>
      <c r="F25" s="2897">
        <f t="shared" si="157"/>
        <v>256.82882500744967</v>
      </c>
      <c r="G25" s="3658"/>
      <c r="H25" s="2911">
        <v>2</v>
      </c>
      <c r="I25" s="2911">
        <v>3.85</v>
      </c>
      <c r="J25" s="2911">
        <v>1.95</v>
      </c>
      <c r="K25" s="2911">
        <v>4.4800000000000004</v>
      </c>
      <c r="L25" s="2912">
        <v>1.41</v>
      </c>
      <c r="N25" s="2899">
        <f t="shared" si="158"/>
        <v>3.85E-2</v>
      </c>
      <c r="O25" s="2885">
        <f t="shared" si="154"/>
        <v>1.95E-2</v>
      </c>
      <c r="P25" s="2885">
        <f t="shared" si="154"/>
        <v>4.4800000000000006E-2</v>
      </c>
      <c r="Q25" s="2885">
        <f t="shared" si="154"/>
        <v>1.41E-2</v>
      </c>
      <c r="R25" s="2900"/>
      <c r="S25" s="2899"/>
      <c r="T25" s="2885"/>
      <c r="U25" s="2885"/>
      <c r="V25" s="2885"/>
      <c r="X25" s="2884">
        <f>ROUND(SUMPRODUCT(PRODUCT(1+N25:N$34)),4)</f>
        <v>1.2050000000000001</v>
      </c>
      <c r="Y25" s="2884">
        <f>ROUND(SUMPRODUCT(PRODUCT(1+O25:O$34)),4)</f>
        <v>1.1532</v>
      </c>
      <c r="Z25" s="2884">
        <f t="shared" si="66"/>
        <v>1.1532</v>
      </c>
      <c r="AA25" s="2884">
        <f>ROUND(SUMPRODUCT(PRODUCT(1+P25:P$34)),4)</f>
        <v>1.2246999999999999</v>
      </c>
      <c r="AB25" s="2884">
        <f>ROUND(SUMPRODUCT(PRODUCT(1+Q25:Q$34)),4)</f>
        <v>1.1304000000000001</v>
      </c>
      <c r="AD25" s="2885">
        <f>ROUND(AVERAGE(I25:I$34)/100,4)</f>
        <v>1.89E-2</v>
      </c>
      <c r="AE25" s="2885">
        <f>ROUND(AVERAGE(J25:J$34)/100,4)</f>
        <v>1.44E-2</v>
      </c>
      <c r="AF25" s="2885">
        <f t="shared" si="1"/>
        <v>1.44E-2</v>
      </c>
      <c r="AG25" s="2885">
        <f>ROUND(AVERAGE(K25:K$34)/100,4)</f>
        <v>2.06E-2</v>
      </c>
      <c r="AH25" s="2885">
        <f>ROUND(AVERAGE(L25:L$34)/100,4)</f>
        <v>1.23E-2</v>
      </c>
    </row>
    <row r="26" spans="1:34" ht="13.5" thickBot="1">
      <c r="A26" s="2896" t="s">
        <v>957</v>
      </c>
      <c r="B26" s="2897">
        <f t="shared" si="155"/>
        <v>346.720748986128</v>
      </c>
      <c r="C26" s="2897">
        <f t="shared" si="155"/>
        <v>284.30282172386285</v>
      </c>
      <c r="D26" s="2897">
        <f t="shared" si="156"/>
        <v>284.30282172386285</v>
      </c>
      <c r="E26" s="2897">
        <f t="shared" si="157"/>
        <v>479.58023546306947</v>
      </c>
      <c r="F26" s="2897">
        <f t="shared" si="157"/>
        <v>253.25788877571213</v>
      </c>
      <c r="G26" s="3661"/>
      <c r="H26" s="2898">
        <v>1</v>
      </c>
      <c r="I26" s="2898">
        <v>4.09</v>
      </c>
      <c r="J26" s="2898">
        <v>2.93</v>
      </c>
      <c r="K26" s="2898">
        <v>4.54</v>
      </c>
      <c r="L26" s="2904">
        <v>1.48</v>
      </c>
      <c r="N26" s="2899">
        <f t="shared" si="158"/>
        <v>4.0899999999999999E-2</v>
      </c>
      <c r="O26" s="2885">
        <f t="shared" si="154"/>
        <v>2.9300000000000003E-2</v>
      </c>
      <c r="P26" s="2885">
        <f t="shared" si="154"/>
        <v>4.5400000000000003E-2</v>
      </c>
      <c r="Q26" s="2885">
        <f t="shared" si="154"/>
        <v>1.4800000000000001E-2</v>
      </c>
      <c r="R26" s="2900"/>
      <c r="S26" s="2901">
        <f>B26/B27-1</f>
        <v>4.1203450408792808E-2</v>
      </c>
      <c r="T26" s="2902">
        <f>C26/C27-1</f>
        <v>2.6363977342465095E-2</v>
      </c>
      <c r="U26" s="2902">
        <f>E26/E27-1</f>
        <v>4.4837114298626357E-2</v>
      </c>
      <c r="V26" s="2902">
        <f>F26/F27-1</f>
        <v>1.7099954922538574E-2</v>
      </c>
      <c r="X26" s="2884">
        <f>ROUND(SUMPRODUCT(PRODUCT(1+N26:N$34)),4)</f>
        <v>1.1604000000000001</v>
      </c>
      <c r="Y26" s="2884">
        <f>ROUND(SUMPRODUCT(PRODUCT(1+O26:O$34)),4)</f>
        <v>1.1312</v>
      </c>
      <c r="Z26" s="2884">
        <f t="shared" si="66"/>
        <v>1.1312</v>
      </c>
      <c r="AA26" s="2884">
        <f>ROUND(SUMPRODUCT(PRODUCT(1+P26:P$34)),4)</f>
        <v>1.1721999999999999</v>
      </c>
      <c r="AB26" s="2884">
        <f>ROUND(SUMPRODUCT(PRODUCT(1+Q26:Q$34)),4)</f>
        <v>1.1147</v>
      </c>
      <c r="AD26" s="2885">
        <f>ROUND(AVERAGE(I26:I$34)/100,4)</f>
        <v>1.67E-2</v>
      </c>
      <c r="AE26" s="2885">
        <f>ROUND(AVERAGE(J26:J$34)/100,4)</f>
        <v>1.38E-2</v>
      </c>
      <c r="AF26" s="2885">
        <f t="shared" si="1"/>
        <v>1.38E-2</v>
      </c>
      <c r="AG26" s="2885">
        <f>ROUND(AVERAGE(K26:K$34)/100,4)</f>
        <v>1.7899999999999999E-2</v>
      </c>
      <c r="AH26" s="2885">
        <f>ROUND(AVERAGE(L26:L$34)/100,4)</f>
        <v>1.21E-2</v>
      </c>
    </row>
    <row r="27" spans="1:34" ht="13.5" thickBot="1">
      <c r="A27" s="2896" t="s">
        <v>956</v>
      </c>
      <c r="B27" s="2918">
        <v>333</v>
      </c>
      <c r="C27" s="2918">
        <v>277</v>
      </c>
      <c r="D27" s="2918">
        <f t="shared" si="156"/>
        <v>277</v>
      </c>
      <c r="E27" s="2918">
        <v>459</v>
      </c>
      <c r="F27" s="2919">
        <v>249</v>
      </c>
      <c r="G27" s="3660">
        <v>2015</v>
      </c>
      <c r="H27" s="2920">
        <v>4</v>
      </c>
      <c r="I27" s="2920">
        <v>1.63</v>
      </c>
      <c r="J27" s="2920">
        <v>1.1100000000000001</v>
      </c>
      <c r="K27" s="2920">
        <v>1.77</v>
      </c>
      <c r="L27" s="2921">
        <v>1.89</v>
      </c>
      <c r="N27" s="2915">
        <f t="shared" si="158"/>
        <v>1.6299999999999999E-2</v>
      </c>
      <c r="O27" s="2916">
        <f t="shared" si="154"/>
        <v>1.11E-2</v>
      </c>
      <c r="P27" s="2916">
        <f t="shared" si="154"/>
        <v>1.77E-2</v>
      </c>
      <c r="Q27" s="2916">
        <f t="shared" si="154"/>
        <v>1.89E-2</v>
      </c>
      <c r="R27" s="2900"/>
      <c r="X27" s="2884">
        <f>ROUND(SUMPRODUCT(PRODUCT(1+N27:N$34)),4)</f>
        <v>1.1148</v>
      </c>
      <c r="Y27" s="2884">
        <f>ROUND(SUMPRODUCT(PRODUCT(1+O27:O$34)),4)</f>
        <v>1.099</v>
      </c>
      <c r="Z27" s="2884">
        <f t="shared" si="66"/>
        <v>1.099</v>
      </c>
      <c r="AA27" s="2884">
        <f>ROUND(SUMPRODUCT(PRODUCT(1+P27:P$34)),4)</f>
        <v>1.1213</v>
      </c>
      <c r="AB27" s="2884">
        <f>ROUND(SUMPRODUCT(PRODUCT(1+Q27:Q$34)),4)</f>
        <v>1.0984</v>
      </c>
      <c r="AD27" s="2885">
        <f>ROUND(AVERAGE(I27:I$34)/100,4)</f>
        <v>1.37E-2</v>
      </c>
      <c r="AE27" s="2885">
        <f>ROUND(AVERAGE(J27:J$34)/100,4)</f>
        <v>1.1900000000000001E-2</v>
      </c>
      <c r="AF27" s="2885">
        <f t="shared" si="1"/>
        <v>1.1900000000000001E-2</v>
      </c>
      <c r="AG27" s="2885">
        <f>ROUND(AVERAGE(K27:K$34)/100,4)</f>
        <v>1.4500000000000001E-2</v>
      </c>
      <c r="AH27" s="2885">
        <f>ROUND(AVERAGE(L27:L$34)/100,4)</f>
        <v>1.18E-2</v>
      </c>
    </row>
    <row r="28" spans="1:34">
      <c r="A28" s="2896" t="s">
        <v>955</v>
      </c>
      <c r="B28" s="2897">
        <f t="shared" ref="B28:C30" si="159">B27/(1+N27)</f>
        <v>327.65915576109415</v>
      </c>
      <c r="C28" s="2897">
        <f t="shared" si="159"/>
        <v>273.95905449510434</v>
      </c>
      <c r="D28" s="2897">
        <f t="shared" si="156"/>
        <v>273.95905449510434</v>
      </c>
      <c r="E28" s="2897">
        <f t="shared" ref="E28:F30" si="160">E27/(1+P27)</f>
        <v>451.01699911565294</v>
      </c>
      <c r="F28" s="2897">
        <f t="shared" si="160"/>
        <v>244.38119540681129</v>
      </c>
      <c r="G28" s="3658"/>
      <c r="H28" s="2923">
        <v>3</v>
      </c>
      <c r="I28" s="2923">
        <v>1.65</v>
      </c>
      <c r="J28" s="2923">
        <v>0.92</v>
      </c>
      <c r="K28" s="2923">
        <v>1.88</v>
      </c>
      <c r="L28" s="2924">
        <v>1.26</v>
      </c>
      <c r="N28" s="2899">
        <f t="shared" si="158"/>
        <v>1.6500000000000001E-2</v>
      </c>
      <c r="O28" s="2917">
        <f t="shared" si="154"/>
        <v>9.1999999999999998E-3</v>
      </c>
      <c r="P28" s="2917">
        <f t="shared" si="154"/>
        <v>1.8799999999999997E-2</v>
      </c>
      <c r="Q28" s="2917">
        <f t="shared" si="154"/>
        <v>1.26E-2</v>
      </c>
      <c r="R28" s="2900"/>
      <c r="S28" s="2899"/>
      <c r="T28" s="2885"/>
      <c r="U28" s="2885"/>
      <c r="V28" s="2885"/>
      <c r="X28" s="2884">
        <f>ROUND(SUMPRODUCT(PRODUCT(1+N28:N$34)),4)</f>
        <v>1.0969</v>
      </c>
      <c r="Y28" s="2884">
        <f>ROUND(SUMPRODUCT(PRODUCT(1+O28:O$34)),4)</f>
        <v>1.0869</v>
      </c>
      <c r="Z28" s="2884">
        <f t="shared" si="66"/>
        <v>1.0869</v>
      </c>
      <c r="AA28" s="2884">
        <f>ROUND(SUMPRODUCT(PRODUCT(1+P28:P$34)),4)</f>
        <v>1.1017999999999999</v>
      </c>
      <c r="AB28" s="2884">
        <f>ROUND(SUMPRODUCT(PRODUCT(1+Q28:Q$34)),4)</f>
        <v>1.0781000000000001</v>
      </c>
      <c r="AD28" s="2885">
        <f>ROUND(AVERAGE(I28:I$34)/100,4)</f>
        <v>1.3299999999999999E-2</v>
      </c>
      <c r="AE28" s="2885">
        <f>ROUND(AVERAGE(J28:J$34)/100,4)</f>
        <v>1.2E-2</v>
      </c>
      <c r="AF28" s="2885">
        <f t="shared" si="1"/>
        <v>1.2E-2</v>
      </c>
      <c r="AG28" s="2885">
        <f>ROUND(AVERAGE(K28:K$34)/100,4)</f>
        <v>1.4E-2</v>
      </c>
      <c r="AH28" s="2885">
        <f>ROUND(AVERAGE(L28:L$34)/100,4)</f>
        <v>1.0800000000000001E-2</v>
      </c>
    </row>
    <row r="29" spans="1:34">
      <c r="A29" s="2896" t="s">
        <v>954</v>
      </c>
      <c r="B29" s="2897">
        <f t="shared" si="159"/>
        <v>322.34053690220776</v>
      </c>
      <c r="C29" s="2897">
        <f t="shared" si="159"/>
        <v>271.46160770422546</v>
      </c>
      <c r="D29" s="2897">
        <f t="shared" si="156"/>
        <v>271.46160770422546</v>
      </c>
      <c r="E29" s="2897">
        <f t="shared" si="160"/>
        <v>442.69434542172456</v>
      </c>
      <c r="F29" s="2897">
        <f t="shared" si="160"/>
        <v>241.34030753190925</v>
      </c>
      <c r="G29" s="3658"/>
      <c r="H29" s="2911">
        <v>2</v>
      </c>
      <c r="I29" s="2911">
        <v>0.77</v>
      </c>
      <c r="J29" s="2911">
        <v>0.69</v>
      </c>
      <c r="K29" s="2911">
        <v>0.8</v>
      </c>
      <c r="L29" s="2912">
        <v>0.88</v>
      </c>
      <c r="N29" s="2899">
        <f t="shared" si="158"/>
        <v>7.7000000000000002E-3</v>
      </c>
      <c r="O29" s="2917">
        <f t="shared" si="154"/>
        <v>6.8999999999999999E-3</v>
      </c>
      <c r="P29" s="2917">
        <f t="shared" si="154"/>
        <v>8.0000000000000002E-3</v>
      </c>
      <c r="Q29" s="2917">
        <f t="shared" si="154"/>
        <v>8.8000000000000005E-3</v>
      </c>
      <c r="R29" s="2900"/>
      <c r="S29" s="2899"/>
      <c r="T29" s="2885"/>
      <c r="U29" s="2885"/>
      <c r="V29" s="2885"/>
      <c r="X29" s="2884">
        <f>ROUND(SUMPRODUCT(PRODUCT(1+N29:N$34)),4)</f>
        <v>1.0790999999999999</v>
      </c>
      <c r="Y29" s="2884">
        <f>ROUND(SUMPRODUCT(PRODUCT(1+O29:O$34)),4)</f>
        <v>1.077</v>
      </c>
      <c r="Z29" s="2884">
        <f t="shared" si="66"/>
        <v>1.077</v>
      </c>
      <c r="AA29" s="2884">
        <f>ROUND(SUMPRODUCT(PRODUCT(1+P29:P$34)),4)</f>
        <v>1.0813999999999999</v>
      </c>
      <c r="AB29" s="2884">
        <f>ROUND(SUMPRODUCT(PRODUCT(1+Q29:Q$34)),4)</f>
        <v>1.0647</v>
      </c>
      <c r="AD29" s="2885">
        <f>ROUND(AVERAGE(I29:I$34)/100,4)</f>
        <v>1.2800000000000001E-2</v>
      </c>
      <c r="AE29" s="2885">
        <f>ROUND(AVERAGE(J29:J$34)/100,4)</f>
        <v>1.2500000000000001E-2</v>
      </c>
      <c r="AF29" s="2885">
        <f t="shared" si="1"/>
        <v>1.2500000000000001E-2</v>
      </c>
      <c r="AG29" s="2885">
        <f>ROUND(AVERAGE(K29:K$34)/100,4)</f>
        <v>1.32E-2</v>
      </c>
      <c r="AH29" s="2885">
        <f>ROUND(AVERAGE(L29:L$34)/100,4)</f>
        <v>1.0500000000000001E-2</v>
      </c>
    </row>
    <row r="30" spans="1:34">
      <c r="A30" s="2896" t="s">
        <v>953</v>
      </c>
      <c r="B30" s="2897">
        <f t="shared" si="159"/>
        <v>319.87748030386797</v>
      </c>
      <c r="C30" s="2897">
        <f t="shared" si="159"/>
        <v>269.60135833173649</v>
      </c>
      <c r="D30" s="2897">
        <f t="shared" si="156"/>
        <v>269.60135833173649</v>
      </c>
      <c r="E30" s="2897">
        <f t="shared" si="160"/>
        <v>439.18089823583784</v>
      </c>
      <c r="F30" s="2897">
        <f t="shared" si="160"/>
        <v>239.23503918706311</v>
      </c>
      <c r="G30" s="3661"/>
      <c r="H30" s="2898">
        <v>1</v>
      </c>
      <c r="I30" s="2898">
        <v>0.51</v>
      </c>
      <c r="J30" s="2898">
        <v>0.54</v>
      </c>
      <c r="K30" s="2898">
        <v>0.48</v>
      </c>
      <c r="L30" s="2904">
        <v>0.93</v>
      </c>
      <c r="N30" s="2901">
        <f t="shared" si="158"/>
        <v>5.1000000000000004E-3</v>
      </c>
      <c r="O30" s="2902">
        <f t="shared" si="154"/>
        <v>5.4000000000000003E-3</v>
      </c>
      <c r="P30" s="2902">
        <f t="shared" si="154"/>
        <v>4.7999999999999996E-3</v>
      </c>
      <c r="Q30" s="2902">
        <f t="shared" si="154"/>
        <v>9.300000000000001E-3</v>
      </c>
      <c r="R30" s="2900"/>
      <c r="S30" s="2901">
        <f>B30/B31-1</f>
        <v>5.9040261127922822E-3</v>
      </c>
      <c r="T30" s="2902">
        <f>C30/C31-1</f>
        <v>5.9752176557332781E-3</v>
      </c>
      <c r="U30" s="2902">
        <f>E30/E31-1</f>
        <v>4.9906138119859556E-3</v>
      </c>
      <c r="V30" s="2902">
        <f>F30/F31-1</f>
        <v>9.4305450930933787E-3</v>
      </c>
      <c r="X30" s="2884">
        <f>ROUND(SUMPRODUCT(PRODUCT(1+N30:N$34)),4)</f>
        <v>1.0708</v>
      </c>
      <c r="Y30" s="2884">
        <f>ROUND(SUMPRODUCT(PRODUCT(1+O30:O$34)),4)</f>
        <v>1.0696000000000001</v>
      </c>
      <c r="Z30" s="2884">
        <f t="shared" si="66"/>
        <v>1.0696000000000001</v>
      </c>
      <c r="AA30" s="2884">
        <f>ROUND(SUMPRODUCT(PRODUCT(1+P30:P$34)),4)</f>
        <v>1.0728</v>
      </c>
      <c r="AB30" s="2884">
        <f>ROUND(SUMPRODUCT(PRODUCT(1+Q30:Q$34)),4)</f>
        <v>1.0553999999999999</v>
      </c>
      <c r="AD30" s="2885">
        <f>ROUND(AVERAGE(I30:I$34)/100,4)</f>
        <v>1.38E-2</v>
      </c>
      <c r="AE30" s="2885">
        <f>ROUND(AVERAGE(J30:J$34)/100,4)</f>
        <v>1.3599999999999999E-2</v>
      </c>
      <c r="AF30" s="2885">
        <f t="shared" si="1"/>
        <v>1.3599999999999999E-2</v>
      </c>
      <c r="AG30" s="2885">
        <f>ROUND(AVERAGE(K30:K$34)/100,4)</f>
        <v>1.4200000000000001E-2</v>
      </c>
      <c r="AH30" s="2885">
        <f>ROUND(AVERAGE(L30:L$34)/100,4)</f>
        <v>1.0800000000000001E-2</v>
      </c>
    </row>
    <row r="31" spans="1:34" ht="13.5" thickBot="1">
      <c r="A31" s="2896" t="s">
        <v>952</v>
      </c>
      <c r="B31" s="2925">
        <v>318</v>
      </c>
      <c r="C31" s="2925">
        <v>268</v>
      </c>
      <c r="D31" s="2925">
        <f t="shared" si="156"/>
        <v>268</v>
      </c>
      <c r="E31" s="2925">
        <v>437</v>
      </c>
      <c r="F31" s="2926">
        <v>237</v>
      </c>
      <c r="G31" s="3660">
        <v>2014</v>
      </c>
      <c r="H31" s="2920">
        <v>4</v>
      </c>
      <c r="I31" s="2920">
        <v>0.21</v>
      </c>
      <c r="J31" s="2920">
        <v>0.41</v>
      </c>
      <c r="K31" s="2920">
        <v>0.12</v>
      </c>
      <c r="L31" s="2921">
        <v>0.89</v>
      </c>
      <c r="N31" s="2899">
        <f t="shared" si="158"/>
        <v>2.0999999999999999E-3</v>
      </c>
      <c r="O31" s="2885">
        <f t="shared" si="154"/>
        <v>4.0999999999999995E-3</v>
      </c>
      <c r="P31" s="2885">
        <f t="shared" si="154"/>
        <v>1.1999999999999999E-3</v>
      </c>
      <c r="Q31" s="2885">
        <f t="shared" si="154"/>
        <v>8.8999999999999999E-3</v>
      </c>
      <c r="R31" s="2900"/>
      <c r="S31" s="2909"/>
      <c r="T31" s="2910"/>
      <c r="U31" s="2910"/>
      <c r="V31" s="2910"/>
      <c r="X31" s="2884">
        <f>ROUND(SUMPRODUCT(PRODUCT(1+N31:N$34)),4)</f>
        <v>1.0653999999999999</v>
      </c>
      <c r="Y31" s="2884">
        <f>ROUND(SUMPRODUCT(PRODUCT(1+O31:O$34)),4)</f>
        <v>1.0639000000000001</v>
      </c>
      <c r="Z31" s="2884">
        <f t="shared" si="66"/>
        <v>1.0639000000000001</v>
      </c>
      <c r="AA31" s="2884">
        <f>ROUND(SUMPRODUCT(PRODUCT(1+P31:P$34)),4)</f>
        <v>1.0677000000000001</v>
      </c>
      <c r="AB31" s="2884">
        <f>ROUND(SUMPRODUCT(PRODUCT(1+Q31:Q$34)),4)</f>
        <v>1.0456000000000001</v>
      </c>
      <c r="AD31" s="2885">
        <f>ROUND(AVERAGE(I31:I$34)/100,4)</f>
        <v>1.6E-2</v>
      </c>
      <c r="AE31" s="2885">
        <f>ROUND(AVERAGE(J31:J$34)/100,4)</f>
        <v>1.5599999999999999E-2</v>
      </c>
      <c r="AF31" s="2885">
        <f t="shared" si="1"/>
        <v>1.5599999999999999E-2</v>
      </c>
      <c r="AG31" s="2885">
        <f>ROUND(AVERAGE(K31:K$34)/100,4)</f>
        <v>1.66E-2</v>
      </c>
      <c r="AH31" s="2885">
        <f>ROUND(AVERAGE(L31:L$34)/100,4)</f>
        <v>1.12E-2</v>
      </c>
    </row>
    <row r="32" spans="1:34">
      <c r="A32" s="2896" t="s">
        <v>951</v>
      </c>
      <c r="B32" s="2897">
        <f t="shared" ref="B32:C34" si="161">B31/(1+N31)</f>
        <v>317.33359944117353</v>
      </c>
      <c r="C32" s="2897">
        <f t="shared" si="161"/>
        <v>266.90568668459315</v>
      </c>
      <c r="D32" s="2897">
        <f t="shared" si="156"/>
        <v>266.90568668459315</v>
      </c>
      <c r="E32" s="2897">
        <f t="shared" ref="E32:F34" si="162">E31/(1+P31)</f>
        <v>436.47622852576905</v>
      </c>
      <c r="F32" s="2897">
        <f t="shared" si="162"/>
        <v>234.90930716622066</v>
      </c>
      <c r="G32" s="3658"/>
      <c r="H32" s="2927">
        <v>3</v>
      </c>
      <c r="I32" s="2927">
        <v>0.83</v>
      </c>
      <c r="J32" s="2927">
        <v>1.47</v>
      </c>
      <c r="K32" s="2927">
        <v>0.65</v>
      </c>
      <c r="L32" s="2928">
        <v>0.72</v>
      </c>
      <c r="N32" s="2899">
        <f t="shared" si="158"/>
        <v>8.3000000000000001E-3</v>
      </c>
      <c r="O32" s="2885">
        <f t="shared" si="154"/>
        <v>1.47E-2</v>
      </c>
      <c r="P32" s="2885">
        <f t="shared" si="154"/>
        <v>6.5000000000000006E-3</v>
      </c>
      <c r="Q32" s="2885">
        <f t="shared" si="154"/>
        <v>7.1999999999999998E-3</v>
      </c>
      <c r="R32" s="2900"/>
      <c r="S32" s="2899"/>
      <c r="T32" s="2885"/>
      <c r="U32" s="2885"/>
      <c r="V32" s="2885"/>
      <c r="X32" s="2884">
        <f>ROUND(SUMPRODUCT(PRODUCT(1+N32:N$34)),4)</f>
        <v>1.0631999999999999</v>
      </c>
      <c r="Y32" s="2884">
        <f>ROUND(SUMPRODUCT(PRODUCT(1+O32:O$34)),4)</f>
        <v>1.0595000000000001</v>
      </c>
      <c r="Z32" s="2884">
        <f t="shared" si="66"/>
        <v>1.0595000000000001</v>
      </c>
      <c r="AA32" s="2884">
        <f>ROUND(SUMPRODUCT(PRODUCT(1+P32:P$34)),4)</f>
        <v>1.0664</v>
      </c>
      <c r="AB32" s="2884">
        <f>ROUND(SUMPRODUCT(PRODUCT(1+Q32:Q$34)),4)</f>
        <v>1.0364</v>
      </c>
      <c r="AD32" s="2885">
        <f>ROUND(AVERAGE(I32:I$34)/100,4)</f>
        <v>2.07E-2</v>
      </c>
      <c r="AE32" s="2885">
        <f>ROUND(AVERAGE(J32:J$34)/100,4)</f>
        <v>1.95E-2</v>
      </c>
      <c r="AF32" s="2885">
        <f t="shared" si="1"/>
        <v>1.95E-2</v>
      </c>
      <c r="AG32" s="2885">
        <f>ROUND(AVERAGE(K32:K$34)/100,4)</f>
        <v>2.1700000000000001E-2</v>
      </c>
      <c r="AH32" s="2885">
        <f>ROUND(AVERAGE(L32:L$34)/100,4)</f>
        <v>1.2E-2</v>
      </c>
    </row>
    <row r="33" spans="1:34" ht="13.5" thickBot="1">
      <c r="A33" s="2896" t="s">
        <v>950</v>
      </c>
      <c r="B33" s="2897">
        <f t="shared" si="161"/>
        <v>314.72141172386546</v>
      </c>
      <c r="C33" s="2897">
        <f t="shared" si="161"/>
        <v>263.03901319069001</v>
      </c>
      <c r="D33" s="2897">
        <f t="shared" si="156"/>
        <v>263.03901319069001</v>
      </c>
      <c r="E33" s="2897">
        <f t="shared" si="162"/>
        <v>433.65745506782821</v>
      </c>
      <c r="F33" s="2897">
        <f t="shared" si="162"/>
        <v>233.23005080045735</v>
      </c>
      <c r="G33" s="3658"/>
      <c r="H33" s="2920">
        <v>2</v>
      </c>
      <c r="I33" s="2920">
        <v>2.4</v>
      </c>
      <c r="J33" s="2920">
        <v>2.0299999999999998</v>
      </c>
      <c r="K33" s="2920">
        <v>2.59</v>
      </c>
      <c r="L33" s="2921">
        <v>1.52</v>
      </c>
      <c r="N33" s="2899">
        <f t="shared" si="158"/>
        <v>2.4E-2</v>
      </c>
      <c r="O33" s="2885">
        <f t="shared" si="154"/>
        <v>2.0299999999999999E-2</v>
      </c>
      <c r="P33" s="2885">
        <f t="shared" si="154"/>
        <v>2.5899999999999999E-2</v>
      </c>
      <c r="Q33" s="2885">
        <f t="shared" si="154"/>
        <v>1.52E-2</v>
      </c>
      <c r="R33" s="2900"/>
      <c r="S33" s="2899"/>
      <c r="T33" s="2885"/>
      <c r="U33" s="2885"/>
      <c r="V33" s="2885"/>
      <c r="X33" s="2884">
        <f>ROUND(SUMPRODUCT(PRODUCT(1+N33:N$34)),4)</f>
        <v>1.0544</v>
      </c>
      <c r="Y33" s="2884">
        <f>ROUND(SUMPRODUCT(PRODUCT(1+O33:O$34)),4)</f>
        <v>1.0442</v>
      </c>
      <c r="Z33" s="2884">
        <f t="shared" si="66"/>
        <v>1.0442</v>
      </c>
      <c r="AA33" s="2884">
        <f>ROUND(SUMPRODUCT(PRODUCT(1+P33:P$34)),4)</f>
        <v>1.0595000000000001</v>
      </c>
      <c r="AB33" s="2884">
        <f>ROUND(SUMPRODUCT(PRODUCT(1+Q33:Q$34)),4)</f>
        <v>1.0289999999999999</v>
      </c>
      <c r="AD33" s="2885">
        <f>ROUND(AVERAGE(I33:I$34)/100,4)</f>
        <v>2.69E-2</v>
      </c>
      <c r="AE33" s="2885">
        <f>ROUND(AVERAGE(J33:J$34)/100,4)</f>
        <v>2.1899999999999999E-2</v>
      </c>
      <c r="AF33" s="2885">
        <f t="shared" ref="AF33" si="163">AE33</f>
        <v>2.1899999999999999E-2</v>
      </c>
      <c r="AG33" s="2885">
        <f>ROUND(AVERAGE(K33:K$34)/100,4)</f>
        <v>2.9399999999999999E-2</v>
      </c>
      <c r="AH33" s="2885">
        <f>ROUND(AVERAGE(L33:L$34)/100,4)</f>
        <v>1.44E-2</v>
      </c>
    </row>
    <row r="34" spans="1:34" s="2933" customFormat="1" ht="13.5" thickBot="1">
      <c r="A34" s="2929" t="s">
        <v>949</v>
      </c>
      <c r="B34" s="2930">
        <f t="shared" si="161"/>
        <v>307.34512863658733</v>
      </c>
      <c r="C34" s="2930">
        <f t="shared" si="161"/>
        <v>257.80556031626975</v>
      </c>
      <c r="D34" s="2930">
        <f t="shared" si="156"/>
        <v>257.80556031626975</v>
      </c>
      <c r="E34" s="2930">
        <f t="shared" si="162"/>
        <v>422.70928459677179</v>
      </c>
      <c r="F34" s="2930">
        <f t="shared" si="162"/>
        <v>229.73803270336617</v>
      </c>
      <c r="G34" s="3661"/>
      <c r="H34" s="2931">
        <v>1</v>
      </c>
      <c r="I34" s="2931">
        <v>2.97</v>
      </c>
      <c r="J34" s="2931">
        <v>2.34</v>
      </c>
      <c r="K34" s="2931">
        <v>3.28</v>
      </c>
      <c r="L34" s="2932">
        <v>1.36</v>
      </c>
      <c r="N34" s="2934">
        <f t="shared" si="158"/>
        <v>2.9700000000000001E-2</v>
      </c>
      <c r="O34" s="2935">
        <f t="shared" si="154"/>
        <v>2.3399999999999997E-2</v>
      </c>
      <c r="P34" s="2935">
        <f t="shared" si="154"/>
        <v>3.2799999999999996E-2</v>
      </c>
      <c r="Q34" s="2935">
        <f t="shared" si="154"/>
        <v>1.3600000000000001E-2</v>
      </c>
      <c r="R34" s="2936"/>
      <c r="S34" s="2937">
        <f>B34/B35-1</f>
        <v>2.7910129219355539E-2</v>
      </c>
      <c r="T34" s="2938">
        <f>C34/C35-1</f>
        <v>2.3037937762975247E-2</v>
      </c>
      <c r="U34" s="2938">
        <f>E34/E35-1</f>
        <v>3.3519033243940788E-2</v>
      </c>
      <c r="V34" s="2938">
        <f>F34/F35-1</f>
        <v>1.2061818076502862E-2</v>
      </c>
      <c r="W34" s="2939" t="s">
        <v>2618</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2561</v>
      </c>
      <c r="B35" s="2918">
        <v>299</v>
      </c>
      <c r="C35" s="2918">
        <v>252</v>
      </c>
      <c r="D35" s="2918">
        <f t="shared" si="156"/>
        <v>252</v>
      </c>
      <c r="E35" s="2918">
        <v>409</v>
      </c>
      <c r="F35" s="2919">
        <v>227</v>
      </c>
      <c r="G35" s="3665">
        <v>2013</v>
      </c>
      <c r="H35" s="2941">
        <v>4</v>
      </c>
      <c r="I35" s="2941">
        <v>1.83</v>
      </c>
      <c r="J35" s="2941">
        <v>1.68</v>
      </c>
      <c r="K35" s="2941">
        <v>1.97</v>
      </c>
      <c r="L35" s="2942">
        <v>0.87</v>
      </c>
      <c r="N35" s="2915">
        <f t="shared" si="158"/>
        <v>1.83E-2</v>
      </c>
      <c r="O35" s="2916">
        <f t="shared" si="154"/>
        <v>1.6799999999999999E-2</v>
      </c>
      <c r="P35" s="2916">
        <f t="shared" si="154"/>
        <v>1.9699999999999999E-2</v>
      </c>
      <c r="Q35" s="2916">
        <f t="shared" si="154"/>
        <v>8.6999999999999994E-3</v>
      </c>
      <c r="R35" s="2900"/>
      <c r="S35" s="2909"/>
      <c r="T35" s="2910"/>
      <c r="U35" s="2910"/>
      <c r="V35" s="2910"/>
      <c r="X35" s="2910"/>
      <c r="Y35" s="2910"/>
      <c r="Z35" s="2910"/>
    </row>
    <row r="36" spans="1:34">
      <c r="A36" s="2896" t="s">
        <v>2562</v>
      </c>
      <c r="B36" s="2897">
        <f t="shared" ref="B36:C38" si="164">B35/(1+N35)</f>
        <v>293.62663262299913</v>
      </c>
      <c r="C36" s="2897">
        <f t="shared" si="164"/>
        <v>247.83634933123525</v>
      </c>
      <c r="D36" s="2897">
        <f t="shared" si="156"/>
        <v>247.83634933123525</v>
      </c>
      <c r="E36" s="2897">
        <f t="shared" ref="E36:F38" si="165">E35/(1+P35)</f>
        <v>401.09836226341076</v>
      </c>
      <c r="F36" s="2897">
        <f t="shared" si="165"/>
        <v>225.04213343908003</v>
      </c>
      <c r="G36" s="3666"/>
      <c r="H36" s="2923">
        <v>3</v>
      </c>
      <c r="I36" s="2923">
        <v>1.86</v>
      </c>
      <c r="J36" s="2923">
        <v>1.72</v>
      </c>
      <c r="K36" s="2923">
        <v>1.98</v>
      </c>
      <c r="L36" s="2924">
        <v>0.88</v>
      </c>
      <c r="N36" s="2899">
        <f t="shared" si="158"/>
        <v>1.8600000000000002E-2</v>
      </c>
      <c r="O36" s="2917">
        <f t="shared" si="154"/>
        <v>1.72E-2</v>
      </c>
      <c r="P36" s="2917">
        <f t="shared" si="154"/>
        <v>1.9799999999999998E-2</v>
      </c>
      <c r="Q36" s="2917">
        <f t="shared" si="154"/>
        <v>8.8000000000000005E-3</v>
      </c>
      <c r="R36" s="2900"/>
      <c r="S36" s="2899"/>
      <c r="T36" s="2885"/>
      <c r="U36" s="2885"/>
      <c r="V36" s="2885"/>
    </row>
    <row r="37" spans="1:34">
      <c r="A37" s="2896" t="s">
        <v>2563</v>
      </c>
      <c r="B37" s="2897">
        <f t="shared" si="164"/>
        <v>288.2649053828776</v>
      </c>
      <c r="C37" s="2897">
        <f t="shared" si="164"/>
        <v>243.64564425013293</v>
      </c>
      <c r="D37" s="2897">
        <f t="shared" si="156"/>
        <v>243.64564425013293</v>
      </c>
      <c r="E37" s="2897">
        <f t="shared" si="165"/>
        <v>393.31080825986544</v>
      </c>
      <c r="F37" s="2897">
        <f t="shared" si="165"/>
        <v>223.07903790551154</v>
      </c>
      <c r="G37" s="3666"/>
      <c r="H37" s="2911">
        <v>2</v>
      </c>
      <c r="I37" s="2911">
        <v>2.04</v>
      </c>
      <c r="J37" s="2911">
        <v>2.33</v>
      </c>
      <c r="K37" s="2911">
        <v>2.0699999999999998</v>
      </c>
      <c r="L37" s="2912">
        <v>0.69</v>
      </c>
      <c r="N37" s="2899">
        <f t="shared" si="158"/>
        <v>2.0400000000000001E-2</v>
      </c>
      <c r="O37" s="2917">
        <f t="shared" si="154"/>
        <v>2.3300000000000001E-2</v>
      </c>
      <c r="P37" s="2917">
        <f t="shared" si="154"/>
        <v>2.07E-2</v>
      </c>
      <c r="Q37" s="2917">
        <f t="shared" si="154"/>
        <v>6.8999999999999999E-3</v>
      </c>
      <c r="R37" s="2900"/>
      <c r="S37" s="2899"/>
      <c r="T37" s="2885"/>
      <c r="U37" s="2885"/>
      <c r="V37" s="2885"/>
      <c r="X37" s="2943"/>
      <c r="Y37" s="2944"/>
    </row>
    <row r="38" spans="1:34">
      <c r="A38" s="2896" t="s">
        <v>2564</v>
      </c>
      <c r="B38" s="2897">
        <f t="shared" si="164"/>
        <v>282.50186729015837</v>
      </c>
      <c r="C38" s="2897">
        <f t="shared" si="164"/>
        <v>238.09796174155468</v>
      </c>
      <c r="D38" s="2897">
        <f t="shared" si="156"/>
        <v>238.09796174155468</v>
      </c>
      <c r="E38" s="2897">
        <f t="shared" si="165"/>
        <v>385.33438646014054</v>
      </c>
      <c r="F38" s="2897">
        <f t="shared" si="165"/>
        <v>221.55034055567739</v>
      </c>
      <c r="G38" s="3667"/>
      <c r="H38" s="2898">
        <v>1</v>
      </c>
      <c r="I38" s="2898">
        <v>1.67</v>
      </c>
      <c r="J38" s="2898">
        <v>1.31</v>
      </c>
      <c r="K38" s="2898">
        <v>1.85</v>
      </c>
      <c r="L38" s="2904">
        <v>0.96</v>
      </c>
      <c r="N38" s="2901">
        <f t="shared" si="158"/>
        <v>1.67E-2</v>
      </c>
      <c r="O38" s="2902">
        <f t="shared" si="154"/>
        <v>1.3100000000000001E-2</v>
      </c>
      <c r="P38" s="2902">
        <f t="shared" si="154"/>
        <v>1.8500000000000003E-2</v>
      </c>
      <c r="Q38" s="2902">
        <f t="shared" si="154"/>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2565</v>
      </c>
      <c r="B39" s="2946">
        <v>278</v>
      </c>
      <c r="C39" s="2946">
        <v>234</v>
      </c>
      <c r="D39" s="2946">
        <f t="shared" si="156"/>
        <v>234</v>
      </c>
      <c r="E39" s="2946">
        <v>379</v>
      </c>
      <c r="F39" s="2947">
        <v>220</v>
      </c>
      <c r="G39" s="3660">
        <v>2012</v>
      </c>
      <c r="H39" s="2920">
        <v>4</v>
      </c>
      <c r="I39" s="2920">
        <v>0.91</v>
      </c>
      <c r="J39" s="2920">
        <v>0.68</v>
      </c>
      <c r="K39" s="2920">
        <v>0.98</v>
      </c>
      <c r="L39" s="2921">
        <v>0.9</v>
      </c>
      <c r="N39" s="2899">
        <f t="shared" si="158"/>
        <v>9.1000000000000004E-3</v>
      </c>
      <c r="O39" s="2885">
        <f t="shared" si="158"/>
        <v>6.8000000000000005E-3</v>
      </c>
      <c r="P39" s="2885">
        <f t="shared" si="158"/>
        <v>9.7999999999999997E-3</v>
      </c>
      <c r="Q39" s="2885">
        <f t="shared" si="158"/>
        <v>9.0000000000000011E-3</v>
      </c>
      <c r="R39" s="2900"/>
      <c r="S39" s="2909"/>
      <c r="T39" s="2910"/>
      <c r="U39" s="2910"/>
      <c r="V39" s="2910"/>
      <c r="X39" s="2910"/>
      <c r="Y39" s="2910"/>
      <c r="Z39" s="2910"/>
    </row>
    <row r="40" spans="1:34">
      <c r="A40" s="2896" t="s">
        <v>2566</v>
      </c>
      <c r="B40" s="2897">
        <f>B39/(1+N39)</f>
        <v>275.49301357645425</v>
      </c>
      <c r="C40" s="2897">
        <f>C39/(1+O39)</f>
        <v>232.41954707985698</v>
      </c>
      <c r="D40" s="2897">
        <f t="shared" si="156"/>
        <v>232.41954707985698</v>
      </c>
      <c r="E40" s="2897">
        <f t="shared" ref="E40:F42" si="166">E39/(1+P39)</f>
        <v>375.32184591008121</v>
      </c>
      <c r="F40" s="2897">
        <f t="shared" si="166"/>
        <v>218.03766105054513</v>
      </c>
      <c r="G40" s="3658"/>
      <c r="H40" s="2923">
        <v>3</v>
      </c>
      <c r="I40" s="2923">
        <v>0.09</v>
      </c>
      <c r="J40" s="2923">
        <v>0.28999999999999998</v>
      </c>
      <c r="K40" s="2923">
        <v>-0.01</v>
      </c>
      <c r="L40" s="2924">
        <v>0.57999999999999996</v>
      </c>
      <c r="N40" s="2899">
        <f t="shared" si="158"/>
        <v>8.9999999999999998E-4</v>
      </c>
      <c r="O40" s="2885">
        <f t="shared" si="158"/>
        <v>2.8999999999999998E-3</v>
      </c>
      <c r="P40" s="2885">
        <f t="shared" si="158"/>
        <v>-1E-4</v>
      </c>
      <c r="Q40" s="2885">
        <f t="shared" si="158"/>
        <v>5.7999999999999996E-3</v>
      </c>
      <c r="R40" s="2900"/>
      <c r="S40" s="2899"/>
      <c r="T40" s="2885"/>
      <c r="U40" s="2885"/>
      <c r="V40" s="2885"/>
    </row>
    <row r="41" spans="1:34">
      <c r="A41" s="2896" t="s">
        <v>2567</v>
      </c>
      <c r="B41" s="2897">
        <f>B40/(1+N40)</f>
        <v>275.24529281292263</v>
      </c>
      <c r="C41" s="2897">
        <f>C40/(1+O40)</f>
        <v>231.74747938962707</v>
      </c>
      <c r="D41" s="2897">
        <f t="shared" si="156"/>
        <v>231.74747938962707</v>
      </c>
      <c r="E41" s="2897">
        <f t="shared" si="166"/>
        <v>375.35938184826603</v>
      </c>
      <c r="F41" s="2897">
        <f t="shared" si="166"/>
        <v>216.78033510692495</v>
      </c>
      <c r="G41" s="3658"/>
      <c r="H41" s="2911">
        <v>2</v>
      </c>
      <c r="I41" s="2911">
        <v>0.02</v>
      </c>
      <c r="J41" s="2911">
        <v>0.12</v>
      </c>
      <c r="K41" s="2911">
        <v>-0.08</v>
      </c>
      <c r="L41" s="2912">
        <v>1.24</v>
      </c>
      <c r="N41" s="2899">
        <f t="shared" si="158"/>
        <v>2.0000000000000001E-4</v>
      </c>
      <c r="O41" s="2885">
        <f t="shared" si="158"/>
        <v>1.1999999999999999E-3</v>
      </c>
      <c r="P41" s="2885">
        <f t="shared" si="158"/>
        <v>-8.0000000000000004E-4</v>
      </c>
      <c r="Q41" s="2885">
        <f t="shared" si="158"/>
        <v>1.24E-2</v>
      </c>
      <c r="R41" s="2900"/>
      <c r="S41" s="2899"/>
      <c r="T41" s="2885"/>
      <c r="U41" s="2885"/>
      <c r="V41" s="2885"/>
    </row>
    <row r="42" spans="1:34" ht="13.5" thickBot="1">
      <c r="A42" s="2896" t="s">
        <v>2568</v>
      </c>
      <c r="B42" s="2897">
        <f>B41/(1+N41)</f>
        <v>275.19025476197027</v>
      </c>
      <c r="C42" s="2948">
        <v>232</v>
      </c>
      <c r="D42" s="2948">
        <f t="shared" si="156"/>
        <v>232</v>
      </c>
      <c r="E42" s="2897">
        <f t="shared" si="166"/>
        <v>375.65990977608692</v>
      </c>
      <c r="F42" s="2897">
        <f t="shared" si="166"/>
        <v>214.12518283971252</v>
      </c>
      <c r="G42" s="3661"/>
      <c r="H42" s="2898">
        <v>1</v>
      </c>
      <c r="I42" s="2898">
        <v>0.02</v>
      </c>
      <c r="J42" s="2898">
        <v>0.13</v>
      </c>
      <c r="K42" s="2898">
        <v>-0.04</v>
      </c>
      <c r="L42" s="2904">
        <v>0.46</v>
      </c>
      <c r="N42" s="2899">
        <f t="shared" si="158"/>
        <v>2.0000000000000001E-4</v>
      </c>
      <c r="O42" s="2885">
        <f t="shared" si="158"/>
        <v>1.2999999999999999E-3</v>
      </c>
      <c r="P42" s="2885">
        <f t="shared" si="158"/>
        <v>-4.0000000000000002E-4</v>
      </c>
      <c r="Q42" s="2885">
        <f t="shared" si="158"/>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2569</v>
      </c>
      <c r="B43" s="2918">
        <v>275</v>
      </c>
      <c r="C43" s="2918">
        <v>232</v>
      </c>
      <c r="D43" s="2918">
        <f t="shared" si="156"/>
        <v>232</v>
      </c>
      <c r="E43" s="2918">
        <v>376</v>
      </c>
      <c r="F43" s="2919">
        <v>213</v>
      </c>
      <c r="G43" s="3660">
        <v>2011</v>
      </c>
      <c r="H43" s="2920">
        <v>4</v>
      </c>
      <c r="I43" s="2920">
        <v>-0.2</v>
      </c>
      <c r="J43" s="2920">
        <v>0.04</v>
      </c>
      <c r="K43" s="2920">
        <v>-0.34</v>
      </c>
      <c r="L43" s="2921">
        <v>0.46</v>
      </c>
      <c r="N43" s="2915">
        <f t="shared" si="158"/>
        <v>-2E-3</v>
      </c>
      <c r="O43" s="2916">
        <f t="shared" si="158"/>
        <v>4.0000000000000002E-4</v>
      </c>
      <c r="P43" s="2916">
        <f t="shared" si="158"/>
        <v>-3.4000000000000002E-3</v>
      </c>
      <c r="Q43" s="2916">
        <f t="shared" si="158"/>
        <v>4.5999999999999999E-3</v>
      </c>
      <c r="R43" s="2900"/>
      <c r="S43" s="2909"/>
      <c r="T43" s="2910"/>
      <c r="U43" s="2910"/>
      <c r="V43" s="2910"/>
      <c r="X43" s="2910"/>
      <c r="Y43" s="2910"/>
      <c r="Z43" s="2910"/>
    </row>
    <row r="44" spans="1:34">
      <c r="A44" s="2896" t="s">
        <v>2570</v>
      </c>
      <c r="B44" s="2897">
        <f t="shared" ref="B44:C46" si="167">B43/(1+N43)</f>
        <v>275.55110220440883</v>
      </c>
      <c r="C44" s="2897">
        <f t="shared" si="167"/>
        <v>231.90723710515795</v>
      </c>
      <c r="D44" s="2897">
        <f t="shared" si="156"/>
        <v>231.90723710515795</v>
      </c>
      <c r="E44" s="2897">
        <f t="shared" ref="E44:F46" si="168">E43/(1+P43)</f>
        <v>377.28276138872161</v>
      </c>
      <c r="F44" s="2897">
        <f t="shared" si="168"/>
        <v>212.02468644236512</v>
      </c>
      <c r="G44" s="3658">
        <v>2011</v>
      </c>
      <c r="H44" s="2923">
        <v>3</v>
      </c>
      <c r="I44" s="2923">
        <v>0.13</v>
      </c>
      <c r="J44" s="2923">
        <v>0.75</v>
      </c>
      <c r="K44" s="2923">
        <v>-0.08</v>
      </c>
      <c r="L44" s="2924">
        <v>0.53</v>
      </c>
      <c r="N44" s="2899">
        <f t="shared" si="158"/>
        <v>1.2999999999999999E-3</v>
      </c>
      <c r="O44" s="2917">
        <f t="shared" si="158"/>
        <v>7.4999999999999997E-3</v>
      </c>
      <c r="P44" s="2917">
        <f t="shared" si="158"/>
        <v>-8.0000000000000004E-4</v>
      </c>
      <c r="Q44" s="2917">
        <f t="shared" si="158"/>
        <v>5.3E-3</v>
      </c>
      <c r="R44" s="2900"/>
      <c r="S44" s="2899"/>
      <c r="T44" s="2885"/>
      <c r="U44" s="2885"/>
      <c r="V44" s="2885"/>
    </row>
    <row r="45" spans="1:34">
      <c r="A45" s="2896" t="s">
        <v>2571</v>
      </c>
      <c r="B45" s="2897">
        <f t="shared" si="167"/>
        <v>275.19335084830601</v>
      </c>
      <c r="C45" s="2897">
        <f t="shared" si="167"/>
        <v>230.18088050139744</v>
      </c>
      <c r="D45" s="2897">
        <f t="shared" si="156"/>
        <v>230.18088050139744</v>
      </c>
      <c r="E45" s="2897">
        <f t="shared" si="168"/>
        <v>377.58482925212331</v>
      </c>
      <c r="F45" s="2897">
        <f t="shared" si="168"/>
        <v>210.90687997847917</v>
      </c>
      <c r="G45" s="3658">
        <v>2011</v>
      </c>
      <c r="H45" s="2911">
        <v>2</v>
      </c>
      <c r="I45" s="2911">
        <v>-0.4</v>
      </c>
      <c r="J45" s="2911">
        <v>0.17</v>
      </c>
      <c r="K45" s="2911">
        <v>-0.57999999999999996</v>
      </c>
      <c r="L45" s="2912">
        <v>-0.2</v>
      </c>
      <c r="N45" s="2899">
        <f t="shared" si="158"/>
        <v>-4.0000000000000001E-3</v>
      </c>
      <c r="O45" s="2917">
        <f t="shared" si="158"/>
        <v>1.7000000000000001E-3</v>
      </c>
      <c r="P45" s="2917">
        <f t="shared" si="158"/>
        <v>-5.7999999999999996E-3</v>
      </c>
      <c r="Q45" s="2917">
        <f t="shared" si="158"/>
        <v>-2E-3</v>
      </c>
      <c r="R45" s="2900"/>
      <c r="S45" s="2899"/>
      <c r="T45" s="2885"/>
      <c r="U45" s="2885"/>
      <c r="V45" s="2885"/>
    </row>
    <row r="46" spans="1:34" ht="13.5" thickBot="1">
      <c r="A46" s="2896" t="s">
        <v>2572</v>
      </c>
      <c r="B46" s="2897">
        <f t="shared" si="167"/>
        <v>276.29854502841971</v>
      </c>
      <c r="C46" s="2897">
        <f t="shared" si="167"/>
        <v>229.79023709833027</v>
      </c>
      <c r="D46" s="2897">
        <f t="shared" si="156"/>
        <v>229.79023709833027</v>
      </c>
      <c r="E46" s="2897">
        <f t="shared" si="168"/>
        <v>379.78759731655936</v>
      </c>
      <c r="F46" s="2897">
        <f t="shared" si="168"/>
        <v>211.32953905659235</v>
      </c>
      <c r="G46" s="3661">
        <v>2011</v>
      </c>
      <c r="H46" s="2898">
        <v>1</v>
      </c>
      <c r="I46" s="2898">
        <v>2.65</v>
      </c>
      <c r="J46" s="2898">
        <v>3.76</v>
      </c>
      <c r="K46" s="2898">
        <v>1.89</v>
      </c>
      <c r="L46" s="2904">
        <v>7.95</v>
      </c>
      <c r="N46" s="2901">
        <f t="shared" si="158"/>
        <v>2.6499999999999999E-2</v>
      </c>
      <c r="O46" s="2902">
        <f t="shared" si="158"/>
        <v>3.7599999999999995E-2</v>
      </c>
      <c r="P46" s="2902">
        <f t="shared" si="158"/>
        <v>1.89E-2</v>
      </c>
      <c r="Q46" s="2902">
        <f t="shared" si="158"/>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2573</v>
      </c>
      <c r="B47" s="2918">
        <v>269</v>
      </c>
      <c r="C47" s="2918">
        <v>221</v>
      </c>
      <c r="D47" s="2918">
        <f t="shared" si="156"/>
        <v>221</v>
      </c>
      <c r="E47" s="2918">
        <v>373</v>
      </c>
      <c r="F47" s="2919">
        <v>196</v>
      </c>
      <c r="G47" s="3660">
        <v>2010</v>
      </c>
      <c r="H47" s="2920">
        <v>4</v>
      </c>
      <c r="I47" s="2920">
        <v>5.72</v>
      </c>
      <c r="J47" s="2920">
        <v>6.57</v>
      </c>
      <c r="K47" s="2920">
        <v>5.72</v>
      </c>
      <c r="L47" s="2921">
        <v>2.72</v>
      </c>
      <c r="N47" s="2899">
        <f t="shared" si="158"/>
        <v>5.7200000000000001E-2</v>
      </c>
      <c r="O47" s="2885">
        <f t="shared" si="158"/>
        <v>6.5700000000000008E-2</v>
      </c>
      <c r="P47" s="2885">
        <f t="shared" si="158"/>
        <v>5.7200000000000001E-2</v>
      </c>
      <c r="Q47" s="2885">
        <f t="shared" si="158"/>
        <v>2.7200000000000002E-2</v>
      </c>
      <c r="R47" s="2900"/>
      <c r="S47" s="2909"/>
      <c r="T47" s="2910"/>
      <c r="U47" s="2910"/>
      <c r="V47" s="2910"/>
      <c r="X47" s="2910"/>
      <c r="Y47" s="2910"/>
      <c r="Z47" s="2910"/>
    </row>
    <row r="48" spans="1:34">
      <c r="A48" s="2896" t="s">
        <v>2574</v>
      </c>
      <c r="B48" s="2897">
        <f t="shared" ref="B48:C50" si="169">B47/(1+N47)</f>
        <v>254.44570563753314</v>
      </c>
      <c r="C48" s="2897">
        <f t="shared" si="169"/>
        <v>207.37543398705074</v>
      </c>
      <c r="D48" s="2897">
        <f t="shared" si="156"/>
        <v>207.37543398705074</v>
      </c>
      <c r="E48" s="2897">
        <f t="shared" ref="E48:F50" si="170">E47/(1+P47)</f>
        <v>352.81876655315932</v>
      </c>
      <c r="F48" s="2897">
        <f t="shared" si="170"/>
        <v>190.809968847352</v>
      </c>
      <c r="G48" s="3658">
        <v>2010</v>
      </c>
      <c r="H48" s="2923">
        <v>3</v>
      </c>
      <c r="I48" s="2923">
        <v>4.7300000000000004</v>
      </c>
      <c r="J48" s="2923">
        <v>3.9</v>
      </c>
      <c r="K48" s="2923">
        <v>5.03</v>
      </c>
      <c r="L48" s="2924">
        <v>4.21</v>
      </c>
      <c r="N48" s="2899">
        <f t="shared" si="158"/>
        <v>4.7300000000000002E-2</v>
      </c>
      <c r="O48" s="2885">
        <f t="shared" si="158"/>
        <v>3.9E-2</v>
      </c>
      <c r="P48" s="2885">
        <f t="shared" si="158"/>
        <v>5.0300000000000004E-2</v>
      </c>
      <c r="Q48" s="2885">
        <f t="shared" si="158"/>
        <v>4.2099999999999999E-2</v>
      </c>
      <c r="R48" s="2900"/>
      <c r="S48" s="2899"/>
      <c r="T48" s="2885"/>
      <c r="U48" s="2885"/>
      <c r="V48" s="2885"/>
    </row>
    <row r="49" spans="1:26">
      <c r="A49" s="2896" t="s">
        <v>2575</v>
      </c>
      <c r="B49" s="2897">
        <f t="shared" si="169"/>
        <v>242.95398227588385</v>
      </c>
      <c r="C49" s="2897">
        <f t="shared" si="169"/>
        <v>199.59137053614126</v>
      </c>
      <c r="D49" s="2897">
        <f t="shared" si="156"/>
        <v>199.59137053614126</v>
      </c>
      <c r="E49" s="2897">
        <f t="shared" si="170"/>
        <v>335.92189522342125</v>
      </c>
      <c r="F49" s="2897">
        <f t="shared" si="170"/>
        <v>183.10139991109489</v>
      </c>
      <c r="G49" s="3658">
        <v>2010</v>
      </c>
      <c r="H49" s="2911">
        <v>2</v>
      </c>
      <c r="I49" s="2911">
        <v>4.6900000000000004</v>
      </c>
      <c r="J49" s="2911">
        <v>3.55</v>
      </c>
      <c r="K49" s="2911">
        <v>5.07</v>
      </c>
      <c r="L49" s="2912">
        <v>4.2300000000000004</v>
      </c>
      <c r="N49" s="2899">
        <f t="shared" si="158"/>
        <v>4.6900000000000004E-2</v>
      </c>
      <c r="O49" s="2885">
        <f t="shared" si="158"/>
        <v>3.5499999999999997E-2</v>
      </c>
      <c r="P49" s="2885">
        <f t="shared" si="158"/>
        <v>5.0700000000000002E-2</v>
      </c>
      <c r="Q49" s="2885">
        <f t="shared" si="158"/>
        <v>4.2300000000000004E-2</v>
      </c>
      <c r="R49" s="2900"/>
      <c r="S49" s="2899"/>
      <c r="T49" s="2885"/>
      <c r="U49" s="2885"/>
      <c r="V49" s="2885"/>
    </row>
    <row r="50" spans="1:26" ht="13.5" thickBot="1">
      <c r="A50" s="2896" t="s">
        <v>2576</v>
      </c>
      <c r="B50" s="2897">
        <f t="shared" si="169"/>
        <v>232.06990378821649</v>
      </c>
      <c r="C50" s="2897">
        <f t="shared" si="169"/>
        <v>192.74878854286936</v>
      </c>
      <c r="D50" s="2897">
        <f t="shared" si="156"/>
        <v>192.74878854286936</v>
      </c>
      <c r="E50" s="2897">
        <f t="shared" si="170"/>
        <v>319.71247284992984</v>
      </c>
      <c r="F50" s="2897">
        <f t="shared" si="170"/>
        <v>175.67053622862409</v>
      </c>
      <c r="G50" s="3661">
        <v>2010</v>
      </c>
      <c r="H50" s="2898">
        <v>1</v>
      </c>
      <c r="I50" s="2898">
        <v>5.4</v>
      </c>
      <c r="J50" s="2898">
        <v>3.2</v>
      </c>
      <c r="K50" s="2898">
        <v>6.16</v>
      </c>
      <c r="L50" s="2904">
        <v>4.51</v>
      </c>
      <c r="N50" s="2899">
        <f t="shared" si="158"/>
        <v>5.4000000000000006E-2</v>
      </c>
      <c r="O50" s="2885">
        <f t="shared" si="158"/>
        <v>3.2000000000000001E-2</v>
      </c>
      <c r="P50" s="2885">
        <f t="shared" si="158"/>
        <v>6.1600000000000002E-2</v>
      </c>
      <c r="Q50" s="2885">
        <f t="shared" si="158"/>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2577</v>
      </c>
      <c r="B51" s="2918">
        <v>220</v>
      </c>
      <c r="C51" s="2918">
        <v>187</v>
      </c>
      <c r="D51" s="2918">
        <f t="shared" si="156"/>
        <v>187</v>
      </c>
      <c r="E51" s="2918">
        <v>301</v>
      </c>
      <c r="F51" s="2919">
        <v>168</v>
      </c>
      <c r="G51" s="3660">
        <v>2009</v>
      </c>
      <c r="H51" s="2920">
        <v>4</v>
      </c>
      <c r="I51" s="2920">
        <v>2.2999999999999998</v>
      </c>
      <c r="J51" s="2920">
        <v>1.04</v>
      </c>
      <c r="K51" s="2920">
        <v>2.84</v>
      </c>
      <c r="L51" s="2921">
        <v>0.67</v>
      </c>
      <c r="N51" s="2915">
        <f t="shared" si="158"/>
        <v>2.3E-2</v>
      </c>
      <c r="O51" s="2916">
        <f t="shared" si="158"/>
        <v>1.04E-2</v>
      </c>
      <c r="P51" s="2916">
        <f t="shared" si="158"/>
        <v>2.8399999999999998E-2</v>
      </c>
      <c r="Q51" s="2916">
        <f t="shared" si="158"/>
        <v>6.7000000000000002E-3</v>
      </c>
      <c r="R51" s="2900"/>
      <c r="S51" s="2909"/>
      <c r="T51" s="2910"/>
      <c r="U51" s="2910"/>
      <c r="V51" s="2910"/>
      <c r="X51" s="2910"/>
      <c r="Y51" s="2910"/>
      <c r="Z51" s="2910"/>
    </row>
    <row r="52" spans="1:26">
      <c r="A52" s="2896" t="s">
        <v>2578</v>
      </c>
      <c r="B52" s="2897">
        <f t="shared" ref="B52:C54" si="171">B51/(1+N51)</f>
        <v>215.05376344086022</v>
      </c>
      <c r="C52" s="2897">
        <f t="shared" si="171"/>
        <v>185.0752177355503</v>
      </c>
      <c r="D52" s="2897">
        <f t="shared" si="156"/>
        <v>185.0752177355503</v>
      </c>
      <c r="E52" s="2897">
        <f t="shared" ref="E52:F54" si="172">E51/(1+P51)</f>
        <v>292.68767016725008</v>
      </c>
      <c r="F52" s="2897">
        <f t="shared" si="172"/>
        <v>166.88189132810174</v>
      </c>
      <c r="G52" s="3658">
        <v>2009</v>
      </c>
      <c r="H52" s="2923">
        <v>3</v>
      </c>
      <c r="I52" s="2923">
        <v>2.1</v>
      </c>
      <c r="J52" s="2923">
        <v>1.86</v>
      </c>
      <c r="K52" s="2923">
        <v>2.29</v>
      </c>
      <c r="L52" s="2924">
        <v>0.85</v>
      </c>
      <c r="N52" s="2899">
        <f t="shared" si="158"/>
        <v>2.1000000000000001E-2</v>
      </c>
      <c r="O52" s="2917">
        <f t="shared" si="158"/>
        <v>1.8600000000000002E-2</v>
      </c>
      <c r="P52" s="2917">
        <f t="shared" si="158"/>
        <v>2.29E-2</v>
      </c>
      <c r="Q52" s="2917">
        <f t="shared" si="158"/>
        <v>8.5000000000000006E-3</v>
      </c>
      <c r="R52" s="2900"/>
      <c r="S52" s="2899"/>
      <c r="T52" s="2885"/>
      <c r="U52" s="2885"/>
      <c r="V52" s="2885"/>
    </row>
    <row r="53" spans="1:26">
      <c r="A53" s="2896" t="s">
        <v>2579</v>
      </c>
      <c r="B53" s="2897">
        <f t="shared" si="171"/>
        <v>210.630522469011</v>
      </c>
      <c r="C53" s="2897">
        <f t="shared" si="171"/>
        <v>181.69567812247232</v>
      </c>
      <c r="D53" s="2897">
        <f t="shared" si="156"/>
        <v>181.69567812247232</v>
      </c>
      <c r="E53" s="2897">
        <f t="shared" si="172"/>
        <v>286.13517466736738</v>
      </c>
      <c r="F53" s="2897">
        <f t="shared" si="172"/>
        <v>165.47535084591149</v>
      </c>
      <c r="G53" s="3658">
        <v>2009</v>
      </c>
      <c r="H53" s="2911">
        <v>2</v>
      </c>
      <c r="I53" s="2911">
        <v>0.86</v>
      </c>
      <c r="J53" s="2911">
        <v>-1.1299999999999999</v>
      </c>
      <c r="K53" s="2911">
        <v>1.79</v>
      </c>
      <c r="L53" s="2912">
        <v>-2.0699999999999998</v>
      </c>
      <c r="N53" s="2899">
        <f t="shared" si="158"/>
        <v>8.6E-3</v>
      </c>
      <c r="O53" s="2917">
        <f t="shared" si="158"/>
        <v>-1.1299999999999999E-2</v>
      </c>
      <c r="P53" s="2917">
        <f t="shared" si="158"/>
        <v>1.7899999999999999E-2</v>
      </c>
      <c r="Q53" s="2917">
        <f t="shared" si="158"/>
        <v>-2.07E-2</v>
      </c>
      <c r="R53" s="2900"/>
      <c r="S53" s="2899"/>
      <c r="T53" s="2885"/>
      <c r="U53" s="2885"/>
      <c r="V53" s="2885"/>
    </row>
    <row r="54" spans="1:26">
      <c r="A54" s="2896" t="s">
        <v>2580</v>
      </c>
      <c r="B54" s="2897">
        <f t="shared" si="171"/>
        <v>208.83454537875372</v>
      </c>
      <c r="C54" s="2897">
        <f t="shared" si="171"/>
        <v>183.77230517090351</v>
      </c>
      <c r="D54" s="2897">
        <f t="shared" si="156"/>
        <v>183.77230517090351</v>
      </c>
      <c r="E54" s="2897">
        <f t="shared" si="172"/>
        <v>281.10342338870947</v>
      </c>
      <c r="F54" s="2897">
        <f t="shared" si="172"/>
        <v>168.97309388942256</v>
      </c>
      <c r="G54" s="3661">
        <v>2009</v>
      </c>
      <c r="H54" s="2898">
        <v>1</v>
      </c>
      <c r="I54" s="2898">
        <v>-2.64</v>
      </c>
      <c r="J54" s="2898">
        <v>-2.5299999999999998</v>
      </c>
      <c r="K54" s="2898">
        <v>-3.02</v>
      </c>
      <c r="L54" s="2904">
        <v>1.52</v>
      </c>
      <c r="N54" s="2901">
        <f t="shared" si="158"/>
        <v>-2.64E-2</v>
      </c>
      <c r="O54" s="2902">
        <f t="shared" si="158"/>
        <v>-2.53E-2</v>
      </c>
      <c r="P54" s="2902">
        <f t="shared" si="158"/>
        <v>-3.0200000000000001E-2</v>
      </c>
      <c r="Q54" s="2902">
        <f t="shared" si="158"/>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2581</v>
      </c>
      <c r="B55" s="2946">
        <v>214</v>
      </c>
      <c r="C55" s="2946">
        <v>188</v>
      </c>
      <c r="D55" s="2946">
        <f t="shared" si="156"/>
        <v>188</v>
      </c>
      <c r="E55" s="2946">
        <v>289</v>
      </c>
      <c r="F55" s="2947">
        <v>166</v>
      </c>
      <c r="G55" s="3660">
        <v>2008</v>
      </c>
      <c r="H55" s="2920">
        <v>4</v>
      </c>
      <c r="I55" s="2920">
        <v>1.73</v>
      </c>
      <c r="J55" s="2920">
        <v>0.03</v>
      </c>
      <c r="K55" s="2920">
        <v>2.59</v>
      </c>
      <c r="L55" s="2921">
        <v>-1.66</v>
      </c>
      <c r="N55" s="2899">
        <f t="shared" si="158"/>
        <v>1.7299999999999999E-2</v>
      </c>
      <c r="O55" s="2885">
        <f t="shared" si="158"/>
        <v>2.9999999999999997E-4</v>
      </c>
      <c r="P55" s="2885">
        <f t="shared" si="158"/>
        <v>2.5899999999999999E-2</v>
      </c>
      <c r="Q55" s="2885">
        <f t="shared" si="158"/>
        <v>-1.66E-2</v>
      </c>
      <c r="R55" s="2900"/>
      <c r="S55" s="2909"/>
      <c r="T55" s="2910"/>
      <c r="U55" s="2910"/>
      <c r="V55" s="2910"/>
      <c r="X55" s="2910"/>
      <c r="Y55" s="2910"/>
      <c r="Z55" s="2910"/>
    </row>
    <row r="56" spans="1:26">
      <c r="A56" s="2896" t="s">
        <v>2582</v>
      </c>
      <c r="B56" s="2897">
        <f t="shared" ref="B56:C58" si="173">B55/(1+N55)</f>
        <v>210.36075887152265</v>
      </c>
      <c r="C56" s="2897">
        <f t="shared" si="173"/>
        <v>187.94361691492554</v>
      </c>
      <c r="D56" s="2897">
        <f t="shared" si="156"/>
        <v>187.94361691492554</v>
      </c>
      <c r="E56" s="2897">
        <f t="shared" ref="E56:F58" si="174">E55/(1+P55)</f>
        <v>281.70386977288234</v>
      </c>
      <c r="F56" s="2897">
        <f t="shared" si="174"/>
        <v>168.80211511083994</v>
      </c>
      <c r="G56" s="3658">
        <v>2008</v>
      </c>
      <c r="H56" s="2923">
        <v>3</v>
      </c>
      <c r="I56" s="2923">
        <v>1.96</v>
      </c>
      <c r="J56" s="2923">
        <v>2.36</v>
      </c>
      <c r="K56" s="2923">
        <v>1.82</v>
      </c>
      <c r="L56" s="2924">
        <v>2.2200000000000002</v>
      </c>
      <c r="N56" s="2899">
        <f t="shared" si="158"/>
        <v>1.9599999999999999E-2</v>
      </c>
      <c r="O56" s="2885">
        <f t="shared" si="158"/>
        <v>2.3599999999999999E-2</v>
      </c>
      <c r="P56" s="2885">
        <f t="shared" si="158"/>
        <v>1.8200000000000001E-2</v>
      </c>
      <c r="Q56" s="2885">
        <f t="shared" si="158"/>
        <v>2.2200000000000001E-2</v>
      </c>
      <c r="R56" s="2900"/>
      <c r="S56" s="2899"/>
      <c r="T56" s="2885"/>
      <c r="U56" s="2885"/>
      <c r="V56" s="2885"/>
    </row>
    <row r="57" spans="1:26">
      <c r="A57" s="2896" t="s">
        <v>2583</v>
      </c>
      <c r="B57" s="2897">
        <f t="shared" si="173"/>
        <v>206.31694671589116</v>
      </c>
      <c r="C57" s="2897">
        <f t="shared" si="173"/>
        <v>183.61041121036101</v>
      </c>
      <c r="D57" s="2897">
        <f t="shared" si="156"/>
        <v>183.61041121036101</v>
      </c>
      <c r="E57" s="2897">
        <f t="shared" si="174"/>
        <v>276.66850301795557</v>
      </c>
      <c r="F57" s="2897">
        <f t="shared" si="174"/>
        <v>165.1360938278614</v>
      </c>
      <c r="G57" s="3658">
        <v>2008</v>
      </c>
      <c r="H57" s="2911">
        <v>2</v>
      </c>
      <c r="I57" s="2911">
        <v>4.93</v>
      </c>
      <c r="J57" s="2911">
        <v>7.38</v>
      </c>
      <c r="K57" s="2911">
        <v>3.98</v>
      </c>
      <c r="L57" s="2912">
        <v>6.86</v>
      </c>
      <c r="N57" s="2899">
        <f t="shared" si="158"/>
        <v>4.9299999999999997E-2</v>
      </c>
      <c r="O57" s="2885">
        <f t="shared" si="158"/>
        <v>7.3800000000000004E-2</v>
      </c>
      <c r="P57" s="2885">
        <f t="shared" si="158"/>
        <v>3.9800000000000002E-2</v>
      </c>
      <c r="Q57" s="2885">
        <f t="shared" si="158"/>
        <v>6.8600000000000008E-2</v>
      </c>
      <c r="R57" s="2900"/>
      <c r="S57" s="2899"/>
      <c r="T57" s="2885"/>
      <c r="U57" s="2885"/>
      <c r="V57" s="2885"/>
    </row>
    <row r="58" spans="1:26" s="2952" customFormat="1" ht="13.5" thickBot="1">
      <c r="A58" s="2896" t="s">
        <v>2584</v>
      </c>
      <c r="B58" s="2949">
        <f t="shared" si="173"/>
        <v>196.62341248059772</v>
      </c>
      <c r="C58" s="2949">
        <f t="shared" si="173"/>
        <v>170.99125648199012</v>
      </c>
      <c r="D58" s="2949">
        <f t="shared" si="156"/>
        <v>170.99125648199012</v>
      </c>
      <c r="E58" s="2949">
        <f t="shared" si="174"/>
        <v>266.07857570490052</v>
      </c>
      <c r="F58" s="2949">
        <f t="shared" si="174"/>
        <v>154.53499328828505</v>
      </c>
      <c r="G58" s="3661">
        <v>2008</v>
      </c>
      <c r="H58" s="2950">
        <v>1</v>
      </c>
      <c r="I58" s="2950">
        <v>4.1399999999999997</v>
      </c>
      <c r="J58" s="2950">
        <v>3.45</v>
      </c>
      <c r="K58" s="2950">
        <v>4.95</v>
      </c>
      <c r="L58" s="2951">
        <v>4.82</v>
      </c>
      <c r="N58" s="2953">
        <f t="shared" si="158"/>
        <v>4.1399999999999999E-2</v>
      </c>
      <c r="O58" s="2954">
        <f t="shared" si="158"/>
        <v>3.4500000000000003E-2</v>
      </c>
      <c r="P58" s="2954">
        <f t="shared" si="158"/>
        <v>4.9500000000000002E-2</v>
      </c>
      <c r="Q58" s="2954">
        <f t="shared" si="158"/>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2585</v>
      </c>
      <c r="B59" s="2918">
        <v>188</v>
      </c>
      <c r="C59" s="2918">
        <v>165</v>
      </c>
      <c r="D59" s="2918">
        <f t="shared" si="156"/>
        <v>165</v>
      </c>
      <c r="E59" s="2918">
        <v>254</v>
      </c>
      <c r="F59" s="2919">
        <v>148</v>
      </c>
      <c r="G59" s="3660">
        <v>2007</v>
      </c>
      <c r="H59" s="2956">
        <v>4</v>
      </c>
      <c r="I59" s="2956">
        <v>5.51</v>
      </c>
      <c r="J59" s="2956">
        <v>4.8899999999999997</v>
      </c>
      <c r="K59" s="2956">
        <v>6.43</v>
      </c>
      <c r="L59" s="2957">
        <v>5.36</v>
      </c>
      <c r="N59" s="2958">
        <f t="shared" ref="N59:O62" si="175">B59/B60-1</f>
        <v>4.1339718365245526E-2</v>
      </c>
      <c r="O59" s="2959">
        <f t="shared" si="175"/>
        <v>4.0324492593776018E-2</v>
      </c>
      <c r="P59" s="2959">
        <f t="shared" ref="P59:Q62" si="176">E59/E60-1</f>
        <v>6.1625555347990968E-2</v>
      </c>
      <c r="Q59" s="2959">
        <f t="shared" si="176"/>
        <v>4.6757569250590603E-2</v>
      </c>
      <c r="R59" s="2900"/>
      <c r="S59" s="2909"/>
      <c r="T59" s="2910"/>
      <c r="U59" s="2910"/>
      <c r="V59" s="2910"/>
      <c r="X59" s="2910"/>
      <c r="Y59" s="2910"/>
      <c r="Z59" s="2910"/>
    </row>
    <row r="60" spans="1:26">
      <c r="A60" s="2896" t="s">
        <v>2586</v>
      </c>
      <c r="B60" s="2897">
        <f t="shared" ref="B60:C62" si="177">B61+(B$59-B$63)*I60/SUM(I$59:I$62)</f>
        <v>180.5366651097618</v>
      </c>
      <c r="C60" s="2897">
        <f t="shared" si="177"/>
        <v>158.60435967302453</v>
      </c>
      <c r="D60" s="2897">
        <f t="shared" si="156"/>
        <v>158.60435967302453</v>
      </c>
      <c r="E60" s="2897">
        <f t="shared" ref="E60:F62" si="178">E61+(E$59-E$63)*K60/SUM(K$59:K$62)</f>
        <v>239.25573260785075</v>
      </c>
      <c r="F60" s="2897">
        <f t="shared" si="178"/>
        <v>141.38899430740037</v>
      </c>
      <c r="G60" s="3658">
        <v>2007</v>
      </c>
      <c r="H60" s="2923">
        <v>3</v>
      </c>
      <c r="I60" s="2923">
        <v>8.65</v>
      </c>
      <c r="J60" s="2923">
        <v>8.06</v>
      </c>
      <c r="K60" s="2923">
        <v>9.94</v>
      </c>
      <c r="L60" s="2924">
        <v>5.8</v>
      </c>
      <c r="N60" s="2958">
        <f t="shared" si="175"/>
        <v>6.940217571740015E-2</v>
      </c>
      <c r="O60" s="2959">
        <f t="shared" si="175"/>
        <v>7.1197482471153428E-2</v>
      </c>
      <c r="P60" s="2959">
        <f t="shared" si="176"/>
        <v>0.10529679922579582</v>
      </c>
      <c r="Q60" s="2959">
        <f t="shared" si="176"/>
        <v>5.3292245059512133E-2</v>
      </c>
      <c r="R60" s="2900"/>
      <c r="S60" s="2899"/>
      <c r="T60" s="2885"/>
      <c r="U60" s="2885"/>
      <c r="V60" s="2885"/>
      <c r="X60" s="2960"/>
      <c r="Y60" s="2960"/>
      <c r="Z60" s="2960"/>
    </row>
    <row r="61" spans="1:26">
      <c r="A61" s="2896" t="s">
        <v>2587</v>
      </c>
      <c r="B61" s="2897">
        <f t="shared" si="177"/>
        <v>168.82017748715555</v>
      </c>
      <c r="C61" s="2897">
        <f t="shared" si="177"/>
        <v>148.06267029972753</v>
      </c>
      <c r="D61" s="2897">
        <f t="shared" si="156"/>
        <v>148.06267029972753</v>
      </c>
      <c r="E61" s="2897">
        <f t="shared" si="178"/>
        <v>216.46288379323747</v>
      </c>
      <c r="F61" s="2897">
        <f t="shared" si="178"/>
        <v>134.23529411764704</v>
      </c>
      <c r="G61" s="3658">
        <v>2007</v>
      </c>
      <c r="H61" s="2911">
        <v>2</v>
      </c>
      <c r="I61" s="2911">
        <v>3.67</v>
      </c>
      <c r="J61" s="2911">
        <v>2.3199999999999998</v>
      </c>
      <c r="K61" s="2911">
        <v>5.0199999999999996</v>
      </c>
      <c r="L61" s="2912">
        <v>6.71</v>
      </c>
      <c r="N61" s="2958">
        <f t="shared" si="175"/>
        <v>3.0339138143848032E-2</v>
      </c>
      <c r="O61" s="2959">
        <f t="shared" si="175"/>
        <v>2.0922341588790472E-2</v>
      </c>
      <c r="P61" s="2959">
        <f t="shared" si="176"/>
        <v>5.6164796592717003E-2</v>
      </c>
      <c r="Q61" s="2959">
        <f t="shared" si="176"/>
        <v>6.5704536723887319E-2</v>
      </c>
      <c r="R61" s="2900"/>
      <c r="S61" s="2899"/>
      <c r="T61" s="2885"/>
      <c r="U61" s="2885"/>
      <c r="V61" s="2885"/>
      <c r="X61" s="2960"/>
      <c r="Y61" s="2960"/>
      <c r="Z61" s="2960"/>
    </row>
    <row r="62" spans="1:26">
      <c r="A62" s="2896" t="s">
        <v>2588</v>
      </c>
      <c r="B62" s="2897">
        <f t="shared" si="177"/>
        <v>163.84913591779542</v>
      </c>
      <c r="C62" s="2897">
        <f t="shared" si="177"/>
        <v>145.0283378746594</v>
      </c>
      <c r="D62" s="2897">
        <f t="shared" si="156"/>
        <v>145.0283378746594</v>
      </c>
      <c r="E62" s="2897">
        <f t="shared" si="178"/>
        <v>204.95180722891567</v>
      </c>
      <c r="F62" s="2897">
        <f t="shared" si="178"/>
        <v>125.95920303605313</v>
      </c>
      <c r="G62" s="3661">
        <v>2007</v>
      </c>
      <c r="H62" s="2898">
        <v>1</v>
      </c>
      <c r="I62" s="2898">
        <v>3.58</v>
      </c>
      <c r="J62" s="2898">
        <v>3.08</v>
      </c>
      <c r="K62" s="2898">
        <v>4.34</v>
      </c>
      <c r="L62" s="2904">
        <v>3.21</v>
      </c>
      <c r="N62" s="2961">
        <f t="shared" si="175"/>
        <v>3.0497710174814063E-2</v>
      </c>
      <c r="O62" s="2962">
        <f t="shared" si="175"/>
        <v>2.8569772160704998E-2</v>
      </c>
      <c r="P62" s="2962">
        <f t="shared" si="176"/>
        <v>5.1034908866234296E-2</v>
      </c>
      <c r="Q62" s="2962">
        <f t="shared" si="176"/>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2589</v>
      </c>
      <c r="B63" s="2925">
        <v>159</v>
      </c>
      <c r="C63" s="2925">
        <v>141</v>
      </c>
      <c r="D63" s="2925">
        <f t="shared" si="156"/>
        <v>141</v>
      </c>
      <c r="E63" s="2925">
        <v>195</v>
      </c>
      <c r="F63" s="2926">
        <v>122</v>
      </c>
      <c r="G63" s="3660">
        <v>2006</v>
      </c>
      <c r="H63" s="2920">
        <v>4</v>
      </c>
      <c r="I63" s="2920">
        <v>3.79</v>
      </c>
      <c r="J63" s="2920">
        <v>2.21</v>
      </c>
      <c r="K63" s="2920">
        <v>5.65</v>
      </c>
      <c r="L63" s="2921">
        <v>5.41</v>
      </c>
      <c r="N63" s="2958">
        <f t="shared" ref="N63:O66" si="179">I63/SUM(I$63:I$66)*(B$63/B$67-1)</f>
        <v>7.245466462748526E-2</v>
      </c>
      <c r="O63" s="2959">
        <f t="shared" si="179"/>
        <v>2.3237230038062766E-2</v>
      </c>
      <c r="P63" s="2959">
        <f t="shared" ref="P63:Q66" si="180">K63/SUM(K$63:K$66)*(E$63/E$67-1)</f>
        <v>0.16146893866323722</v>
      </c>
      <c r="Q63" s="2959">
        <f t="shared" si="180"/>
        <v>5.0755230321793784E-2</v>
      </c>
      <c r="R63" s="2900"/>
      <c r="S63" s="2909"/>
      <c r="T63" s="2910"/>
      <c r="U63" s="2910"/>
      <c r="V63" s="2910"/>
      <c r="X63" s="2960"/>
      <c r="Y63" s="2960"/>
      <c r="Z63" s="2960"/>
    </row>
    <row r="64" spans="1:26">
      <c r="A64" s="2896" t="s">
        <v>2590</v>
      </c>
      <c r="B64" s="2897">
        <f t="shared" ref="B64:C66" si="181">B65+(B$63-B$67)*I64/SUM(I$63:I$66)</f>
        <v>149.00125628140702</v>
      </c>
      <c r="C64" s="2897">
        <f t="shared" si="181"/>
        <v>137.95592286501378</v>
      </c>
      <c r="D64" s="2897">
        <f t="shared" si="156"/>
        <v>137.95592286501378</v>
      </c>
      <c r="E64" s="2897">
        <f t="shared" ref="E64:F66" si="182">E65+(E$63-E$67)*K64/SUM(K$63:K$66)</f>
        <v>169.97231450719823</v>
      </c>
      <c r="F64" s="2897">
        <f t="shared" si="182"/>
        <v>116.21390374331551</v>
      </c>
      <c r="G64" s="3658">
        <v>2006</v>
      </c>
      <c r="H64" s="2923">
        <v>3</v>
      </c>
      <c r="I64" s="2923">
        <v>0.92</v>
      </c>
      <c r="J64" s="2923">
        <v>1.08</v>
      </c>
      <c r="K64" s="2923">
        <v>0.73</v>
      </c>
      <c r="L64" s="2924">
        <v>1.08</v>
      </c>
      <c r="N64" s="2958">
        <f t="shared" si="179"/>
        <v>1.7587939698492462E-2</v>
      </c>
      <c r="O64" s="2959">
        <f t="shared" si="179"/>
        <v>1.1355750425840628E-2</v>
      </c>
      <c r="P64" s="2959">
        <f t="shared" si="180"/>
        <v>2.0862358446754544E-2</v>
      </c>
      <c r="Q64" s="2959">
        <f t="shared" si="180"/>
        <v>1.0132282578103011E-2</v>
      </c>
      <c r="R64" s="2900"/>
      <c r="S64" s="2899"/>
      <c r="T64" s="2885"/>
      <c r="U64" s="2885"/>
      <c r="V64" s="2885"/>
      <c r="X64" s="2960"/>
      <c r="Y64" s="2960"/>
      <c r="Z64" s="2960"/>
    </row>
    <row r="65" spans="1:26">
      <c r="A65" s="2896" t="s">
        <v>2591</v>
      </c>
      <c r="B65" s="2897">
        <f t="shared" si="181"/>
        <v>146.57412060301507</v>
      </c>
      <c r="C65" s="2897">
        <f t="shared" si="181"/>
        <v>136.46831955922866</v>
      </c>
      <c r="D65" s="2897">
        <f t="shared" si="156"/>
        <v>136.46831955922866</v>
      </c>
      <c r="E65" s="2897">
        <f t="shared" si="182"/>
        <v>166.73864894795128</v>
      </c>
      <c r="F65" s="2897">
        <f t="shared" si="182"/>
        <v>115.05882352941177</v>
      </c>
      <c r="G65" s="3658">
        <v>2006</v>
      </c>
      <c r="H65" s="2911">
        <v>2</v>
      </c>
      <c r="I65" s="2911">
        <v>0.96</v>
      </c>
      <c r="J65" s="2911">
        <v>0.25</v>
      </c>
      <c r="K65" s="2911">
        <v>1.9</v>
      </c>
      <c r="L65" s="2912">
        <v>0.95</v>
      </c>
      <c r="N65" s="2958">
        <f t="shared" si="179"/>
        <v>1.8352632728861701E-2</v>
      </c>
      <c r="O65" s="2959">
        <f t="shared" si="179"/>
        <v>2.6286459319075526E-3</v>
      </c>
      <c r="P65" s="2959">
        <f t="shared" si="180"/>
        <v>5.4299289107991269E-2</v>
      </c>
      <c r="Q65" s="2959">
        <f t="shared" si="180"/>
        <v>8.9126559714794995E-3</v>
      </c>
      <c r="R65" s="2900"/>
      <c r="S65" s="2899"/>
      <c r="T65" s="2885"/>
      <c r="U65" s="2885"/>
      <c r="V65" s="2885"/>
      <c r="X65" s="2960"/>
      <c r="Y65" s="2960"/>
      <c r="Z65" s="2960"/>
    </row>
    <row r="66" spans="1:26">
      <c r="A66" s="2896" t="s">
        <v>2592</v>
      </c>
      <c r="B66" s="2897">
        <f t="shared" si="181"/>
        <v>144.04145728643215</v>
      </c>
      <c r="C66" s="2897">
        <f t="shared" si="181"/>
        <v>136.12396694214877</v>
      </c>
      <c r="D66" s="2897">
        <f t="shared" si="156"/>
        <v>136.12396694214877</v>
      </c>
      <c r="E66" s="2897">
        <f t="shared" si="182"/>
        <v>158.32225913621264</v>
      </c>
      <c r="F66" s="2897">
        <f t="shared" si="182"/>
        <v>114.04278074866311</v>
      </c>
      <c r="G66" s="3661">
        <v>2006</v>
      </c>
      <c r="H66" s="2898">
        <v>1</v>
      </c>
      <c r="I66" s="2898">
        <v>2.29</v>
      </c>
      <c r="J66" s="2898">
        <v>3.72</v>
      </c>
      <c r="K66" s="2898">
        <v>0.75</v>
      </c>
      <c r="L66" s="2904">
        <v>0.04</v>
      </c>
      <c r="N66" s="2961">
        <f t="shared" si="179"/>
        <v>4.3778675988638847E-2</v>
      </c>
      <c r="O66" s="2962">
        <f t="shared" si="179"/>
        <v>3.9114251466784385E-2</v>
      </c>
      <c r="P66" s="2962">
        <f t="shared" si="180"/>
        <v>2.1433929911049188E-2</v>
      </c>
      <c r="Q66" s="2962">
        <f t="shared" si="180"/>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2593</v>
      </c>
      <c r="B67" s="2925">
        <v>138</v>
      </c>
      <c r="C67" s="2925">
        <v>131</v>
      </c>
      <c r="D67" s="2925">
        <f t="shared" si="156"/>
        <v>131</v>
      </c>
      <c r="E67" s="2925">
        <v>155</v>
      </c>
      <c r="F67" s="2926">
        <v>114</v>
      </c>
      <c r="G67" s="3660">
        <v>2005</v>
      </c>
      <c r="H67" s="2920">
        <v>4</v>
      </c>
      <c r="I67" s="2920">
        <v>3.29</v>
      </c>
      <c r="J67" s="2920">
        <v>1.44</v>
      </c>
      <c r="K67" s="2920">
        <v>0.66</v>
      </c>
      <c r="L67" s="2921">
        <v>7.78</v>
      </c>
      <c r="N67" s="2958">
        <f t="shared" ref="N67:O70" si="183">I67/SUM(I$67:I$70)*(B$67/B$71-1)</f>
        <v>9.9404603216919935E-2</v>
      </c>
      <c r="O67" s="2959">
        <f t="shared" si="183"/>
        <v>4.7636550760861554E-2</v>
      </c>
      <c r="P67" s="2959">
        <f t="shared" ref="P67:Q70" si="184">K67/SUM(K$67:K$70)*(E$67/E$71-1)</f>
        <v>8.3756345177664976E-2</v>
      </c>
      <c r="Q67" s="2959">
        <f t="shared" si="184"/>
        <v>5.2148766661559584E-2</v>
      </c>
      <c r="R67" s="2900"/>
      <c r="S67" s="2909"/>
      <c r="T67" s="2910"/>
      <c r="U67" s="2910"/>
      <c r="V67" s="2910"/>
      <c r="X67" s="2960"/>
      <c r="Y67" s="2960"/>
      <c r="Z67" s="2960"/>
    </row>
    <row r="68" spans="1:26">
      <c r="A68" s="2896" t="s">
        <v>2594</v>
      </c>
      <c r="B68" s="2897">
        <f t="shared" ref="B68:C70" si="185">B69+(B$67-B$71)*I68/SUM(I$67:I$70)</f>
        <v>125.9720430107527</v>
      </c>
      <c r="C68" s="2897">
        <f t="shared" si="185"/>
        <v>125.1883408071749</v>
      </c>
      <c r="D68" s="2897">
        <f t="shared" si="156"/>
        <v>125.1883408071749</v>
      </c>
      <c r="E68" s="2897">
        <f t="shared" ref="E68:F70" si="186">E69+(E$67-E$71)*K68/SUM(K$67:K$70)</f>
        <v>144.61421319796952</v>
      </c>
      <c r="F68" s="2897">
        <f t="shared" si="186"/>
        <v>108.42008196721311</v>
      </c>
      <c r="G68" s="3658">
        <v>2005</v>
      </c>
      <c r="H68" s="2923">
        <v>3</v>
      </c>
      <c r="I68" s="2923">
        <v>0.46</v>
      </c>
      <c r="J68" s="2923">
        <v>0.32</v>
      </c>
      <c r="K68" s="2923">
        <v>0.42</v>
      </c>
      <c r="L68" s="2924">
        <v>0.64</v>
      </c>
      <c r="N68" s="2958">
        <f t="shared" si="183"/>
        <v>1.3898515951301874E-2</v>
      </c>
      <c r="O68" s="2959">
        <f t="shared" si="183"/>
        <v>1.0585900169080346E-2</v>
      </c>
      <c r="P68" s="2959">
        <f t="shared" si="184"/>
        <v>5.3299492385786795E-2</v>
      </c>
      <c r="Q68" s="2959">
        <f t="shared" si="184"/>
        <v>4.2898728359123568E-3</v>
      </c>
      <c r="R68" s="2900"/>
      <c r="S68" s="2899"/>
      <c r="T68" s="2885"/>
      <c r="U68" s="2885"/>
      <c r="V68" s="2885"/>
      <c r="X68" s="2960"/>
      <c r="Y68" s="2960"/>
      <c r="Z68" s="2960"/>
    </row>
    <row r="69" spans="1:26">
      <c r="A69" s="2896" t="s">
        <v>2595</v>
      </c>
      <c r="B69" s="2897">
        <f t="shared" si="185"/>
        <v>124.29032258064517</v>
      </c>
      <c r="C69" s="2897">
        <f t="shared" si="185"/>
        <v>123.8968609865471</v>
      </c>
      <c r="D69" s="2897">
        <f t="shared" si="156"/>
        <v>123.8968609865471</v>
      </c>
      <c r="E69" s="2897">
        <f t="shared" si="186"/>
        <v>138.00507614213197</v>
      </c>
      <c r="F69" s="2897">
        <f t="shared" si="186"/>
        <v>107.96106557377048</v>
      </c>
      <c r="G69" s="3658">
        <v>2005</v>
      </c>
      <c r="H69" s="2911">
        <v>2</v>
      </c>
      <c r="I69" s="2911">
        <v>0.47</v>
      </c>
      <c r="J69" s="2911">
        <v>0.1</v>
      </c>
      <c r="K69" s="2911">
        <v>0.52</v>
      </c>
      <c r="L69" s="2912">
        <v>0.79</v>
      </c>
      <c r="N69" s="2958">
        <f t="shared" si="183"/>
        <v>1.420065760241713E-2</v>
      </c>
      <c r="O69" s="2959">
        <f t="shared" si="183"/>
        <v>3.3080938028376083E-3</v>
      </c>
      <c r="P69" s="2959">
        <f t="shared" si="184"/>
        <v>6.598984771573603E-2</v>
      </c>
      <c r="Q69" s="2959">
        <f t="shared" si="184"/>
        <v>5.2953117818293153E-3</v>
      </c>
      <c r="R69" s="2900"/>
      <c r="S69" s="2899"/>
      <c r="T69" s="2885"/>
      <c r="U69" s="2885"/>
      <c r="V69" s="2885"/>
      <c r="X69" s="2960"/>
      <c r="Y69" s="2960"/>
      <c r="Z69" s="2960"/>
    </row>
    <row r="70" spans="1:26">
      <c r="A70" s="2896" t="s">
        <v>2596</v>
      </c>
      <c r="B70" s="2897">
        <f t="shared" si="185"/>
        <v>122.57204301075269</v>
      </c>
      <c r="C70" s="2897">
        <f t="shared" si="185"/>
        <v>123.4932735426009</v>
      </c>
      <c r="D70" s="2897">
        <f t="shared" si="156"/>
        <v>123.4932735426009</v>
      </c>
      <c r="E70" s="2897">
        <f t="shared" si="186"/>
        <v>129.82233502538071</v>
      </c>
      <c r="F70" s="2897">
        <f t="shared" si="186"/>
        <v>107.39446721311475</v>
      </c>
      <c r="G70" s="3661">
        <v>2005</v>
      </c>
      <c r="H70" s="2898">
        <v>1</v>
      </c>
      <c r="I70" s="2898">
        <v>0.43</v>
      </c>
      <c r="J70" s="2898">
        <v>0.37</v>
      </c>
      <c r="K70" s="2898">
        <v>0.37</v>
      </c>
      <c r="L70" s="2904">
        <v>0.55000000000000004</v>
      </c>
      <c r="N70" s="2961">
        <f t="shared" si="183"/>
        <v>1.2992090997956099E-2</v>
      </c>
      <c r="O70" s="2962">
        <f t="shared" si="183"/>
        <v>1.2239947070499151E-2</v>
      </c>
      <c r="P70" s="2962">
        <f t="shared" si="184"/>
        <v>4.6954314720812178E-2</v>
      </c>
      <c r="Q70" s="2962">
        <f t="shared" si="184"/>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2597</v>
      </c>
      <c r="B71" s="2946">
        <v>121</v>
      </c>
      <c r="C71" s="2946">
        <v>122</v>
      </c>
      <c r="D71" s="2946">
        <f t="shared" si="156"/>
        <v>122</v>
      </c>
      <c r="E71" s="2946">
        <v>124</v>
      </c>
      <c r="F71" s="2947">
        <v>107</v>
      </c>
      <c r="G71" s="3660">
        <v>2004</v>
      </c>
      <c r="H71" s="2920">
        <v>4</v>
      </c>
      <c r="I71" s="2920">
        <v>0.33</v>
      </c>
      <c r="J71" s="2920">
        <v>0.5</v>
      </c>
      <c r="K71" s="2920">
        <v>0.5</v>
      </c>
      <c r="L71" s="2921">
        <v>0</v>
      </c>
      <c r="N71" s="2958">
        <f t="shared" ref="N71:O74" si="187">I71/SUM(I$71:I$74)*(B$71/B$75-1)</f>
        <v>1.3391770148526898E-2</v>
      </c>
      <c r="O71" s="2959">
        <f t="shared" si="187"/>
        <v>1.063264221158958E-2</v>
      </c>
      <c r="P71" s="2959">
        <f t="shared" ref="P71:Q74" si="188">K71/SUM(K$71:K$74)*(E$71/E$75-1)</f>
        <v>2.2244466688911134E-2</v>
      </c>
      <c r="Q71" s="2959">
        <f t="shared" si="188"/>
        <v>0</v>
      </c>
      <c r="R71" s="2900"/>
      <c r="S71" s="2909"/>
      <c r="T71" s="2910"/>
      <c r="U71" s="2910"/>
      <c r="V71" s="2910"/>
      <c r="X71" s="2960"/>
      <c r="Y71" s="2960"/>
      <c r="Z71" s="2960"/>
    </row>
    <row r="72" spans="1:26">
      <c r="A72" s="2896" t="s">
        <v>2598</v>
      </c>
      <c r="B72" s="2897">
        <f t="shared" ref="B72:C74" si="189">B73+(B$71-B$75)*I72/SUM(I$71:I$74)</f>
        <v>119.51351351351352</v>
      </c>
      <c r="C72" s="2897">
        <f t="shared" si="189"/>
        <v>120.7878787878788</v>
      </c>
      <c r="D72" s="2897">
        <f t="shared" si="156"/>
        <v>120.7878787878788</v>
      </c>
      <c r="E72" s="2897">
        <f t="shared" ref="E72:F74" si="190">E73+(E$71-E$75)*K72/SUM(K$71:K$74)</f>
        <v>121.5975975975976</v>
      </c>
      <c r="F72" s="2897">
        <f t="shared" si="190"/>
        <v>107</v>
      </c>
      <c r="G72" s="3658">
        <v>2004</v>
      </c>
      <c r="H72" s="2923">
        <v>3</v>
      </c>
      <c r="I72" s="2923">
        <v>0.56000000000000005</v>
      </c>
      <c r="J72" s="2923">
        <v>0.8</v>
      </c>
      <c r="K72" s="2923">
        <v>0.83</v>
      </c>
      <c r="L72" s="2924">
        <v>0.06</v>
      </c>
      <c r="N72" s="2958">
        <f t="shared" si="187"/>
        <v>2.2725428130833527E-2</v>
      </c>
      <c r="O72" s="2959">
        <f t="shared" si="187"/>
        <v>1.7012227538543329E-2</v>
      </c>
      <c r="P72" s="2959">
        <f t="shared" si="188"/>
        <v>3.6925814703592477E-2</v>
      </c>
      <c r="Q72" s="2959">
        <f t="shared" si="188"/>
        <v>2.8846153846153744E-2</v>
      </c>
      <c r="R72" s="2900"/>
      <c r="S72" s="2899"/>
      <c r="T72" s="2885"/>
      <c r="U72" s="2885"/>
      <c r="V72" s="2885"/>
      <c r="X72" s="2960"/>
      <c r="Y72" s="2960"/>
      <c r="Z72" s="2960"/>
    </row>
    <row r="73" spans="1:26">
      <c r="A73" s="2896" t="s">
        <v>2599</v>
      </c>
      <c r="B73" s="2897">
        <f t="shared" si="189"/>
        <v>116.99099099099099</v>
      </c>
      <c r="C73" s="2897">
        <f t="shared" si="189"/>
        <v>118.84848484848486</v>
      </c>
      <c r="D73" s="2897">
        <f t="shared" si="156"/>
        <v>118.84848484848486</v>
      </c>
      <c r="E73" s="2897">
        <f t="shared" si="190"/>
        <v>117.60960960960961</v>
      </c>
      <c r="F73" s="2897">
        <f t="shared" si="190"/>
        <v>104</v>
      </c>
      <c r="G73" s="3658">
        <v>2004</v>
      </c>
      <c r="H73" s="2911">
        <v>2</v>
      </c>
      <c r="I73" s="2911">
        <v>1</v>
      </c>
      <c r="J73" s="2911">
        <v>1.5</v>
      </c>
      <c r="K73" s="2911">
        <v>1.5</v>
      </c>
      <c r="L73" s="2912">
        <v>0</v>
      </c>
      <c r="N73" s="2958">
        <f t="shared" si="187"/>
        <v>4.0581121662202721E-2</v>
      </c>
      <c r="O73" s="2959">
        <f t="shared" si="187"/>
        <v>3.1897926634768738E-2</v>
      </c>
      <c r="P73" s="2959">
        <f t="shared" si="188"/>
        <v>6.6733400066733395E-2</v>
      </c>
      <c r="Q73" s="2959">
        <f t="shared" si="188"/>
        <v>0</v>
      </c>
      <c r="R73" s="2900"/>
      <c r="S73" s="2899"/>
      <c r="T73" s="2885"/>
      <c r="U73" s="2885"/>
      <c r="V73" s="2885"/>
      <c r="X73" s="2960"/>
      <c r="Y73" s="2960"/>
      <c r="Z73" s="2960"/>
    </row>
    <row r="74" spans="1:26" s="2952" customFormat="1" ht="13.5" thickBot="1">
      <c r="A74" s="2896" t="s">
        <v>2600</v>
      </c>
      <c r="B74" s="2949">
        <f t="shared" si="189"/>
        <v>112.48648648648648</v>
      </c>
      <c r="C74" s="2949">
        <f t="shared" si="189"/>
        <v>115.21212121212122</v>
      </c>
      <c r="D74" s="2949">
        <f t="shared" si="156"/>
        <v>115.21212121212122</v>
      </c>
      <c r="E74" s="2949">
        <f t="shared" si="190"/>
        <v>110.4024024024024</v>
      </c>
      <c r="F74" s="2949">
        <f t="shared" si="190"/>
        <v>104</v>
      </c>
      <c r="G74" s="3661">
        <v>2004</v>
      </c>
      <c r="H74" s="2950">
        <v>1</v>
      </c>
      <c r="I74" s="2950">
        <v>0.33</v>
      </c>
      <c r="J74" s="2950">
        <v>0.5</v>
      </c>
      <c r="K74" s="2950">
        <v>0.5</v>
      </c>
      <c r="L74" s="2951">
        <v>0</v>
      </c>
      <c r="N74" s="2963">
        <f t="shared" si="187"/>
        <v>1.3391770148526898E-2</v>
      </c>
      <c r="O74" s="2964">
        <f t="shared" si="187"/>
        <v>1.063264221158958E-2</v>
      </c>
      <c r="P74" s="2964">
        <f t="shared" si="188"/>
        <v>2.2244466688911134E-2</v>
      </c>
      <c r="Q74" s="2964">
        <f t="shared" si="188"/>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2601</v>
      </c>
      <c r="B75" s="2966">
        <v>111</v>
      </c>
      <c r="C75" s="2966">
        <v>114</v>
      </c>
      <c r="D75" s="2966">
        <f t="shared" si="156"/>
        <v>114</v>
      </c>
      <c r="E75" s="2966">
        <v>108</v>
      </c>
      <c r="F75" s="2967">
        <v>104</v>
      </c>
      <c r="G75" s="3660">
        <v>2003</v>
      </c>
      <c r="H75" s="2956">
        <v>4</v>
      </c>
      <c r="I75" s="2968"/>
      <c r="J75" s="2968"/>
      <c r="K75" s="2968"/>
      <c r="L75" s="2968"/>
      <c r="N75" s="2969"/>
      <c r="O75" s="2968"/>
      <c r="P75" s="2968"/>
      <c r="Q75" s="2968"/>
      <c r="S75" s="2969"/>
      <c r="T75" s="2968"/>
      <c r="U75" s="2968"/>
      <c r="V75" s="2968"/>
      <c r="X75" s="2960"/>
      <c r="Y75" s="2960"/>
      <c r="Z75" s="2960"/>
    </row>
    <row r="76" spans="1:26">
      <c r="A76" s="2896" t="s">
        <v>2602</v>
      </c>
      <c r="B76" s="2970">
        <f t="shared" ref="B76:C78" si="191">B77+(B$75-B$79)/4</f>
        <v>109.75</v>
      </c>
      <c r="C76" s="2970">
        <f t="shared" si="191"/>
        <v>112.25</v>
      </c>
      <c r="D76" s="2970">
        <f t="shared" si="156"/>
        <v>112.25</v>
      </c>
      <c r="E76" s="2970">
        <f t="shared" ref="E76:F78" si="192">E77+(E$75-E$79)/4</f>
        <v>107.25</v>
      </c>
      <c r="F76" s="2970">
        <f t="shared" si="192"/>
        <v>103.5</v>
      </c>
      <c r="G76" s="3658">
        <v>2003</v>
      </c>
      <c r="H76" s="2923">
        <v>3</v>
      </c>
      <c r="I76" s="2968"/>
      <c r="J76" s="2968"/>
      <c r="K76" s="2968"/>
      <c r="L76" s="2968"/>
      <c r="X76" s="2960"/>
      <c r="Y76" s="2960"/>
      <c r="Z76" s="2960"/>
    </row>
    <row r="77" spans="1:26">
      <c r="A77" s="2896" t="s">
        <v>2603</v>
      </c>
      <c r="B77" s="2970">
        <f t="shared" si="191"/>
        <v>108.5</v>
      </c>
      <c r="C77" s="2970">
        <f t="shared" si="191"/>
        <v>110.5</v>
      </c>
      <c r="D77" s="2970">
        <f t="shared" si="156"/>
        <v>110.5</v>
      </c>
      <c r="E77" s="2970">
        <f t="shared" si="192"/>
        <v>106.5</v>
      </c>
      <c r="F77" s="2970">
        <f t="shared" si="192"/>
        <v>103</v>
      </c>
      <c r="G77" s="3658">
        <v>2003</v>
      </c>
      <c r="H77" s="2911">
        <v>2</v>
      </c>
      <c r="I77" s="2968"/>
      <c r="J77" s="2968"/>
      <c r="K77" s="2968"/>
      <c r="L77" s="2968"/>
      <c r="X77" s="2960"/>
      <c r="Y77" s="2960"/>
      <c r="Z77" s="2960"/>
    </row>
    <row r="78" spans="1:26" ht="13.5" thickBot="1">
      <c r="A78" s="2896" t="s">
        <v>2604</v>
      </c>
      <c r="B78" s="2970">
        <f t="shared" si="191"/>
        <v>107.25</v>
      </c>
      <c r="C78" s="2970">
        <f t="shared" si="191"/>
        <v>108.75</v>
      </c>
      <c r="D78" s="2970">
        <f t="shared" si="156"/>
        <v>108.75</v>
      </c>
      <c r="E78" s="2970">
        <f t="shared" si="192"/>
        <v>105.75</v>
      </c>
      <c r="F78" s="2970">
        <f t="shared" si="192"/>
        <v>102.5</v>
      </c>
      <c r="G78" s="3661">
        <v>2003</v>
      </c>
      <c r="H78" s="2971">
        <v>1</v>
      </c>
      <c r="I78" s="2968"/>
      <c r="J78" s="2968"/>
      <c r="K78" s="2968"/>
      <c r="L78" s="2968"/>
      <c r="S78" s="2899"/>
      <c r="T78" s="2885"/>
      <c r="U78" s="2885"/>
      <c r="X78" s="2960"/>
      <c r="Y78" s="2960"/>
      <c r="Z78" s="2960"/>
    </row>
    <row r="79" spans="1:26" ht="13.5" thickBot="1">
      <c r="A79" s="2896" t="s">
        <v>2605</v>
      </c>
      <c r="B79" s="2972">
        <v>106</v>
      </c>
      <c r="C79" s="2972">
        <v>107</v>
      </c>
      <c r="D79" s="2972">
        <f t="shared" si="156"/>
        <v>107</v>
      </c>
      <c r="E79" s="2972">
        <v>105</v>
      </c>
      <c r="F79" s="2973">
        <v>102</v>
      </c>
      <c r="G79" s="3660">
        <v>2002</v>
      </c>
      <c r="H79" s="2920">
        <v>4</v>
      </c>
      <c r="I79" s="2968"/>
      <c r="J79" s="2968"/>
      <c r="K79" s="2968"/>
      <c r="L79" s="2968"/>
      <c r="N79" s="2969"/>
      <c r="O79" s="2968"/>
      <c r="P79" s="2968"/>
      <c r="Q79" s="2968"/>
      <c r="S79" s="2969"/>
      <c r="T79" s="2968"/>
      <c r="U79" s="2968"/>
      <c r="V79" s="2968"/>
      <c r="X79" s="2960"/>
      <c r="Y79" s="2960"/>
      <c r="Z79" s="2960"/>
    </row>
    <row r="80" spans="1:26">
      <c r="A80" s="2896" t="s">
        <v>2606</v>
      </c>
      <c r="B80" s="2970">
        <f t="shared" ref="B80:C82" si="193">B81+(B$79-B$83)/4</f>
        <v>105</v>
      </c>
      <c r="C80" s="2970">
        <f t="shared" si="193"/>
        <v>106</v>
      </c>
      <c r="D80" s="2970">
        <f t="shared" si="156"/>
        <v>106</v>
      </c>
      <c r="E80" s="2970">
        <f t="shared" ref="E80:F82" si="194">E81+(E$79-E$83)/4</f>
        <v>104.5</v>
      </c>
      <c r="F80" s="2970">
        <f t="shared" si="194"/>
        <v>101.5</v>
      </c>
      <c r="G80" s="3658">
        <v>2002</v>
      </c>
      <c r="H80" s="2923">
        <v>3</v>
      </c>
      <c r="I80" s="2968"/>
      <c r="J80" s="2968"/>
      <c r="K80" s="2968"/>
      <c r="L80" s="2968"/>
      <c r="X80" s="2960"/>
      <c r="Y80" s="2960"/>
      <c r="Z80" s="2960"/>
    </row>
    <row r="81" spans="1:26">
      <c r="A81" s="2896" t="s">
        <v>2607</v>
      </c>
      <c r="B81" s="2970">
        <f t="shared" si="193"/>
        <v>104</v>
      </c>
      <c r="C81" s="2970">
        <f t="shared" si="193"/>
        <v>105</v>
      </c>
      <c r="D81" s="2970">
        <f t="shared" si="156"/>
        <v>105</v>
      </c>
      <c r="E81" s="2970">
        <f t="shared" si="194"/>
        <v>104</v>
      </c>
      <c r="F81" s="2970">
        <f t="shared" si="194"/>
        <v>101</v>
      </c>
      <c r="G81" s="3658">
        <v>2002</v>
      </c>
      <c r="H81" s="2911">
        <v>2</v>
      </c>
      <c r="I81" s="2968"/>
      <c r="J81" s="2968"/>
      <c r="K81" s="2968"/>
      <c r="L81" s="2968"/>
      <c r="X81" s="2960"/>
      <c r="Y81" s="2960"/>
      <c r="Z81" s="2960"/>
    </row>
    <row r="82" spans="1:26" s="2933" customFormat="1" ht="13.5" thickBot="1">
      <c r="A82" s="2929" t="s">
        <v>2608</v>
      </c>
      <c r="B82" s="2936">
        <f t="shared" si="193"/>
        <v>103</v>
      </c>
      <c r="C82" s="2936">
        <f t="shared" si="193"/>
        <v>104</v>
      </c>
      <c r="D82" s="2936">
        <f t="shared" si="156"/>
        <v>104</v>
      </c>
      <c r="E82" s="2936">
        <f t="shared" si="194"/>
        <v>103.5</v>
      </c>
      <c r="F82" s="2936">
        <f t="shared" si="194"/>
        <v>100.5</v>
      </c>
      <c r="G82" s="3661">
        <v>2002</v>
      </c>
      <c r="H82" s="2974">
        <v>1</v>
      </c>
      <c r="I82" s="2975"/>
      <c r="J82" s="2975"/>
      <c r="K82" s="2975"/>
      <c r="L82" s="2975"/>
      <c r="N82" s="2976"/>
      <c r="S82" s="2976"/>
      <c r="X82" s="2977"/>
      <c r="Y82" s="2977"/>
      <c r="Z82" s="2977"/>
    </row>
    <row r="83" spans="1:26" ht="13.5" thickBot="1">
      <c r="B83" s="2978">
        <v>102</v>
      </c>
      <c r="C83" s="2979">
        <v>103</v>
      </c>
      <c r="D83" s="2979">
        <f t="shared" si="156"/>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2609</v>
      </c>
      <c r="G85" s="2983"/>
      <c r="N85" s="2983"/>
      <c r="S85" s="2983"/>
    </row>
    <row r="86" spans="1:26" s="2982" customFormat="1">
      <c r="A86" s="2982" t="s">
        <v>2610</v>
      </c>
      <c r="G86" s="2983"/>
      <c r="N86" s="2983"/>
      <c r="S86" s="2983"/>
    </row>
    <row r="87" spans="1:26" s="2982" customFormat="1">
      <c r="A87" s="2982" t="s">
        <v>2611</v>
      </c>
      <c r="G87" s="2983"/>
      <c r="I87" s="2984"/>
      <c r="J87" s="2984"/>
      <c r="K87" s="2984"/>
      <c r="L87" s="2984"/>
      <c r="N87" s="2985"/>
      <c r="O87" s="2984"/>
      <c r="P87" s="2984"/>
      <c r="Q87" s="2984"/>
      <c r="S87" s="2985"/>
      <c r="T87" s="2984"/>
      <c r="U87" s="2984"/>
      <c r="V87" s="2984"/>
    </row>
    <row r="88" spans="1:26" s="2982" customFormat="1">
      <c r="A88" s="2982" t="s">
        <v>2612</v>
      </c>
      <c r="G88" s="2983"/>
      <c r="N88" s="2983"/>
      <c r="S88" s="2983"/>
    </row>
    <row r="95" spans="1:26" ht="13.5" thickBot="1"/>
    <row r="96" spans="1:26">
      <c r="G96" s="2884"/>
      <c r="S96" s="2986" t="s">
        <v>2613</v>
      </c>
      <c r="T96" s="2987" t="s">
        <v>2614</v>
      </c>
      <c r="U96" s="2987" t="s">
        <v>2615</v>
      </c>
      <c r="V96" s="2987" t="s">
        <v>2616</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2911</v>
      </c>
      <c r="B1" s="3242"/>
      <c r="C1" s="3242"/>
      <c r="D1" s="3242"/>
      <c r="E1" s="3242"/>
      <c r="F1" s="3242"/>
      <c r="G1" s="3243"/>
      <c r="H1" s="3243"/>
      <c r="I1" s="3243"/>
      <c r="J1" s="3243"/>
      <c r="K1" s="3243"/>
      <c r="L1" s="3243"/>
      <c r="M1" s="3243"/>
      <c r="N1" s="3243"/>
    </row>
    <row r="2" spans="1:14" ht="14.25">
      <c r="A2" s="3248" t="s">
        <v>2906</v>
      </c>
      <c r="B2" s="3253">
        <f ca="1">SUMIF(B7:B14,"&lt;&gt;#ref!",B7:B14)</f>
        <v>0</v>
      </c>
      <c r="C2" s="3248" t="s">
        <v>2907</v>
      </c>
      <c r="D2" s="3245"/>
      <c r="E2" s="3245"/>
      <c r="F2" s="3245"/>
      <c r="G2" s="3243"/>
      <c r="H2" s="3243"/>
      <c r="I2" s="3243"/>
      <c r="J2" s="3243"/>
      <c r="K2" s="3243"/>
      <c r="L2" s="3243"/>
      <c r="M2" s="3243"/>
      <c r="N2" s="3243"/>
    </row>
    <row r="3" spans="1:14" ht="14.25">
      <c r="A3" s="3248" t="s">
        <v>2936</v>
      </c>
      <c r="B3" s="3253" t="e">
        <f ca="1">ROUND(B2*10000/E3,0)</f>
        <v>#DIV/0!</v>
      </c>
      <c r="C3" s="3248" t="s">
        <v>2064</v>
      </c>
      <c r="D3" s="3248" t="s">
        <v>2908</v>
      </c>
      <c r="E3" s="3246">
        <f ca="1">SUMIF(E7:E14,"&lt;&gt;#ref!",E7:E14)</f>
        <v>0</v>
      </c>
      <c r="F3" s="3245"/>
      <c r="G3" s="3243"/>
      <c r="H3" s="3243"/>
      <c r="I3" s="3243"/>
      <c r="J3" s="3243"/>
      <c r="K3" s="3243"/>
      <c r="L3" s="3243"/>
      <c r="M3" s="3243"/>
      <c r="N3" s="3243"/>
    </row>
    <row r="4" spans="1:14" ht="14.25">
      <c r="A4" s="3248" t="s">
        <v>2914</v>
      </c>
      <c r="B4" s="3253" t="e">
        <f ca="1">ROUND(B2*10000/E4,0)</f>
        <v>#DIV/0!</v>
      </c>
      <c r="C4" s="3248" t="s">
        <v>2064</v>
      </c>
      <c r="D4" s="3248" t="s">
        <v>2915</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2912</v>
      </c>
      <c r="B6" s="3248" t="s">
        <v>2909</v>
      </c>
      <c r="C6" s="2788"/>
      <c r="D6" s="3245"/>
      <c r="E6" s="3248" t="s">
        <v>2910</v>
      </c>
      <c r="F6" s="3248" t="s">
        <v>2913</v>
      </c>
      <c r="G6" s="3243"/>
      <c r="H6" s="3243"/>
      <c r="I6" s="3243"/>
      <c r="J6" s="3243"/>
      <c r="K6" s="3243"/>
      <c r="L6" s="3243"/>
      <c r="M6" s="3243"/>
      <c r="N6" s="3243"/>
    </row>
    <row r="7" spans="1:14" ht="14.25">
      <c r="A7" s="3251"/>
      <c r="B7" s="3253" t="e">
        <f ca="1">SUMIF(INDIRECT("'"&amp;A7&amp;"'"&amp;"!A:A"),"总价",INDIRECT("'"&amp;A7&amp;"'"&amp;"!B:B"))</f>
        <v>#REF!</v>
      </c>
      <c r="C7" s="3248" t="s">
        <v>2907</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2907</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2907</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2907</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2907</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2907</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2907</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2907</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-1.5</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3669" t="s">
        <v>2442</v>
      </c>
      <c r="C8" s="1738">
        <f ca="1">ROUND(F8*F10*F9*(1-F11)/10000,0)</f>
        <v>0</v>
      </c>
      <c r="D8" s="1735" t="s">
        <v>2513</v>
      </c>
      <c r="E8" s="60" t="s">
        <v>629</v>
      </c>
      <c r="F8" s="773">
        <f ca="1">INDIRECT("'数据-取费表'!u"&amp;$G$1)</f>
        <v>0</v>
      </c>
      <c r="G8" s="1525"/>
      <c r="H8" s="2355" t="s">
        <v>1812</v>
      </c>
      <c r="I8" s="3669" t="s">
        <v>2442</v>
      </c>
      <c r="J8" s="771">
        <f ca="1">ROUND(M8*M10*M9*(1-M11)/10000,0)</f>
        <v>0</v>
      </c>
      <c r="K8" s="337" t="s">
        <v>2513</v>
      </c>
      <c r="L8" s="772" t="s">
        <v>1726</v>
      </c>
      <c r="M8" s="773">
        <f ca="1">INDIRECT("'数据-取费表'!z"&amp;$G$1)</f>
        <v>0</v>
      </c>
    </row>
    <row r="9" spans="1:25" ht="18" customHeight="1">
      <c r="A9" s="2351"/>
      <c r="B9" s="3670"/>
      <c r="C9" s="1739"/>
      <c r="D9" s="1736"/>
      <c r="E9" s="60" t="s">
        <v>630</v>
      </c>
      <c r="F9" s="773">
        <f ca="1">IF(INDIRECT("'数据-取费表'!ah"&amp;$G$1)="",INDIRECT("'数据-取费表'!k"&amp;$G$1),INDIRECT("'数据-取费表'!ah"&amp;$G$1))</f>
        <v>0</v>
      </c>
      <c r="G9" s="1525"/>
      <c r="H9" s="2340"/>
      <c r="I9" s="3670"/>
      <c r="J9" s="776"/>
      <c r="K9" s="777"/>
      <c r="L9" s="772" t="s">
        <v>1727</v>
      </c>
      <c r="M9" s="773">
        <f ca="1">F9</f>
        <v>0</v>
      </c>
    </row>
    <row r="10" spans="1:25" ht="18" customHeight="1">
      <c r="A10" s="2344"/>
      <c r="B10" s="3671"/>
      <c r="C10" s="1739"/>
      <c r="D10" s="1736"/>
      <c r="E10" s="60" t="s">
        <v>631</v>
      </c>
      <c r="F10" s="773">
        <f ca="1">INDIRECT("'数据-取费表'!ai"&amp;$G$1)</f>
        <v>0</v>
      </c>
      <c r="G10" s="1525"/>
      <c r="H10" s="2340"/>
      <c r="I10" s="3671"/>
      <c r="J10" s="776"/>
      <c r="K10" s="777"/>
      <c r="L10" s="772" t="s">
        <v>1728</v>
      </c>
      <c r="M10" s="773">
        <f ca="1">INDIRECT("'数据-取费表'!ai"&amp;$G$1)</f>
        <v>0</v>
      </c>
    </row>
    <row r="11" spans="1:25" ht="18" customHeight="1">
      <c r="A11" s="774"/>
      <c r="B11" s="3672"/>
      <c r="C11" s="1739"/>
      <c r="D11" s="1736"/>
      <c r="E11" s="60" t="s">
        <v>632</v>
      </c>
      <c r="F11" s="782">
        <f ca="1">INDIRECT("'数据-取费表'!w"&amp;$G$1)</f>
        <v>0</v>
      </c>
      <c r="G11" s="1525"/>
      <c r="H11" s="2356"/>
      <c r="I11" s="3671"/>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17">
        <f ca="1">ROUND(IF(AND(项目基本情况!B11="自然人",项目基本情况!B10="北京市"),J8*M19/(1+'数据-取费表'!C42),J20+J21+J22),0)</f>
        <v>0</v>
      </c>
      <c r="K19" s="1891" t="s">
        <v>649</v>
      </c>
      <c r="L19" s="1889" t="s">
        <v>650</v>
      </c>
      <c r="M19" s="3016">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8.0000000000000002E-3</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8.0000000000000002E-3</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1.5</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2.9999999999999997E-4</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17">
        <f ca="1">ROUND(IF(AND(项目基本情况!B11="自然人",项目基本情况!B10="北京市"),C8*F33/(1+'数据-取费表'!C42),C34+C35+C36),0)</f>
        <v>0</v>
      </c>
      <c r="D33" s="1891" t="s">
        <v>649</v>
      </c>
      <c r="E33" s="1889" t="s">
        <v>682</v>
      </c>
      <c r="F33" s="3016">
        <f ca="1">IF(项目基本情况!B11="企业","——",IF('数据-取费表'!B10="住宅",IF(F8*F9*F10/12/(1+'数据-取费表'!F30)&gt;100000,4%,2.5%),IF(F8*F9*F10/12/(1+'数据-取费表'!F30)&gt;100000,12%,7%)))</f>
        <v>7.0000000000000007E-2</v>
      </c>
      <c r="G33" s="1943"/>
      <c r="H33" s="3254"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3668"/>
      <c r="J36" s="1960"/>
      <c r="K36" s="1961"/>
      <c r="L36" s="1960"/>
      <c r="M36" s="1960"/>
    </row>
    <row r="37" spans="1:18" ht="18" customHeight="1">
      <c r="A37" s="802"/>
      <c r="B37" s="781"/>
      <c r="C37" s="68"/>
      <c r="D37" s="803"/>
      <c r="E37" s="772" t="s">
        <v>666</v>
      </c>
      <c r="F37" s="773">
        <f ca="1">INDIRECT("'数据-取费表'!r"&amp;$G$1)</f>
        <v>0</v>
      </c>
      <c r="G37" s="1943"/>
      <c r="H37" s="1946"/>
      <c r="I37" s="3668"/>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20"/>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20"/>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20"/>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-1.5</v>
      </c>
      <c r="K54" s="3673"/>
      <c r="L54" s="3674"/>
      <c r="O54" s="2254" t="s">
        <v>2370</v>
      </c>
      <c r="P54" s="2252" t="s">
        <v>2371</v>
      </c>
      <c r="Q54" s="2253">
        <f ca="1">J54</f>
        <v>-1.5</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3" priority="6">
      <formula>$F$12="自定义"</formula>
    </cfRule>
  </conditionalFormatting>
  <conditionalFormatting sqref="J13">
    <cfRule type="expression" dxfId="132" priority="5">
      <formula>$M$10="自定义"</formula>
    </cfRule>
  </conditionalFormatting>
  <conditionalFormatting sqref="K56">
    <cfRule type="expression" dxfId="131" priority="3">
      <formula>$L$48&gt;$J$51</formula>
    </cfRule>
  </conditionalFormatting>
  <conditionalFormatting sqref="I56">
    <cfRule type="expression" dxfId="130" priority="4">
      <formula>$J$51&gt;$L$48</formula>
    </cfRule>
  </conditionalFormatting>
  <conditionalFormatting sqref="I61">
    <cfRule type="expression" dxfId="129" priority="2">
      <formula>$J$51&gt;$L$48</formula>
    </cfRule>
  </conditionalFormatting>
  <conditionalFormatting sqref="K61">
    <cfRule type="expression" dxfId="12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75" t="s">
        <v>2450</v>
      </c>
      <c r="B1" s="3676"/>
      <c r="C1" s="3677"/>
      <c r="D1" s="3678">
        <f>SUM(I10,I15,I20,I21,I23)</f>
        <v>0</v>
      </c>
      <c r="E1" s="3678"/>
      <c r="F1" s="3678"/>
      <c r="G1" s="3678"/>
      <c r="H1" s="3678"/>
      <c r="I1" s="3679"/>
    </row>
    <row r="2" spans="1:9">
      <c r="A2" s="3680" t="s">
        <v>2451</v>
      </c>
      <c r="B2" s="3681" t="s">
        <v>2452</v>
      </c>
      <c r="C2" s="3681"/>
      <c r="D2" s="2358" t="s">
        <v>2453</v>
      </c>
      <c r="E2" s="2358" t="s">
        <v>2454</v>
      </c>
      <c r="F2" s="2358" t="s">
        <v>2455</v>
      </c>
      <c r="G2" s="2358" t="s">
        <v>2456</v>
      </c>
      <c r="H2" s="2358" t="s">
        <v>2457</v>
      </c>
      <c r="I2" s="2359" t="s">
        <v>2458</v>
      </c>
    </row>
    <row r="3" spans="1:9">
      <c r="A3" s="3680"/>
      <c r="B3" s="3681" t="s">
        <v>2459</v>
      </c>
      <c r="C3" s="3681"/>
      <c r="D3" s="2360"/>
      <c r="E3" s="2358"/>
      <c r="F3" s="2361"/>
      <c r="G3" s="2361"/>
      <c r="H3" s="2362"/>
      <c r="I3" s="2363">
        <f>ROUND(D3*E3*F3*G3*H3/10000,0)</f>
        <v>0</v>
      </c>
    </row>
    <row r="4" spans="1:9">
      <c r="A4" s="3680"/>
      <c r="B4" s="3681" t="s">
        <v>2460</v>
      </c>
      <c r="C4" s="3681"/>
      <c r="D4" s="2360"/>
      <c r="E4" s="2358"/>
      <c r="F4" s="2361"/>
      <c r="G4" s="2361"/>
      <c r="H4" s="2362"/>
      <c r="I4" s="2363">
        <f t="shared" ref="I4:I9" si="0">ROUND(D4*E4*F4*G4*H4/10000,0)</f>
        <v>0</v>
      </c>
    </row>
    <row r="5" spans="1:9">
      <c r="A5" s="3680"/>
      <c r="B5" s="3681" t="s">
        <v>2461</v>
      </c>
      <c r="C5" s="3681"/>
      <c r="D5" s="2360"/>
      <c r="E5" s="2358"/>
      <c r="F5" s="2361"/>
      <c r="G5" s="2361"/>
      <c r="H5" s="2362"/>
      <c r="I5" s="2363">
        <f t="shared" si="0"/>
        <v>0</v>
      </c>
    </row>
    <row r="6" spans="1:9">
      <c r="A6" s="3680"/>
      <c r="B6" s="3681" t="s">
        <v>2462</v>
      </c>
      <c r="C6" s="3681"/>
      <c r="D6" s="2360"/>
      <c r="E6" s="2358"/>
      <c r="F6" s="2361"/>
      <c r="G6" s="2361"/>
      <c r="H6" s="2362"/>
      <c r="I6" s="2363">
        <f t="shared" si="0"/>
        <v>0</v>
      </c>
    </row>
    <row r="7" spans="1:9">
      <c r="A7" s="3680"/>
      <c r="B7" s="3681" t="s">
        <v>2463</v>
      </c>
      <c r="C7" s="3681"/>
      <c r="D7" s="2360"/>
      <c r="E7" s="2358"/>
      <c r="F7" s="2361"/>
      <c r="G7" s="2361"/>
      <c r="H7" s="2362"/>
      <c r="I7" s="2363">
        <f t="shared" si="0"/>
        <v>0</v>
      </c>
    </row>
    <row r="8" spans="1:9">
      <c r="A8" s="3680"/>
      <c r="B8" s="3681" t="s">
        <v>2464</v>
      </c>
      <c r="C8" s="3681"/>
      <c r="D8" s="2360"/>
      <c r="E8" s="2358"/>
      <c r="F8" s="2361"/>
      <c r="G8" s="2361"/>
      <c r="H8" s="2362"/>
      <c r="I8" s="2363">
        <f t="shared" si="0"/>
        <v>0</v>
      </c>
    </row>
    <row r="9" spans="1:9">
      <c r="A9" s="3680"/>
      <c r="B9" s="3681" t="s">
        <v>2465</v>
      </c>
      <c r="C9" s="3681"/>
      <c r="D9" s="2360"/>
      <c r="E9" s="2358"/>
      <c r="F9" s="2361"/>
      <c r="G9" s="2361"/>
      <c r="H9" s="2362"/>
      <c r="I9" s="2363">
        <f t="shared" si="0"/>
        <v>0</v>
      </c>
    </row>
    <row r="10" spans="1:9">
      <c r="A10" s="3680"/>
      <c r="B10" s="3682" t="s">
        <v>2466</v>
      </c>
      <c r="C10" s="3682"/>
      <c r="D10" s="2364">
        <v>527</v>
      </c>
      <c r="E10" s="2364" t="e">
        <f>ROUND(D1*10000/D10/H9,0)</f>
        <v>#DIV/0!</v>
      </c>
      <c r="F10" s="2365"/>
      <c r="G10" s="2365"/>
      <c r="H10" s="2366"/>
      <c r="I10" s="2367">
        <f>SUM(I3:I9)</f>
        <v>0</v>
      </c>
    </row>
    <row r="11" spans="1:9" ht="14.25">
      <c r="A11" s="3680" t="s">
        <v>2467</v>
      </c>
      <c r="B11" s="3681" t="s">
        <v>2468</v>
      </c>
      <c r="C11" s="3681"/>
      <c r="D11" s="2360" t="s">
        <v>2469</v>
      </c>
      <c r="E11" s="2360" t="s">
        <v>2470</v>
      </c>
      <c r="F11" s="2361" t="s">
        <v>2471</v>
      </c>
      <c r="G11" s="2361" t="s">
        <v>2472</v>
      </c>
      <c r="H11" s="2368" t="s">
        <v>2473</v>
      </c>
      <c r="I11" s="2359" t="s">
        <v>2474</v>
      </c>
    </row>
    <row r="12" spans="1:9">
      <c r="A12" s="3680"/>
      <c r="B12" s="3681" t="s">
        <v>2475</v>
      </c>
      <c r="C12" s="3681"/>
      <c r="D12" s="2360"/>
      <c r="E12" s="2360"/>
      <c r="F12" s="2361"/>
      <c r="G12" s="2362"/>
      <c r="H12" s="2369"/>
      <c r="I12" s="2359">
        <f>ROUND(D12*E12*F12*G12/10000,0)</f>
        <v>0</v>
      </c>
    </row>
    <row r="13" spans="1:9">
      <c r="A13" s="3680"/>
      <c r="B13" s="3681" t="s">
        <v>2476</v>
      </c>
      <c r="C13" s="3681"/>
      <c r="D13" s="2360"/>
      <c r="E13" s="2360"/>
      <c r="F13" s="2361"/>
      <c r="G13" s="2362"/>
      <c r="H13" s="2369"/>
      <c r="I13" s="2359">
        <f>ROUND(D13*E13*F13*G13/10000,0)</f>
        <v>0</v>
      </c>
    </row>
    <row r="14" spans="1:9">
      <c r="A14" s="3680"/>
      <c r="B14" s="3681" t="s">
        <v>2477</v>
      </c>
      <c r="C14" s="3681"/>
      <c r="D14" s="2360"/>
      <c r="E14" s="2360"/>
      <c r="F14" s="2361"/>
      <c r="G14" s="2362"/>
      <c r="H14" s="2369"/>
      <c r="I14" s="2359">
        <f>ROUND(D14*E14*F14*G14/10000,0)</f>
        <v>0</v>
      </c>
    </row>
    <row r="15" spans="1:9">
      <c r="A15" s="3680"/>
      <c r="B15" s="3682" t="s">
        <v>2466</v>
      </c>
      <c r="C15" s="3682"/>
      <c r="D15" s="2364"/>
      <c r="E15" s="2364">
        <f>SUM(E12:E14)</f>
        <v>0</v>
      </c>
      <c r="F15" s="2365"/>
      <c r="G15" s="2362"/>
      <c r="H15" s="2369"/>
      <c r="I15" s="2370">
        <f>SUM(I12:I14)</f>
        <v>0</v>
      </c>
    </row>
    <row r="16" spans="1:9" ht="24">
      <c r="A16" s="3680" t="s">
        <v>2478</v>
      </c>
      <c r="B16" s="3681" t="s">
        <v>2479</v>
      </c>
      <c r="C16" s="3681"/>
      <c r="D16" s="2360" t="s">
        <v>2480</v>
      </c>
      <c r="E16" s="2371" t="s">
        <v>2481</v>
      </c>
      <c r="F16" s="2361" t="s">
        <v>2482</v>
      </c>
      <c r="G16" s="2362" t="s">
        <v>2472</v>
      </c>
      <c r="H16" s="2368" t="s">
        <v>2473</v>
      </c>
      <c r="I16" s="2359" t="s">
        <v>2474</v>
      </c>
    </row>
    <row r="17" spans="1:9" ht="14.25">
      <c r="A17" s="3680"/>
      <c r="B17" s="3681" t="s">
        <v>2483</v>
      </c>
      <c r="C17" s="3681"/>
      <c r="D17" s="2360"/>
      <c r="E17" s="2360"/>
      <c r="F17" s="2361"/>
      <c r="G17" s="2362"/>
      <c r="H17" s="2372"/>
      <c r="I17" s="2373">
        <f>ROUND(D17*E17*F17*G17/10000,0)</f>
        <v>0</v>
      </c>
    </row>
    <row r="18" spans="1:9" ht="14.25">
      <c r="A18" s="3680"/>
      <c r="B18" s="3681" t="s">
        <v>2484</v>
      </c>
      <c r="C18" s="3681"/>
      <c r="D18" s="2360"/>
      <c r="E18" s="2360"/>
      <c r="F18" s="2361"/>
      <c r="G18" s="2362"/>
      <c r="H18" s="2372"/>
      <c r="I18" s="2373">
        <f>ROUND(D18*E18*F18*G18/10000,0)</f>
        <v>0</v>
      </c>
    </row>
    <row r="19" spans="1:9" ht="14.25">
      <c r="A19" s="3680"/>
      <c r="B19" s="3681" t="s">
        <v>2485</v>
      </c>
      <c r="C19" s="3681"/>
      <c r="D19" s="2360"/>
      <c r="E19" s="2360"/>
      <c r="F19" s="2361"/>
      <c r="G19" s="2362"/>
      <c r="H19" s="2372"/>
      <c r="I19" s="2373">
        <f>ROUND(D19*E19*F19*G19/10000,0)</f>
        <v>0</v>
      </c>
    </row>
    <row r="20" spans="1:9">
      <c r="A20" s="3680"/>
      <c r="B20" s="3682" t="s">
        <v>2466</v>
      </c>
      <c r="C20" s="3682"/>
      <c r="D20" s="2364">
        <f>SUM(D17:D19)</f>
        <v>0</v>
      </c>
      <c r="E20" s="2364"/>
      <c r="F20" s="2365"/>
      <c r="G20" s="2362"/>
      <c r="H20" s="2369"/>
      <c r="I20" s="2370">
        <f>SUM(I17:I19)</f>
        <v>0</v>
      </c>
    </row>
    <row r="21" spans="1:9">
      <c r="A21" s="3680" t="s">
        <v>2486</v>
      </c>
      <c r="B21" s="3684"/>
      <c r="C21" s="3684"/>
      <c r="D21" s="3684"/>
      <c r="E21" s="3684"/>
      <c r="F21" s="3684"/>
      <c r="G21" s="3684"/>
      <c r="H21" s="2374">
        <v>0.1</v>
      </c>
      <c r="I21" s="2367">
        <f>ROUND(I10*H21,0)</f>
        <v>0</v>
      </c>
    </row>
    <row r="22" spans="1:9" ht="14.25">
      <c r="A22" s="3685" t="s">
        <v>2487</v>
      </c>
      <c r="B22" s="3686"/>
      <c r="C22" s="3687"/>
      <c r="D22" s="2375" t="s">
        <v>2488</v>
      </c>
      <c r="E22" s="2375" t="s">
        <v>2489</v>
      </c>
      <c r="F22" s="2376" t="s">
        <v>2490</v>
      </c>
      <c r="G22" s="2376" t="s">
        <v>2491</v>
      </c>
      <c r="H22" s="2368" t="s">
        <v>2492</v>
      </c>
      <c r="I22" s="2359" t="s">
        <v>2493</v>
      </c>
    </row>
    <row r="23" spans="1:9" ht="14.25" thickBot="1">
      <c r="A23" s="3688"/>
      <c r="B23" s="3689"/>
      <c r="C23" s="3690"/>
      <c r="D23" s="2377"/>
      <c r="E23" s="2377"/>
      <c r="F23" s="2377"/>
      <c r="G23" s="2378"/>
      <c r="H23" s="2379"/>
      <c r="I23" s="2380">
        <f>ROUND(E23*D23*F23*(1-G23)/10000,0)</f>
        <v>0</v>
      </c>
    </row>
    <row r="26" spans="1:9">
      <c r="A26" s="2381" t="s">
        <v>2494</v>
      </c>
      <c r="B26" s="2381"/>
      <c r="C26" s="2381"/>
      <c r="D26" s="2381"/>
      <c r="E26" s="3691">
        <f>C27-C30-C31-C32</f>
        <v>0</v>
      </c>
      <c r="F26" s="3691"/>
      <c r="G26" s="3691"/>
      <c r="H26" s="2754" t="s">
        <v>2820</v>
      </c>
    </row>
    <row r="27" spans="1:9">
      <c r="A27" s="2382">
        <v>1</v>
      </c>
      <c r="B27" s="2383" t="s">
        <v>2495</v>
      </c>
      <c r="C27" s="2383"/>
      <c r="D27" s="2383"/>
      <c r="E27" s="3692"/>
      <c r="F27" s="3692"/>
      <c r="G27" s="3692"/>
    </row>
    <row r="28" spans="1:9">
      <c r="A28" s="2384" t="s">
        <v>2496</v>
      </c>
      <c r="B28" s="2383" t="s">
        <v>2497</v>
      </c>
      <c r="C28" s="2383"/>
      <c r="D28" s="2383"/>
      <c r="E28" s="3692"/>
      <c r="F28" s="3692"/>
      <c r="G28" s="3692"/>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3683"/>
      <c r="F32" s="3683"/>
      <c r="G32" s="3683"/>
    </row>
    <row r="33" spans="1:7" hidden="1">
      <c r="A33" s="3693" t="s">
        <v>2505</v>
      </c>
      <c r="B33" s="3694"/>
      <c r="C33" s="3694"/>
      <c r="D33" s="3695"/>
      <c r="E33" s="3691"/>
      <c r="F33" s="3691"/>
      <c r="G33" s="3691"/>
    </row>
    <row r="34" spans="1:7" hidden="1">
      <c r="A34" s="2386">
        <v>1</v>
      </c>
      <c r="B34" s="2383" t="s">
        <v>2506</v>
      </c>
      <c r="C34" s="2383"/>
      <c r="D34" s="2383"/>
      <c r="E34" s="3692"/>
      <c r="F34" s="3692"/>
      <c r="G34" s="3692"/>
    </row>
    <row r="35" spans="1:7" hidden="1">
      <c r="A35" s="2386">
        <v>2</v>
      </c>
      <c r="B35" s="2383" t="s">
        <v>2507</v>
      </c>
      <c r="C35" s="2383"/>
      <c r="D35" s="2383"/>
      <c r="E35" s="3692"/>
      <c r="F35" s="3692"/>
      <c r="G35" s="3692"/>
    </row>
    <row r="36" spans="1:7" hidden="1">
      <c r="A36" s="2386">
        <v>3</v>
      </c>
      <c r="B36" s="2383" t="s">
        <v>2508</v>
      </c>
      <c r="C36" s="2383"/>
      <c r="D36" s="2383"/>
      <c r="E36" s="3692"/>
      <c r="F36" s="3692"/>
      <c r="G36" s="3692"/>
    </row>
    <row r="37" spans="1:7" hidden="1">
      <c r="A37" s="2386">
        <v>4</v>
      </c>
      <c r="B37" s="2383" t="s">
        <v>2509</v>
      </c>
      <c r="C37" s="2383"/>
      <c r="D37" s="2383"/>
      <c r="E37" s="3692"/>
      <c r="F37" s="3692"/>
      <c r="G37" s="3692"/>
    </row>
    <row r="38" spans="1:7" hidden="1">
      <c r="A38" s="3693" t="s">
        <v>2510</v>
      </c>
      <c r="B38" s="3694"/>
      <c r="C38" s="3694"/>
      <c r="D38" s="3695"/>
      <c r="E38" s="3691"/>
      <c r="F38" s="3691"/>
      <c r="G38" s="36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64"/>
      <c r="D2" s="3264"/>
      <c r="E2" s="3264"/>
      <c r="F2" s="3264"/>
      <c r="G2" s="3264"/>
    </row>
    <row r="3" spans="1:25" s="1940" customFormat="1" ht="18" customHeight="1">
      <c r="A3" s="1329" t="s">
        <v>1673</v>
      </c>
      <c r="B3" s="417" t="e">
        <f ca="1">ROUND(B2*10000/'数据-汇总表'!E3,0)</f>
        <v>#DIV/0!</v>
      </c>
      <c r="C3" s="3264"/>
      <c r="D3" s="3264"/>
      <c r="E3" s="3264"/>
      <c r="F3" s="3264"/>
      <c r="G3" s="3264"/>
    </row>
    <row r="4" spans="1:25" s="1940" customFormat="1" ht="18" customHeight="1">
      <c r="A4" s="418" t="s">
        <v>460</v>
      </c>
      <c r="B4" s="419" t="e">
        <f ca="1">ROUND(B2*10000/'数据-汇总表'!D3,0)</f>
        <v>#DIV/0!</v>
      </c>
      <c r="C4" s="3217"/>
      <c r="D4" s="3264"/>
      <c r="E4" s="3264"/>
      <c r="F4" s="3264"/>
      <c r="G4" s="3264"/>
    </row>
    <row r="5" spans="1:25" s="1940" customFormat="1" ht="18" customHeight="1" thickBot="1">
      <c r="A5" s="421"/>
      <c r="B5" s="422" t="e">
        <f ca="1">ROUND(B2/('数据-汇总表'!D3/666.67),0)</f>
        <v>#DIV/0!</v>
      </c>
      <c r="C5" s="423" t="s">
        <v>461</v>
      </c>
      <c r="D5" s="3264"/>
      <c r="E5" s="3264"/>
      <c r="F5" s="3264"/>
      <c r="G5" s="3264"/>
    </row>
    <row r="6" spans="1:25" s="2062" customFormat="1" ht="13.5" customHeight="1">
      <c r="A6" s="733"/>
      <c r="B6" s="734" t="s">
        <v>596</v>
      </c>
      <c r="C6" s="735" t="s">
        <v>597</v>
      </c>
      <c r="D6" s="735" t="s">
        <v>598</v>
      </c>
      <c r="E6" s="736" t="s">
        <v>599</v>
      </c>
      <c r="F6" s="736" t="s">
        <v>600</v>
      </c>
      <c r="G6" s="3263"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67">
        <f t="shared" ref="C8:C9" si="0">ROUND(D8*E8/10000,0)</f>
        <v>0</v>
      </c>
      <c r="D8" s="3267">
        <v>0</v>
      </c>
      <c r="E8" s="3268">
        <v>0</v>
      </c>
      <c r="F8" s="739"/>
      <c r="G8" s="740"/>
    </row>
    <row r="9" spans="1:25" s="2062" customFormat="1" ht="13.5" customHeight="1">
      <c r="A9" s="2321" t="s">
        <v>2421</v>
      </c>
      <c r="B9" s="2324" t="s">
        <v>2423</v>
      </c>
      <c r="C9" s="3267">
        <f t="shared" si="0"/>
        <v>0</v>
      </c>
      <c r="D9" s="3267">
        <v>0</v>
      </c>
      <c r="E9" s="3268">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0</v>
      </c>
      <c r="D12" s="3267">
        <f>'数据-汇总表'!E5</f>
        <v>0</v>
      </c>
      <c r="E12" s="3267">
        <f>'数据-取费表'!B27</f>
        <v>170</v>
      </c>
      <c r="F12" s="744"/>
      <c r="G12" s="747"/>
    </row>
    <row r="13" spans="1:25" s="2062" customFormat="1" ht="13.5" customHeight="1">
      <c r="A13" s="2327" t="s">
        <v>2427</v>
      </c>
      <c r="B13" s="745" t="s">
        <v>604</v>
      </c>
      <c r="C13" s="746">
        <f>ROUND(D13*E13/10000,0)</f>
        <v>616</v>
      </c>
      <c r="D13" s="3267">
        <f>'数据-汇总表'!E6</f>
        <v>30803.628000000001</v>
      </c>
      <c r="E13" s="3267">
        <f>'数据-取费表'!B28</f>
        <v>200</v>
      </c>
      <c r="F13" s="744"/>
      <c r="G13" s="747"/>
    </row>
    <row r="14" spans="1:25" s="2062" customFormat="1" ht="13.5" customHeight="1">
      <c r="A14" s="2321" t="s">
        <v>2421</v>
      </c>
      <c r="B14" s="2326" t="s">
        <v>2424</v>
      </c>
      <c r="C14" s="3269">
        <f t="shared" ref="C14:C15" si="1">ROUND(D14*E14/10000,0)</f>
        <v>0</v>
      </c>
      <c r="D14" s="3267">
        <v>0</v>
      </c>
      <c r="E14" s="3268">
        <v>0</v>
      </c>
      <c r="F14" s="2325"/>
      <c r="G14" s="2328" t="s">
        <v>2429</v>
      </c>
    </row>
    <row r="15" spans="1:25" s="2062" customFormat="1" ht="13.5" customHeight="1">
      <c r="A15" s="2321" t="s">
        <v>2426</v>
      </c>
      <c r="B15" s="2326" t="s">
        <v>2425</v>
      </c>
      <c r="C15" s="3269">
        <f t="shared" si="1"/>
        <v>0</v>
      </c>
      <c r="D15" s="3267">
        <v>0</v>
      </c>
      <c r="E15" s="3268">
        <v>0</v>
      </c>
      <c r="F15" s="2325"/>
      <c r="G15" s="2328" t="s">
        <v>2430</v>
      </c>
    </row>
    <row r="16" spans="1:25" s="2063" customFormat="1" ht="48">
      <c r="A16" s="2321">
        <v>3</v>
      </c>
      <c r="B16" s="737" t="s">
        <v>607</v>
      </c>
      <c r="C16" s="3269">
        <f t="shared" ref="C16" si="2">ROUND(D16*E16/10000,0)</f>
        <v>0</v>
      </c>
      <c r="D16" s="3267">
        <v>0</v>
      </c>
      <c r="E16" s="3268">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c r="E1" s="2007"/>
      <c r="F1" s="2522"/>
      <c r="G1" s="1530" t="s">
        <v>713</v>
      </c>
      <c r="H1" s="498"/>
      <c r="I1" s="498"/>
      <c r="J1" s="498"/>
      <c r="K1" s="499"/>
      <c r="L1" s="3206"/>
      <c r="M1" s="3207"/>
      <c r="N1" s="3207"/>
      <c r="O1" s="3207"/>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#DIV/0!</v>
      </c>
      <c r="C3" s="839" t="s">
        <v>714</v>
      </c>
      <c r="D3" s="838">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587" t="s">
        <v>514</v>
      </c>
      <c r="D4" s="3588"/>
      <c r="E4" s="3621" t="s">
        <v>515</v>
      </c>
      <c r="F4" s="3622"/>
      <c r="G4" s="3587" t="s">
        <v>516</v>
      </c>
      <c r="H4" s="3588"/>
      <c r="I4" s="3587" t="s">
        <v>517</v>
      </c>
      <c r="J4" s="3588"/>
      <c r="K4" s="840" t="s">
        <v>518</v>
      </c>
      <c r="L4" s="2013"/>
      <c r="M4" s="2014"/>
      <c r="N4" s="2014"/>
      <c r="O4" s="2014"/>
      <c r="P4" s="3589" t="s">
        <v>519</v>
      </c>
      <c r="Q4" s="3590"/>
      <c r="R4" s="3595" t="s">
        <v>515</v>
      </c>
      <c r="S4" s="3596"/>
      <c r="T4" s="3595" t="s">
        <v>516</v>
      </c>
      <c r="U4" s="3596"/>
      <c r="V4" s="3582" t="s">
        <v>517</v>
      </c>
      <c r="W4" s="3582"/>
      <c r="X4" s="1500"/>
      <c r="Y4" s="3595" t="s">
        <v>519</v>
      </c>
      <c r="Z4" s="3596"/>
      <c r="AA4" s="3584" t="s">
        <v>515</v>
      </c>
      <c r="AB4" s="3584" t="s">
        <v>516</v>
      </c>
      <c r="AC4" s="3584" t="s">
        <v>517</v>
      </c>
    </row>
    <row r="5" spans="1:29" ht="15">
      <c r="A5" s="507"/>
      <c r="B5" s="508"/>
      <c r="C5" s="3603" t="s">
        <v>2892</v>
      </c>
      <c r="D5" s="3604"/>
      <c r="E5" s="3700" t="s">
        <v>3068</v>
      </c>
      <c r="F5" s="3624"/>
      <c r="G5" s="3699" t="s">
        <v>3067</v>
      </c>
      <c r="H5" s="3604"/>
      <c r="I5" s="3699" t="s">
        <v>3069</v>
      </c>
      <c r="J5" s="3604"/>
      <c r="K5" s="841"/>
      <c r="L5" s="2013"/>
      <c r="M5" s="2014"/>
      <c r="N5" s="2014"/>
      <c r="O5" s="2014"/>
      <c r="P5" s="3591"/>
      <c r="Q5" s="3592"/>
      <c r="R5" s="3597"/>
      <c r="S5" s="3598"/>
      <c r="T5" s="3597"/>
      <c r="U5" s="3598"/>
      <c r="V5" s="3582"/>
      <c r="W5" s="3582"/>
      <c r="X5" s="1500"/>
      <c r="Y5" s="3597"/>
      <c r="Z5" s="3598"/>
      <c r="AA5" s="3585"/>
      <c r="AB5" s="3585"/>
      <c r="AC5" s="3585"/>
    </row>
    <row r="6" spans="1:29" ht="15.75" thickBot="1">
      <c r="A6" s="509"/>
      <c r="B6" s="510"/>
      <c r="C6" s="3601" t="s">
        <v>2896</v>
      </c>
      <c r="D6" s="3602"/>
      <c r="E6" s="3619" t="s">
        <v>2896</v>
      </c>
      <c r="F6" s="3620"/>
      <c r="G6" s="3601" t="s">
        <v>2896</v>
      </c>
      <c r="H6" s="3602"/>
      <c r="I6" s="3601" t="s">
        <v>2896</v>
      </c>
      <c r="J6" s="3602"/>
      <c r="K6" s="841" t="s">
        <v>520</v>
      </c>
      <c r="L6" s="2013"/>
      <c r="M6" s="2014"/>
      <c r="N6" s="2014"/>
      <c r="O6" s="2014"/>
      <c r="P6" s="3593"/>
      <c r="Q6" s="3594"/>
      <c r="R6" s="3597"/>
      <c r="S6" s="3598"/>
      <c r="T6" s="3599"/>
      <c r="U6" s="3600"/>
      <c r="V6" s="3582"/>
      <c r="W6" s="3582"/>
      <c r="X6" s="1500"/>
      <c r="Y6" s="3599"/>
      <c r="Z6" s="3600"/>
      <c r="AA6" s="3586"/>
      <c r="AB6" s="3586"/>
      <c r="AC6" s="3586"/>
    </row>
    <row r="7" spans="1:29" s="1201" customFormat="1" ht="15.75" thickBot="1">
      <c r="A7" s="2627"/>
      <c r="B7" s="2634" t="s">
        <v>521</v>
      </c>
      <c r="C7" s="511">
        <f>'数据-取费表'!B2</f>
        <v>44424</v>
      </c>
      <c r="D7" s="512">
        <v>100</v>
      </c>
      <c r="E7" s="513">
        <v>44348</v>
      </c>
      <c r="F7" s="514">
        <f>SUMIF(58:58,YEAR(E7)&amp;"-"&amp;MONTH(E7),59:59)</f>
        <v>0</v>
      </c>
      <c r="G7" s="513">
        <v>44348</v>
      </c>
      <c r="H7" s="512">
        <f>SUMIF(58:58,YEAR(G7)&amp;"-"&amp;MONTH(G7),59:59)</f>
        <v>0</v>
      </c>
      <c r="I7" s="513">
        <v>44348</v>
      </c>
      <c r="J7" s="512">
        <f>SUMIF(58:58,YEAR(I7)&amp;"-"&amp;MONTH(I7),59:59)</f>
        <v>0</v>
      </c>
      <c r="K7" s="842"/>
      <c r="L7" s="2015"/>
      <c r="M7" s="2016"/>
      <c r="N7" s="2016"/>
      <c r="O7" s="2016"/>
      <c r="P7" s="3612" t="s">
        <v>522</v>
      </c>
      <c r="Q7" s="3614"/>
      <c r="R7" s="1501" t="s">
        <v>13</v>
      </c>
      <c r="S7" s="1502">
        <f t="shared" ref="S7:S15" si="0">F7</f>
        <v>0</v>
      </c>
      <c r="T7" s="1501" t="s">
        <v>13</v>
      </c>
      <c r="U7" s="1502">
        <f t="shared" ref="U7:U15" si="1">H7</f>
        <v>0</v>
      </c>
      <c r="V7" s="1501" t="s">
        <v>13</v>
      </c>
      <c r="W7" s="1502">
        <f t="shared" ref="W7:W15" si="2">J7</f>
        <v>0</v>
      </c>
      <c r="X7" s="1503"/>
      <c r="Y7" s="3612" t="s">
        <v>522</v>
      </c>
      <c r="Z7" s="3613"/>
      <c r="AA7" s="1504" t="e">
        <f>D7/F7</f>
        <v>#DIV/0!</v>
      </c>
      <c r="AB7" s="1504" t="e">
        <f>D7/H7</f>
        <v>#DIV/0!</v>
      </c>
      <c r="AC7" s="1504" t="e">
        <f>D7/J7</f>
        <v>#DIV/0!</v>
      </c>
    </row>
    <row r="8" spans="1:29" s="1201" customFormat="1" ht="15.75" thickBot="1">
      <c r="A8" s="2628"/>
      <c r="B8" s="2635" t="s">
        <v>523</v>
      </c>
      <c r="C8" s="517" t="s">
        <v>568</v>
      </c>
      <c r="D8" s="512">
        <v>100</v>
      </c>
      <c r="E8" s="843" t="s">
        <v>3070</v>
      </c>
      <c r="F8" s="514">
        <f>SUMIF(61:61,E8,62:62)-SUMIF(61:61,C8,62:62)+100</f>
        <v>100</v>
      </c>
      <c r="G8" s="517" t="s">
        <v>3070</v>
      </c>
      <c r="H8" s="512">
        <f>SUMIF(61:61,G8,62:62)-SUMIF(61:61,C8,62:62)+100</f>
        <v>100</v>
      </c>
      <c r="I8" s="843" t="s">
        <v>3070</v>
      </c>
      <c r="J8" s="512">
        <f>SUMIF(61:61,I8,62:62)-SUMIF(61:61,C8,62:62)+100</f>
        <v>100</v>
      </c>
      <c r="K8" s="842"/>
      <c r="L8" s="2015"/>
      <c r="M8" s="2016"/>
      <c r="N8" s="2016"/>
      <c r="O8" s="2016"/>
      <c r="P8" s="3612" t="s">
        <v>525</v>
      </c>
      <c r="Q8" s="3613"/>
      <c r="R8" s="1501" t="s">
        <v>13</v>
      </c>
      <c r="S8" s="1502">
        <f t="shared" si="0"/>
        <v>100</v>
      </c>
      <c r="T8" s="1501" t="s">
        <v>13</v>
      </c>
      <c r="U8" s="1502">
        <f t="shared" si="1"/>
        <v>100</v>
      </c>
      <c r="V8" s="1501" t="s">
        <v>13</v>
      </c>
      <c r="W8" s="1502">
        <f t="shared" si="2"/>
        <v>100</v>
      </c>
      <c r="X8" s="1503"/>
      <c r="Y8" s="3612" t="s">
        <v>525</v>
      </c>
      <c r="Z8" s="3613"/>
      <c r="AA8" s="1504">
        <f t="shared" ref="AA8:AA46" si="3">D8/F8</f>
        <v>1</v>
      </c>
      <c r="AB8" s="1504">
        <f t="shared" ref="AB8:AB46" si="4">D8/H8</f>
        <v>1</v>
      </c>
      <c r="AC8" s="1504">
        <f t="shared" ref="AC8:AC46" si="5">D8/J8</f>
        <v>1</v>
      </c>
    </row>
    <row r="9" spans="1:29" s="1201" customFormat="1" ht="15">
      <c r="A9" s="2629"/>
      <c r="B9" s="2636" t="s">
        <v>2734</v>
      </c>
      <c r="C9" s="3334" t="s">
        <v>3071</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581" t="s">
        <v>527</v>
      </c>
      <c r="Q9" s="1132" t="str">
        <f t="shared" ref="Q9:Q15" si="6">B9</f>
        <v>用途</v>
      </c>
      <c r="R9" s="1501" t="s">
        <v>8</v>
      </c>
      <c r="S9" s="1502">
        <f t="shared" si="0"/>
        <v>100</v>
      </c>
      <c r="T9" s="1501" t="s">
        <v>8</v>
      </c>
      <c r="U9" s="1502">
        <f t="shared" si="1"/>
        <v>100</v>
      </c>
      <c r="V9" s="1501" t="s">
        <v>8</v>
      </c>
      <c r="W9" s="1502">
        <f t="shared" si="2"/>
        <v>100</v>
      </c>
      <c r="X9" s="1503"/>
      <c r="Y9" s="3527" t="s">
        <v>528</v>
      </c>
      <c r="Z9" s="1131" t="str">
        <f t="shared" ref="Z9:Z15" si="7">Q9</f>
        <v>用途</v>
      </c>
      <c r="AA9" s="1504">
        <f t="shared" si="3"/>
        <v>1</v>
      </c>
      <c r="AB9" s="1504">
        <f t="shared" si="4"/>
        <v>1</v>
      </c>
      <c r="AC9" s="1504">
        <f t="shared" si="5"/>
        <v>1</v>
      </c>
    </row>
    <row r="10" spans="1:29" s="1290" customFormat="1" ht="27">
      <c r="A10" s="2630"/>
      <c r="B10" s="2635" t="s">
        <v>2735</v>
      </c>
      <c r="C10" s="848" t="s">
        <v>3072</v>
      </c>
      <c r="D10" s="251">
        <v>100</v>
      </c>
      <c r="E10" s="849" t="s">
        <v>3072</v>
      </c>
      <c r="F10" s="850">
        <f>SUMIF(65:65,E10,66:66)-SUMIF(65:65,C10,66:66)+100</f>
        <v>100</v>
      </c>
      <c r="G10" s="848" t="s">
        <v>3072</v>
      </c>
      <c r="H10" s="251">
        <f>SUMIF(65:65,G10,66:66)-SUMIF(65:65,C10,66:66)+100</f>
        <v>100</v>
      </c>
      <c r="I10" s="848" t="s">
        <v>3072</v>
      </c>
      <c r="J10" s="251">
        <f>SUMIF(65:65,I10,66:66)-SUMIF(65:65,C10,66:66)+100</f>
        <v>100</v>
      </c>
      <c r="K10" s="851"/>
      <c r="L10" s="2018"/>
      <c r="M10" s="2057"/>
      <c r="N10" s="2057"/>
      <c r="O10" s="2019"/>
      <c r="P10" s="3581"/>
      <c r="Q10" s="1132" t="str">
        <f t="shared" si="6"/>
        <v>土地使用年限（年）</v>
      </c>
      <c r="R10" s="1501" t="s">
        <v>8</v>
      </c>
      <c r="S10" s="1502">
        <f t="shared" si="0"/>
        <v>100</v>
      </c>
      <c r="T10" s="1501" t="s">
        <v>8</v>
      </c>
      <c r="U10" s="1502">
        <f t="shared" si="1"/>
        <v>100</v>
      </c>
      <c r="V10" s="1501" t="s">
        <v>8</v>
      </c>
      <c r="W10" s="1502">
        <f t="shared" si="2"/>
        <v>100</v>
      </c>
      <c r="X10" s="1503"/>
      <c r="Y10" s="3527"/>
      <c r="Z10" s="1131" t="str">
        <f t="shared" si="7"/>
        <v>土地使用年限（年）</v>
      </c>
      <c r="AA10" s="1504">
        <f t="shared" si="3"/>
        <v>1</v>
      </c>
      <c r="AB10" s="1504">
        <f t="shared" si="4"/>
        <v>1</v>
      </c>
      <c r="AC10" s="1504">
        <f t="shared" si="5"/>
        <v>1</v>
      </c>
    </row>
    <row r="11" spans="1:29" ht="15">
      <c r="A11" s="2631"/>
      <c r="B11" s="2635"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20"/>
      <c r="M11" s="2014"/>
      <c r="N11" s="2014"/>
      <c r="O11" s="2021"/>
      <c r="P11" s="3581"/>
      <c r="Q11" s="1132" t="str">
        <f t="shared" si="6"/>
        <v>容积率</v>
      </c>
      <c r="R11" s="1501" t="s">
        <v>11</v>
      </c>
      <c r="S11" s="1502" t="e">
        <f t="shared" si="0"/>
        <v>#N/A</v>
      </c>
      <c r="T11" s="1501" t="s">
        <v>11</v>
      </c>
      <c r="U11" s="1502" t="e">
        <f t="shared" si="1"/>
        <v>#N/A</v>
      </c>
      <c r="V11" s="1501" t="s">
        <v>11</v>
      </c>
      <c r="W11" s="1502" t="e">
        <f t="shared" si="2"/>
        <v>#N/A</v>
      </c>
      <c r="X11" s="1503"/>
      <c r="Y11" s="3527"/>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581"/>
      <c r="Q12" s="1132">
        <f t="shared" si="6"/>
        <v>111</v>
      </c>
      <c r="R12" s="1501" t="s">
        <v>11</v>
      </c>
      <c r="S12" s="1502">
        <f t="shared" si="0"/>
        <v>100</v>
      </c>
      <c r="T12" s="1501" t="s">
        <v>11</v>
      </c>
      <c r="U12" s="1502">
        <f t="shared" si="1"/>
        <v>100</v>
      </c>
      <c r="V12" s="1501" t="s">
        <v>11</v>
      </c>
      <c r="W12" s="1502">
        <f t="shared" si="2"/>
        <v>100</v>
      </c>
      <c r="X12" s="1503"/>
      <c r="Y12" s="3527"/>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581"/>
      <c r="Q13" s="1132">
        <f t="shared" si="6"/>
        <v>111</v>
      </c>
      <c r="R13" s="1501" t="s">
        <v>11</v>
      </c>
      <c r="S13" s="1502">
        <f t="shared" si="0"/>
        <v>100</v>
      </c>
      <c r="T13" s="1501" t="s">
        <v>11</v>
      </c>
      <c r="U13" s="1502">
        <f t="shared" si="1"/>
        <v>100</v>
      </c>
      <c r="V13" s="1501" t="s">
        <v>11</v>
      </c>
      <c r="W13" s="1502">
        <f t="shared" si="2"/>
        <v>100</v>
      </c>
      <c r="X13" s="1503"/>
      <c r="Y13" s="3527"/>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581"/>
      <c r="Q14" s="1132">
        <f t="shared" si="6"/>
        <v>111</v>
      </c>
      <c r="R14" s="1501" t="s">
        <v>11</v>
      </c>
      <c r="S14" s="1502">
        <f t="shared" si="0"/>
        <v>100</v>
      </c>
      <c r="T14" s="1501" t="s">
        <v>11</v>
      </c>
      <c r="U14" s="1502">
        <f t="shared" si="1"/>
        <v>100</v>
      </c>
      <c r="V14" s="1501" t="s">
        <v>11</v>
      </c>
      <c r="W14" s="1502">
        <f t="shared" si="2"/>
        <v>100</v>
      </c>
      <c r="X14" s="1503"/>
      <c r="Y14" s="3527"/>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3615" t="s">
        <v>532</v>
      </c>
      <c r="Q15" s="1505" t="str">
        <f t="shared" si="6"/>
        <v>居住社区成熟度</v>
      </c>
      <c r="R15" s="1506" t="s">
        <v>11</v>
      </c>
      <c r="S15" s="1507">
        <f t="shared" si="0"/>
        <v>100</v>
      </c>
      <c r="T15" s="1506" t="s">
        <v>11</v>
      </c>
      <c r="U15" s="1507">
        <f t="shared" si="1"/>
        <v>100</v>
      </c>
      <c r="V15" s="1506" t="s">
        <v>11</v>
      </c>
      <c r="W15" s="1507">
        <f t="shared" si="2"/>
        <v>100</v>
      </c>
      <c r="X15" s="1500"/>
      <c r="Y15" s="3615"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3616"/>
      <c r="Q16" s="1505"/>
      <c r="R16" s="1506"/>
      <c r="S16" s="1507"/>
      <c r="T16" s="1506"/>
      <c r="U16" s="1507"/>
      <c r="V16" s="1506"/>
      <c r="W16" s="1507"/>
      <c r="X16" s="1500"/>
      <c r="Y16" s="3616"/>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3616"/>
      <c r="Q17" s="1505" t="str">
        <f>B17</f>
        <v>交通便捷度</v>
      </c>
      <c r="R17" s="1506" t="s">
        <v>11</v>
      </c>
      <c r="S17" s="1507">
        <f>F17</f>
        <v>100</v>
      </c>
      <c r="T17" s="1506" t="s">
        <v>11</v>
      </c>
      <c r="U17" s="1507">
        <f>H17</f>
        <v>100</v>
      </c>
      <c r="V17" s="1506" t="s">
        <v>11</v>
      </c>
      <c r="W17" s="1507">
        <f>J17</f>
        <v>100</v>
      </c>
      <c r="X17" s="1500"/>
      <c r="Y17" s="361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3616"/>
      <c r="Q18" s="1505"/>
      <c r="R18" s="1506"/>
      <c r="S18" s="1507"/>
      <c r="T18" s="1506"/>
      <c r="U18" s="1507"/>
      <c r="V18" s="1506"/>
      <c r="W18" s="1507"/>
      <c r="X18" s="1500"/>
      <c r="Y18" s="3616"/>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3616"/>
      <c r="Q19" s="1505" t="str">
        <f>B19</f>
        <v>公共配套设施</v>
      </c>
      <c r="R19" s="1506" t="s">
        <v>11</v>
      </c>
      <c r="S19" s="1507">
        <f>F19</f>
        <v>100</v>
      </c>
      <c r="T19" s="1506" t="s">
        <v>11</v>
      </c>
      <c r="U19" s="1507">
        <f>H19</f>
        <v>100</v>
      </c>
      <c r="V19" s="1506" t="s">
        <v>11</v>
      </c>
      <c r="W19" s="1507">
        <f>J19</f>
        <v>100</v>
      </c>
      <c r="X19" s="1500"/>
      <c r="Y19" s="3616"/>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3616"/>
      <c r="Q20" s="1505"/>
      <c r="R20" s="1506"/>
      <c r="S20" s="1507"/>
      <c r="T20" s="1506"/>
      <c r="U20" s="1507"/>
      <c r="V20" s="1506"/>
      <c r="W20" s="1507"/>
      <c r="X20" s="1500"/>
      <c r="Y20" s="3616"/>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3616"/>
      <c r="Q21" s="2427" t="str">
        <f>B21</f>
        <v>基础设施水平</v>
      </c>
      <c r="R21" s="1506" t="s">
        <v>11</v>
      </c>
      <c r="S21" s="1507">
        <f>F21</f>
        <v>100</v>
      </c>
      <c r="T21" s="1506" t="s">
        <v>11</v>
      </c>
      <c r="U21" s="1507">
        <f>H21</f>
        <v>100</v>
      </c>
      <c r="V21" s="1506" t="s">
        <v>11</v>
      </c>
      <c r="W21" s="1507">
        <f>J21</f>
        <v>100</v>
      </c>
      <c r="X21" s="2429"/>
      <c r="Y21" s="3616"/>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3616"/>
      <c r="Q22" s="2427"/>
      <c r="R22" s="1506"/>
      <c r="S22" s="1507"/>
      <c r="T22" s="1506"/>
      <c r="U22" s="1507"/>
      <c r="V22" s="1506"/>
      <c r="W22" s="1507"/>
      <c r="X22" s="2429"/>
      <c r="Y22" s="3616"/>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3616"/>
      <c r="Q23" s="1505" t="str">
        <f>B23</f>
        <v>自然及人文环境</v>
      </c>
      <c r="R23" s="1506" t="s">
        <v>11</v>
      </c>
      <c r="S23" s="1507">
        <f>F23</f>
        <v>100</v>
      </c>
      <c r="T23" s="1506" t="s">
        <v>11</v>
      </c>
      <c r="U23" s="1507">
        <f>H23</f>
        <v>100</v>
      </c>
      <c r="V23" s="1506" t="s">
        <v>11</v>
      </c>
      <c r="W23" s="1507">
        <f>J23</f>
        <v>100</v>
      </c>
      <c r="X23" s="1500"/>
      <c r="Y23" s="3616"/>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3616"/>
      <c r="Q24" s="1505"/>
      <c r="R24" s="1506"/>
      <c r="S24" s="1507"/>
      <c r="T24" s="1506"/>
      <c r="U24" s="1507"/>
      <c r="V24" s="1506"/>
      <c r="W24" s="1507"/>
      <c r="X24" s="1500"/>
      <c r="Y24" s="3616"/>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3616"/>
      <c r="Q25" s="1505" t="str">
        <f t="shared" ref="Q25:Q46" si="11">B25</f>
        <v>楼层-1</v>
      </c>
      <c r="R25" s="1506" t="s">
        <v>11</v>
      </c>
      <c r="S25" s="1507">
        <f>F25</f>
        <v>100</v>
      </c>
      <c r="T25" s="1506" t="s">
        <v>11</v>
      </c>
      <c r="U25" s="1507">
        <f>H25</f>
        <v>100</v>
      </c>
      <c r="V25" s="1506" t="s">
        <v>11</v>
      </c>
      <c r="W25" s="1507">
        <f>J25</f>
        <v>100</v>
      </c>
      <c r="X25" s="1500"/>
      <c r="Y25" s="3616"/>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3616"/>
      <c r="Q26" s="1505" t="str">
        <f t="shared" si="11"/>
        <v>朝向</v>
      </c>
      <c r="R26" s="1506" t="s">
        <v>11</v>
      </c>
      <c r="S26" s="1507">
        <f>F26</f>
        <v>100</v>
      </c>
      <c r="T26" s="1506" t="s">
        <v>11</v>
      </c>
      <c r="U26" s="1507">
        <f>H26</f>
        <v>100</v>
      </c>
      <c r="V26" s="1506" t="s">
        <v>11</v>
      </c>
      <c r="W26" s="1507">
        <f>J26</f>
        <v>100</v>
      </c>
      <c r="X26" s="1500"/>
      <c r="Y26" s="3616"/>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3616"/>
      <c r="Q27" s="1132" t="str">
        <f t="shared" si="11"/>
        <v>道路级别</v>
      </c>
      <c r="R27" s="1501" t="s">
        <v>11</v>
      </c>
      <c r="S27" s="1502">
        <f>F27</f>
        <v>100</v>
      </c>
      <c r="T27" s="1501" t="s">
        <v>11</v>
      </c>
      <c r="U27" s="1502">
        <f>H27</f>
        <v>100</v>
      </c>
      <c r="V27" s="1501" t="s">
        <v>11</v>
      </c>
      <c r="W27" s="1502">
        <f>J27</f>
        <v>100</v>
      </c>
      <c r="X27" s="1503"/>
      <c r="Y27" s="3616"/>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3616"/>
      <c r="Q28" s="1505">
        <f t="shared" si="11"/>
        <v>111</v>
      </c>
      <c r="R28" s="1506" t="s">
        <v>11</v>
      </c>
      <c r="S28" s="1507">
        <f t="shared" ref="S28:S46" si="12">F28</f>
        <v>100</v>
      </c>
      <c r="T28" s="1506" t="s">
        <v>11</v>
      </c>
      <c r="U28" s="1507">
        <f t="shared" ref="U28:U46" si="13">H28</f>
        <v>100</v>
      </c>
      <c r="V28" s="1506" t="s">
        <v>11</v>
      </c>
      <c r="W28" s="1507">
        <f t="shared" ref="W28:W46" si="14">J28</f>
        <v>100</v>
      </c>
      <c r="X28" s="1500"/>
      <c r="Y28" s="3616"/>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3616"/>
      <c r="Q29" s="1505">
        <f t="shared" si="11"/>
        <v>111</v>
      </c>
      <c r="R29" s="1506" t="s">
        <v>11</v>
      </c>
      <c r="S29" s="1507">
        <f t="shared" si="12"/>
        <v>100</v>
      </c>
      <c r="T29" s="1506" t="s">
        <v>11</v>
      </c>
      <c r="U29" s="1507">
        <f t="shared" si="13"/>
        <v>100</v>
      </c>
      <c r="V29" s="1506" t="s">
        <v>11</v>
      </c>
      <c r="W29" s="1507">
        <f t="shared" si="14"/>
        <v>100</v>
      </c>
      <c r="X29" s="1500"/>
      <c r="Y29" s="3616"/>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3616"/>
      <c r="Q30" s="1505">
        <f t="shared" si="11"/>
        <v>111</v>
      </c>
      <c r="R30" s="1506" t="s">
        <v>11</v>
      </c>
      <c r="S30" s="1507">
        <f t="shared" si="12"/>
        <v>100</v>
      </c>
      <c r="T30" s="1506" t="s">
        <v>11</v>
      </c>
      <c r="U30" s="1507">
        <f t="shared" si="13"/>
        <v>100</v>
      </c>
      <c r="V30" s="1506" t="s">
        <v>11</v>
      </c>
      <c r="W30" s="1507">
        <f t="shared" si="14"/>
        <v>100</v>
      </c>
      <c r="X30" s="1500"/>
      <c r="Y30" s="3616"/>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3616"/>
      <c r="Q31" s="1505">
        <f t="shared" si="11"/>
        <v>111</v>
      </c>
      <c r="R31" s="1506" t="s">
        <v>11</v>
      </c>
      <c r="S31" s="1507">
        <f t="shared" si="12"/>
        <v>100</v>
      </c>
      <c r="T31" s="1506" t="s">
        <v>11</v>
      </c>
      <c r="U31" s="1507">
        <f t="shared" si="13"/>
        <v>100</v>
      </c>
      <c r="V31" s="1506" t="s">
        <v>11</v>
      </c>
      <c r="W31" s="1507">
        <f t="shared" si="14"/>
        <v>100</v>
      </c>
      <c r="X31" s="1500"/>
      <c r="Y31" s="3616"/>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3617" t="s">
        <v>542</v>
      </c>
      <c r="Q32" s="1505" t="str">
        <f t="shared" si="11"/>
        <v>建筑类型</v>
      </c>
      <c r="R32" s="1506" t="s">
        <v>11</v>
      </c>
      <c r="S32" s="1507">
        <f t="shared" si="12"/>
        <v>100</v>
      </c>
      <c r="T32" s="1506" t="s">
        <v>11</v>
      </c>
      <c r="U32" s="1507">
        <f t="shared" si="13"/>
        <v>100</v>
      </c>
      <c r="V32" s="1506" t="s">
        <v>11</v>
      </c>
      <c r="W32" s="1507">
        <f t="shared" si="14"/>
        <v>100</v>
      </c>
      <c r="X32" s="1500"/>
      <c r="Y32" s="3618" t="s">
        <v>542</v>
      </c>
      <c r="Z32" s="1508" t="str">
        <f t="shared" si="15"/>
        <v>建筑类型</v>
      </c>
      <c r="AA32" s="1509">
        <f t="shared" si="3"/>
        <v>1</v>
      </c>
      <c r="AB32" s="1509">
        <f t="shared" si="4"/>
        <v>1</v>
      </c>
      <c r="AC32" s="1509">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20"/>
      <c r="M33" s="2050"/>
      <c r="N33" s="2050"/>
      <c r="O33" s="2023"/>
      <c r="P33" s="3618"/>
      <c r="Q33" s="1534" t="str">
        <f t="shared" si="11"/>
        <v>项目建筑规模</v>
      </c>
      <c r="R33" s="1510" t="s">
        <v>11</v>
      </c>
      <c r="S33" s="1511" t="e">
        <f t="shared" si="12"/>
        <v>#N/A</v>
      </c>
      <c r="T33" s="1510" t="s">
        <v>11</v>
      </c>
      <c r="U33" s="1511" t="e">
        <f t="shared" si="13"/>
        <v>#N/A</v>
      </c>
      <c r="V33" s="1510" t="s">
        <v>11</v>
      </c>
      <c r="W33" s="1511" t="e">
        <f t="shared" si="14"/>
        <v>#N/A</v>
      </c>
      <c r="X33" s="1512"/>
      <c r="Y33" s="3618"/>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3618"/>
      <c r="Q34" s="1505" t="str">
        <f t="shared" si="11"/>
        <v>建筑结构</v>
      </c>
      <c r="R34" s="1506" t="s">
        <v>11</v>
      </c>
      <c r="S34" s="1507">
        <f t="shared" si="12"/>
        <v>100</v>
      </c>
      <c r="T34" s="1506" t="s">
        <v>11</v>
      </c>
      <c r="U34" s="1507">
        <f t="shared" si="13"/>
        <v>100</v>
      </c>
      <c r="V34" s="1506" t="s">
        <v>11</v>
      </c>
      <c r="W34" s="1507">
        <f t="shared" si="14"/>
        <v>100</v>
      </c>
      <c r="X34" s="1500"/>
      <c r="Y34" s="3618"/>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3618"/>
      <c r="Q35" s="1505" t="str">
        <f t="shared" si="11"/>
        <v>建筑品质</v>
      </c>
      <c r="R35" s="1506" t="s">
        <v>11</v>
      </c>
      <c r="S35" s="1507">
        <f t="shared" si="12"/>
        <v>100</v>
      </c>
      <c r="T35" s="1506" t="s">
        <v>11</v>
      </c>
      <c r="U35" s="1507">
        <f t="shared" si="13"/>
        <v>100</v>
      </c>
      <c r="V35" s="1506" t="s">
        <v>11</v>
      </c>
      <c r="W35" s="1507">
        <f t="shared" si="14"/>
        <v>100</v>
      </c>
      <c r="X35" s="1500"/>
      <c r="Y35" s="3618"/>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3618"/>
      <c r="Q36" s="1505" t="str">
        <f t="shared" si="11"/>
        <v>公共部分装修</v>
      </c>
      <c r="R36" s="1506" t="s">
        <v>11</v>
      </c>
      <c r="S36" s="1507">
        <f t="shared" si="12"/>
        <v>100</v>
      </c>
      <c r="T36" s="1506" t="s">
        <v>11</v>
      </c>
      <c r="U36" s="1507">
        <f t="shared" si="13"/>
        <v>100</v>
      </c>
      <c r="V36" s="1506" t="s">
        <v>11</v>
      </c>
      <c r="W36" s="1507">
        <f t="shared" si="14"/>
        <v>100</v>
      </c>
      <c r="X36" s="1500"/>
      <c r="Y36" s="3618"/>
      <c r="Z36" s="1508" t="str">
        <f t="shared" si="15"/>
        <v>公共部分装修</v>
      </c>
      <c r="AA36" s="1509">
        <f t="shared" si="3"/>
        <v>1</v>
      </c>
      <c r="AB36" s="1509">
        <f t="shared" si="4"/>
        <v>1</v>
      </c>
      <c r="AC36" s="1509">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5"/>
      <c r="M37" s="2016"/>
      <c r="N37" s="2016"/>
      <c r="O37" s="2017"/>
      <c r="P37" s="3618"/>
      <c r="Q37" s="1132" t="str">
        <f t="shared" si="11"/>
        <v>成新度</v>
      </c>
      <c r="R37" s="1501" t="s">
        <v>11</v>
      </c>
      <c r="S37" s="1502" t="e">
        <f t="shared" si="12"/>
        <v>#N/A</v>
      </c>
      <c r="T37" s="1501" t="s">
        <v>11</v>
      </c>
      <c r="U37" s="1502" t="e">
        <f t="shared" si="13"/>
        <v>#N/A</v>
      </c>
      <c r="V37" s="1501" t="s">
        <v>11</v>
      </c>
      <c r="W37" s="1502" t="e">
        <f t="shared" si="14"/>
        <v>#N/A</v>
      </c>
      <c r="X37" s="1503"/>
      <c r="Y37" s="3618"/>
      <c r="Z37" s="1131" t="str">
        <f t="shared" si="15"/>
        <v>成新度</v>
      </c>
      <c r="AA37" s="1504" t="e">
        <f t="shared" si="3"/>
        <v>#N/A</v>
      </c>
      <c r="AB37" s="1504" t="e">
        <f t="shared" si="4"/>
        <v>#N/A</v>
      </c>
      <c r="AC37" s="1504"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3618" t="s">
        <v>542</v>
      </c>
      <c r="Q38" s="1505" t="str">
        <f t="shared" si="11"/>
        <v>物业管理</v>
      </c>
      <c r="R38" s="1506" t="s">
        <v>11</v>
      </c>
      <c r="S38" s="1507">
        <f t="shared" si="12"/>
        <v>100</v>
      </c>
      <c r="T38" s="1506" t="s">
        <v>11</v>
      </c>
      <c r="U38" s="1507">
        <f t="shared" si="13"/>
        <v>100</v>
      </c>
      <c r="V38" s="1506" t="s">
        <v>11</v>
      </c>
      <c r="W38" s="1507">
        <f t="shared" si="14"/>
        <v>100</v>
      </c>
      <c r="X38" s="1500"/>
      <c r="Y38" s="3618"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3618"/>
      <c r="Q39" s="1505" t="str">
        <f t="shared" si="11"/>
        <v>市政基础设施</v>
      </c>
      <c r="R39" s="1506" t="s">
        <v>11</v>
      </c>
      <c r="S39" s="1507">
        <f t="shared" si="12"/>
        <v>100</v>
      </c>
      <c r="T39" s="1506" t="s">
        <v>11</v>
      </c>
      <c r="U39" s="1507">
        <f t="shared" si="13"/>
        <v>100</v>
      </c>
      <c r="V39" s="1506" t="s">
        <v>11</v>
      </c>
      <c r="W39" s="1507">
        <f t="shared" si="14"/>
        <v>100</v>
      </c>
      <c r="X39" s="1500"/>
      <c r="Y39" s="3618"/>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3618"/>
      <c r="Q40" s="1505" t="str">
        <f t="shared" si="11"/>
        <v>房型</v>
      </c>
      <c r="R40" s="1506" t="s">
        <v>11</v>
      </c>
      <c r="S40" s="1507">
        <f t="shared" si="12"/>
        <v>100</v>
      </c>
      <c r="T40" s="1506" t="s">
        <v>11</v>
      </c>
      <c r="U40" s="1507">
        <f t="shared" si="13"/>
        <v>100</v>
      </c>
      <c r="V40" s="1506" t="s">
        <v>11</v>
      </c>
      <c r="W40" s="1507">
        <f t="shared" si="14"/>
        <v>100</v>
      </c>
      <c r="X40" s="1500"/>
      <c r="Y40" s="3618"/>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3618"/>
      <c r="Q41" s="1534" t="str">
        <f t="shared" si="11"/>
        <v>单套/主力户型建筑面积</v>
      </c>
      <c r="R41" s="1510" t="s">
        <v>11</v>
      </c>
      <c r="S41" s="1511">
        <f t="shared" si="12"/>
        <v>100</v>
      </c>
      <c r="T41" s="1510" t="s">
        <v>11</v>
      </c>
      <c r="U41" s="1511">
        <f t="shared" si="13"/>
        <v>100</v>
      </c>
      <c r="V41" s="1510" t="s">
        <v>11</v>
      </c>
      <c r="W41" s="1511">
        <f t="shared" si="14"/>
        <v>100</v>
      </c>
      <c r="X41" s="1512"/>
      <c r="Y41" s="3618"/>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3618"/>
      <c r="Q42" s="1505" t="str">
        <f t="shared" si="11"/>
        <v>内部装修</v>
      </c>
      <c r="R42" s="1506" t="s">
        <v>11</v>
      </c>
      <c r="S42" s="1507">
        <f t="shared" si="12"/>
        <v>100</v>
      </c>
      <c r="T42" s="1506" t="s">
        <v>11</v>
      </c>
      <c r="U42" s="1507">
        <f t="shared" si="13"/>
        <v>100</v>
      </c>
      <c r="V42" s="1506" t="s">
        <v>11</v>
      </c>
      <c r="W42" s="1507">
        <f t="shared" si="14"/>
        <v>100</v>
      </c>
      <c r="X42" s="1500"/>
      <c r="Y42" s="3618"/>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3618"/>
      <c r="Q43" s="1505" t="str">
        <f t="shared" si="11"/>
        <v>内部装修维护情况</v>
      </c>
      <c r="R43" s="1506" t="s">
        <v>11</v>
      </c>
      <c r="S43" s="1507">
        <f t="shared" si="12"/>
        <v>100</v>
      </c>
      <c r="T43" s="1506" t="s">
        <v>11</v>
      </c>
      <c r="U43" s="1507">
        <f t="shared" si="13"/>
        <v>100</v>
      </c>
      <c r="V43" s="1506" t="s">
        <v>11</v>
      </c>
      <c r="W43" s="1507">
        <f t="shared" si="14"/>
        <v>100</v>
      </c>
      <c r="X43" s="1500"/>
      <c r="Y43" s="3618"/>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3618"/>
      <c r="Q44" s="1132">
        <f t="shared" si="11"/>
        <v>111</v>
      </c>
      <c r="R44" s="1501" t="s">
        <v>11</v>
      </c>
      <c r="S44" s="1502">
        <f t="shared" si="12"/>
        <v>100</v>
      </c>
      <c r="T44" s="1501" t="s">
        <v>11</v>
      </c>
      <c r="U44" s="1502">
        <f t="shared" si="13"/>
        <v>100</v>
      </c>
      <c r="V44" s="1501" t="s">
        <v>11</v>
      </c>
      <c r="W44" s="1502">
        <f t="shared" si="14"/>
        <v>100</v>
      </c>
      <c r="X44" s="1503"/>
      <c r="Y44" s="3618"/>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3618"/>
      <c r="Q45" s="1505">
        <f t="shared" si="11"/>
        <v>111</v>
      </c>
      <c r="R45" s="1506" t="s">
        <v>11</v>
      </c>
      <c r="S45" s="1507">
        <f t="shared" si="12"/>
        <v>100</v>
      </c>
      <c r="T45" s="1506" t="s">
        <v>11</v>
      </c>
      <c r="U45" s="1507">
        <f t="shared" si="13"/>
        <v>100</v>
      </c>
      <c r="V45" s="1506" t="s">
        <v>11</v>
      </c>
      <c r="W45" s="1507">
        <f t="shared" si="14"/>
        <v>100</v>
      </c>
      <c r="X45" s="1500"/>
      <c r="Y45" s="3618"/>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3698"/>
      <c r="Q46" s="1505">
        <f t="shared" si="11"/>
        <v>111</v>
      </c>
      <c r="R46" s="1506" t="s">
        <v>10</v>
      </c>
      <c r="S46" s="1507">
        <f t="shared" si="12"/>
        <v>100</v>
      </c>
      <c r="T46" s="1506" t="s">
        <v>10</v>
      </c>
      <c r="U46" s="1507">
        <f t="shared" si="13"/>
        <v>100</v>
      </c>
      <c r="V46" s="1506" t="s">
        <v>10</v>
      </c>
      <c r="W46" s="1507">
        <f t="shared" si="14"/>
        <v>100</v>
      </c>
      <c r="X46" s="1500"/>
      <c r="Y46" s="3698"/>
      <c r="Z46" s="1508">
        <f t="shared" si="15"/>
        <v>111</v>
      </c>
      <c r="AA46" s="1509">
        <f t="shared" si="3"/>
        <v>1</v>
      </c>
      <c r="AB46" s="1509">
        <f t="shared" si="4"/>
        <v>1</v>
      </c>
      <c r="AC46" s="1509">
        <f t="shared" si="5"/>
        <v>1</v>
      </c>
    </row>
    <row r="47" spans="1:29" ht="15">
      <c r="A47" s="599" t="s">
        <v>728</v>
      </c>
      <c r="B47" s="874"/>
      <c r="C47" s="2468" t="s">
        <v>9</v>
      </c>
      <c r="D47" s="2469"/>
      <c r="E47" s="2470"/>
      <c r="F47" s="2471"/>
      <c r="G47" s="2472"/>
      <c r="H47" s="2473"/>
      <c r="I47" s="2470"/>
      <c r="J47" s="2473"/>
      <c r="K47" s="1535"/>
      <c r="L47" s="2024"/>
      <c r="M47" s="2025"/>
      <c r="N47" s="2014"/>
      <c r="O47" s="2025"/>
      <c r="P47" s="3581" t="str">
        <f>A47</f>
        <v>成交单价（元/平方米）</v>
      </c>
      <c r="Q47" s="3581"/>
      <c r="R47" s="3697">
        <f>E47</f>
        <v>0</v>
      </c>
      <c r="S47" s="3697"/>
      <c r="T47" s="3697">
        <f>G47</f>
        <v>0</v>
      </c>
      <c r="U47" s="3697"/>
      <c r="V47" s="3697">
        <f>I47</f>
        <v>0</v>
      </c>
      <c r="W47" s="3697"/>
      <c r="X47" s="1495"/>
      <c r="Y47" s="1514"/>
      <c r="Z47" s="1495"/>
      <c r="AA47" s="1495"/>
      <c r="AB47" s="1495"/>
      <c r="AC47" s="1495"/>
    </row>
    <row r="48" spans="1:29" ht="15.75" thickBot="1">
      <c r="A48" s="607" t="s">
        <v>2738</v>
      </c>
      <c r="B48" s="875"/>
      <c r="C48" s="2474" t="e">
        <f>R49</f>
        <v>#DIV/0!</v>
      </c>
      <c r="D48" s="3012" t="s">
        <v>2963</v>
      </c>
      <c r="E48" s="2475" t="e">
        <f>R48</f>
        <v>#DIV/0!</v>
      </c>
      <c r="F48" s="3013"/>
      <c r="G48" s="2474" t="e">
        <f>T48</f>
        <v>#DIV/0!</v>
      </c>
      <c r="H48" s="3013"/>
      <c r="I48" s="2475" t="e">
        <f>V48</f>
        <v>#DIV/0!</v>
      </c>
      <c r="J48" s="3013"/>
      <c r="K48" s="3021">
        <f>F48+H48+J48</f>
        <v>0</v>
      </c>
      <c r="L48" s="2024"/>
      <c r="M48" s="2025"/>
      <c r="N48" s="2025"/>
      <c r="O48" s="2025"/>
      <c r="P48" s="3581" t="str">
        <f>A48</f>
        <v>比较价格（元/平方米）</v>
      </c>
      <c r="Q48" s="3581"/>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1495"/>
      <c r="Y48" s="1495"/>
      <c r="Z48" s="1495"/>
      <c r="AA48" s="1495"/>
      <c r="AB48" s="1495"/>
      <c r="AC48" s="1495"/>
    </row>
    <row r="49" spans="1:29" ht="15.75" thickBot="1">
      <c r="A49" s="611" t="s">
        <v>2898</v>
      </c>
      <c r="B49" s="612"/>
      <c r="C49" s="2476" t="e">
        <f>R49</f>
        <v>#DIV/0!</v>
      </c>
      <c r="D49" s="2476"/>
      <c r="E49" s="2476"/>
      <c r="F49" s="2476"/>
      <c r="G49" s="2476"/>
      <c r="H49" s="2476"/>
      <c r="I49" s="2476"/>
      <c r="J49" s="2476"/>
      <c r="K49" s="1536"/>
      <c r="L49" s="2024"/>
      <c r="M49" s="2025"/>
      <c r="N49" s="2025"/>
      <c r="O49" s="2025"/>
      <c r="P49" s="3578" t="str">
        <f>A49</f>
        <v>估价对象XX用房的比较价格（楼面单价，元/平方米）</v>
      </c>
      <c r="Q49" s="3579"/>
      <c r="R49" s="3696" t="e">
        <f>IF(F1="售价",ROUND(IF(D48="简单平均",AVERAGE(R48:V48),R48*F48+T48*H48+V48*J48),0),ROUND(IF(D48="简单平均",AVERAGE(R48:V48),R48*F48+T48*H48+V48*J48),1))</f>
        <v>#DIV/0!</v>
      </c>
      <c r="S49" s="3696"/>
      <c r="T49" s="3696"/>
      <c r="U49" s="3696"/>
      <c r="V49" s="3696"/>
      <c r="W49" s="3696"/>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7" priority="19" stopIfTrue="1" operator="containsText" text="超过">
      <formula>NOT(ISERROR(SEARCH("超过",F52)))</formula>
    </cfRule>
  </conditionalFormatting>
  <conditionalFormatting sqref="J54">
    <cfRule type="containsText" dxfId="126" priority="18" stopIfTrue="1" operator="containsText" text="超过">
      <formula>NOT(ISERROR(SEARCH("超过",J54)))</formula>
    </cfRule>
  </conditionalFormatting>
  <conditionalFormatting sqref="H54">
    <cfRule type="containsText" dxfId="125" priority="17" stopIfTrue="1" operator="containsText" text="超过">
      <formula>NOT(ISERROR(SEARCH("超过",H54)))</formula>
    </cfRule>
  </conditionalFormatting>
  <conditionalFormatting sqref="F54">
    <cfRule type="containsText" dxfId="124" priority="16" stopIfTrue="1" operator="containsText" text="超过">
      <formula>NOT(ISERROR(SEARCH("超过",F54)))</formula>
    </cfRule>
  </conditionalFormatting>
  <conditionalFormatting sqref="F53 H53 J53">
    <cfRule type="containsText" dxfId="123" priority="15" stopIfTrue="1" operator="containsText" text="超过">
      <formula>NOT(ISERROR(SEARCH("超过",F53)))</formula>
    </cfRule>
  </conditionalFormatting>
  <conditionalFormatting sqref="E52">
    <cfRule type="expression" dxfId="122" priority="14"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5500.65平方米。根据《建设工程规划许可证》[]、《出让合同》[]，估价对象规划建筑面积为30803.628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4" zoomScale="80" zoomScaleNormal="60" zoomScaleSheetLayoutView="80" workbookViewId="0">
      <selection activeCell="J23" sqref="J23"/>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511</v>
      </c>
      <c r="B3" s="502">
        <f>C49</f>
        <v>5.4</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587" t="s">
        <v>514</v>
      </c>
      <c r="D4" s="3588"/>
      <c r="E4" s="3621" t="s">
        <v>515</v>
      </c>
      <c r="F4" s="3622"/>
      <c r="G4" s="3587" t="s">
        <v>516</v>
      </c>
      <c r="H4" s="3588"/>
      <c r="I4" s="3587" t="s">
        <v>517</v>
      </c>
      <c r="J4" s="3588"/>
      <c r="K4" s="506" t="s">
        <v>518</v>
      </c>
      <c r="L4" s="2013"/>
      <c r="M4" s="2014"/>
      <c r="N4" s="2014"/>
      <c r="O4" s="2014"/>
      <c r="P4" s="3589" t="s">
        <v>519</v>
      </c>
      <c r="Q4" s="3590"/>
      <c r="R4" s="3595" t="s">
        <v>515</v>
      </c>
      <c r="S4" s="3596"/>
      <c r="T4" s="3595" t="s">
        <v>516</v>
      </c>
      <c r="U4" s="3596"/>
      <c r="V4" s="3582" t="s">
        <v>517</v>
      </c>
      <c r="W4" s="3582"/>
      <c r="X4" s="1500"/>
      <c r="Y4" s="3595" t="s">
        <v>519</v>
      </c>
      <c r="Z4" s="3596"/>
      <c r="AA4" s="3584" t="s">
        <v>515</v>
      </c>
      <c r="AB4" s="3582" t="s">
        <v>516</v>
      </c>
      <c r="AC4" s="3584" t="s">
        <v>517</v>
      </c>
    </row>
    <row r="5" spans="1:29" ht="15">
      <c r="A5" s="507"/>
      <c r="B5" s="508"/>
      <c r="C5" s="3603" t="s">
        <v>2892</v>
      </c>
      <c r="D5" s="3604"/>
      <c r="E5" s="3623" t="str">
        <f>商业案例截图及地图!H1</f>
        <v>玉桥西路101号</v>
      </c>
      <c r="F5" s="3624"/>
      <c r="G5" s="3603" t="str">
        <f>商业案例截图及地图!H16</f>
        <v>格瑞雅居</v>
      </c>
      <c r="H5" s="3604"/>
      <c r="I5" s="3701" t="s">
        <v>3139</v>
      </c>
      <c r="J5" s="3604"/>
      <c r="K5" s="506"/>
      <c r="L5" s="2013"/>
      <c r="M5" s="2014"/>
      <c r="N5" s="2014"/>
      <c r="O5" s="2014"/>
      <c r="P5" s="3591"/>
      <c r="Q5" s="3592"/>
      <c r="R5" s="3597"/>
      <c r="S5" s="3598"/>
      <c r="T5" s="3597"/>
      <c r="U5" s="3598"/>
      <c r="V5" s="3582"/>
      <c r="W5" s="3582"/>
      <c r="X5" s="1500"/>
      <c r="Y5" s="3597"/>
      <c r="Z5" s="3598"/>
      <c r="AA5" s="3585"/>
      <c r="AB5" s="3582"/>
      <c r="AC5" s="3585"/>
    </row>
    <row r="6" spans="1:29" ht="15.75" thickBot="1">
      <c r="A6" s="509"/>
      <c r="B6" s="510"/>
      <c r="C6" s="3601" t="s">
        <v>2896</v>
      </c>
      <c r="D6" s="3602"/>
      <c r="E6" s="3619" t="s">
        <v>2896</v>
      </c>
      <c r="F6" s="3620"/>
      <c r="G6" s="3601" t="s">
        <v>2896</v>
      </c>
      <c r="H6" s="3602"/>
      <c r="I6" s="3601" t="s">
        <v>2896</v>
      </c>
      <c r="J6" s="3602"/>
      <c r="K6" s="506" t="s">
        <v>520</v>
      </c>
      <c r="L6" s="2013"/>
      <c r="M6" s="2014"/>
      <c r="N6" s="2014"/>
      <c r="O6" s="2014"/>
      <c r="P6" s="3593"/>
      <c r="Q6" s="3594"/>
      <c r="R6" s="3597"/>
      <c r="S6" s="3598"/>
      <c r="T6" s="3599"/>
      <c r="U6" s="3600"/>
      <c r="V6" s="3582"/>
      <c r="W6" s="3582"/>
      <c r="X6" s="1500"/>
      <c r="Y6" s="3599"/>
      <c r="Z6" s="3600"/>
      <c r="AA6" s="3586"/>
      <c r="AB6" s="3582"/>
      <c r="AC6" s="3586"/>
    </row>
    <row r="7" spans="1:29" s="1201" customFormat="1" ht="15.75" thickBot="1">
      <c r="A7" s="2627"/>
      <c r="B7" s="2634" t="s">
        <v>521</v>
      </c>
      <c r="C7" s="511">
        <f>'数据-取费表'!B2</f>
        <v>44424</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3612" t="s">
        <v>522</v>
      </c>
      <c r="Q7" s="3614"/>
      <c r="R7" s="1501" t="s">
        <v>8</v>
      </c>
      <c r="S7" s="1502">
        <f t="shared" ref="S7:S15" si="0">F7</f>
        <v>100</v>
      </c>
      <c r="T7" s="1501" t="s">
        <v>8</v>
      </c>
      <c r="U7" s="1502">
        <f t="shared" ref="U7:U15" si="1">H7</f>
        <v>100</v>
      </c>
      <c r="V7" s="1501" t="s">
        <v>8</v>
      </c>
      <c r="W7" s="1502">
        <f t="shared" ref="W7:W15" si="2">J7</f>
        <v>100</v>
      </c>
      <c r="X7" s="1503"/>
      <c r="Y7" s="3612" t="s">
        <v>522</v>
      </c>
      <c r="Z7" s="3613"/>
      <c r="AA7" s="1504">
        <f>D7/F7</f>
        <v>1</v>
      </c>
      <c r="AB7" s="1504">
        <f>D7/H7</f>
        <v>1</v>
      </c>
      <c r="AC7" s="1504">
        <f>D7/J7</f>
        <v>1</v>
      </c>
    </row>
    <row r="8" spans="1:29" s="1201" customFormat="1" ht="15.75" thickBot="1">
      <c r="A8" s="2628"/>
      <c r="B8" s="2635" t="s">
        <v>523</v>
      </c>
      <c r="C8" s="517" t="s">
        <v>568</v>
      </c>
      <c r="D8" s="512">
        <v>100</v>
      </c>
      <c r="E8" s="517" t="s">
        <v>3070</v>
      </c>
      <c r="F8" s="514">
        <f>SUMIF(61:61,E8,62:62)-SUMIF(61:61,C8,62:62)+100</f>
        <v>100</v>
      </c>
      <c r="G8" s="517" t="s">
        <v>3070</v>
      </c>
      <c r="H8" s="512">
        <f>SUMIF(61:61,G8,62:62)-SUMIF(61:61,C8,62:62)+100</f>
        <v>100</v>
      </c>
      <c r="I8" s="517" t="s">
        <v>3070</v>
      </c>
      <c r="J8" s="512">
        <f>SUMIF(61:61,I8,62:62)-SUMIF(61:61,C8,62:62)+100</f>
        <v>100</v>
      </c>
      <c r="K8" s="516"/>
      <c r="L8" s="2015"/>
      <c r="M8" s="2016"/>
      <c r="N8" s="2016"/>
      <c r="O8" s="2016"/>
      <c r="P8" s="3612" t="s">
        <v>525</v>
      </c>
      <c r="Q8" s="3613"/>
      <c r="R8" s="1501" t="s">
        <v>8</v>
      </c>
      <c r="S8" s="1502">
        <f t="shared" si="0"/>
        <v>100</v>
      </c>
      <c r="T8" s="1501" t="s">
        <v>8</v>
      </c>
      <c r="U8" s="1502">
        <f t="shared" si="1"/>
        <v>100</v>
      </c>
      <c r="V8" s="1501" t="s">
        <v>8</v>
      </c>
      <c r="W8" s="1502">
        <f t="shared" si="2"/>
        <v>100</v>
      </c>
      <c r="X8" s="1503"/>
      <c r="Y8" s="3612" t="s">
        <v>525</v>
      </c>
      <c r="Z8" s="3613"/>
      <c r="AA8" s="1504">
        <f t="shared" ref="AA8:AA46" si="3">D8/F8</f>
        <v>1</v>
      </c>
      <c r="AB8" s="1504">
        <f t="shared" ref="AB8:AB46" si="4">D8/H8</f>
        <v>1</v>
      </c>
      <c r="AC8" s="1504">
        <f t="shared" ref="AC8:AC46" si="5">D8/J8</f>
        <v>1</v>
      </c>
    </row>
    <row r="9" spans="1:29" s="1201" customFormat="1" ht="15">
      <c r="A9" s="2629"/>
      <c r="B9" s="2636" t="s">
        <v>2734</v>
      </c>
      <c r="C9" s="3334" t="s">
        <v>3091</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581" t="s">
        <v>527</v>
      </c>
      <c r="Q9" s="1132" t="str">
        <f t="shared" ref="Q9:Q15" si="6">B9</f>
        <v>用途</v>
      </c>
      <c r="R9" s="1501" t="s">
        <v>8</v>
      </c>
      <c r="S9" s="1502">
        <f t="shared" si="0"/>
        <v>100</v>
      </c>
      <c r="T9" s="1501" t="s">
        <v>8</v>
      </c>
      <c r="U9" s="1502">
        <f t="shared" si="1"/>
        <v>100</v>
      </c>
      <c r="V9" s="1501" t="s">
        <v>8</v>
      </c>
      <c r="W9" s="1502">
        <f t="shared" si="2"/>
        <v>100</v>
      </c>
      <c r="X9" s="1503"/>
      <c r="Y9" s="3527" t="s">
        <v>528</v>
      </c>
      <c r="Z9" s="1131" t="str">
        <f t="shared" ref="Z9:Z15" si="7">Q9</f>
        <v>用途</v>
      </c>
      <c r="AA9" s="1504">
        <f t="shared" si="3"/>
        <v>1</v>
      </c>
      <c r="AB9" s="1504">
        <f t="shared" si="4"/>
        <v>1</v>
      </c>
      <c r="AC9" s="1504">
        <f t="shared" si="5"/>
        <v>1</v>
      </c>
    </row>
    <row r="10" spans="1:29" s="1290" customFormat="1" ht="27">
      <c r="A10" s="2630"/>
      <c r="B10" s="2635" t="s">
        <v>2735</v>
      </c>
      <c r="C10" s="848" t="s">
        <v>3130</v>
      </c>
      <c r="D10" s="251">
        <v>100</v>
      </c>
      <c r="E10" s="848" t="s">
        <v>3131</v>
      </c>
      <c r="F10" s="251">
        <f>SUMIF(65:65,E10,66:66)-SUMIF(65:65,C10,66:66)+100</f>
        <v>98</v>
      </c>
      <c r="G10" s="849" t="s">
        <v>3131</v>
      </c>
      <c r="H10" s="251">
        <f>SUMIF(65:65,G10,66:66)-SUMIF(65:65,C10,66:66)+100</f>
        <v>98</v>
      </c>
      <c r="I10" s="848" t="s">
        <v>3130</v>
      </c>
      <c r="J10" s="251">
        <f>SUMIF(65:65,I10,66:66)-SUMIF(65:65,C10,66:66)+100</f>
        <v>100</v>
      </c>
      <c r="K10" s="576">
        <v>2</v>
      </c>
      <c r="L10" s="2018"/>
      <c r="M10" s="2057"/>
      <c r="N10" s="2057"/>
      <c r="O10" s="2019"/>
      <c r="P10" s="3581"/>
      <c r="Q10" s="1132" t="str">
        <f t="shared" si="6"/>
        <v>土地使用年限（年）</v>
      </c>
      <c r="R10" s="1501" t="s">
        <v>8</v>
      </c>
      <c r="S10" s="1502">
        <f t="shared" si="0"/>
        <v>98</v>
      </c>
      <c r="T10" s="1501" t="s">
        <v>8</v>
      </c>
      <c r="U10" s="1502">
        <f t="shared" si="1"/>
        <v>98</v>
      </c>
      <c r="V10" s="1501" t="s">
        <v>8</v>
      </c>
      <c r="W10" s="1502">
        <f t="shared" si="2"/>
        <v>100</v>
      </c>
      <c r="X10" s="1503"/>
      <c r="Y10" s="3527"/>
      <c r="Z10" s="1131" t="str">
        <f t="shared" si="7"/>
        <v>土地使用年限（年）</v>
      </c>
      <c r="AA10" s="1504">
        <f t="shared" si="3"/>
        <v>1.0204081632653061</v>
      </c>
      <c r="AB10" s="1504">
        <f t="shared" si="4"/>
        <v>1.0204081632653061</v>
      </c>
      <c r="AC10" s="1504">
        <f t="shared" si="5"/>
        <v>1</v>
      </c>
    </row>
    <row r="11" spans="1:29" ht="15">
      <c r="A11" s="2631"/>
      <c r="B11" s="2635"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581"/>
      <c r="Q11" s="1132" t="str">
        <f t="shared" si="6"/>
        <v>容积率</v>
      </c>
      <c r="R11" s="1501" t="s">
        <v>8</v>
      </c>
      <c r="S11" s="1502">
        <f t="shared" si="0"/>
        <v>100</v>
      </c>
      <c r="T11" s="1501" t="s">
        <v>8</v>
      </c>
      <c r="U11" s="1502">
        <f t="shared" si="1"/>
        <v>100</v>
      </c>
      <c r="V11" s="1501" t="s">
        <v>8</v>
      </c>
      <c r="W11" s="1502">
        <f t="shared" si="2"/>
        <v>100</v>
      </c>
      <c r="X11" s="1503"/>
      <c r="Y11" s="3527"/>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581"/>
      <c r="Q12" s="1132">
        <f t="shared" si="6"/>
        <v>111</v>
      </c>
      <c r="R12" s="1501" t="s">
        <v>8</v>
      </c>
      <c r="S12" s="1502">
        <f t="shared" si="0"/>
        <v>100</v>
      </c>
      <c r="T12" s="1501" t="s">
        <v>8</v>
      </c>
      <c r="U12" s="1502">
        <f t="shared" si="1"/>
        <v>100</v>
      </c>
      <c r="V12" s="1501" t="s">
        <v>8</v>
      </c>
      <c r="W12" s="1502">
        <f t="shared" si="2"/>
        <v>100</v>
      </c>
      <c r="X12" s="1503"/>
      <c r="Y12" s="3527"/>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581"/>
      <c r="Q13" s="1132">
        <f t="shared" si="6"/>
        <v>111</v>
      </c>
      <c r="R13" s="1501" t="s">
        <v>8</v>
      </c>
      <c r="S13" s="1502">
        <f t="shared" si="0"/>
        <v>100</v>
      </c>
      <c r="T13" s="1501" t="s">
        <v>8</v>
      </c>
      <c r="U13" s="1502">
        <f t="shared" si="1"/>
        <v>100</v>
      </c>
      <c r="V13" s="1501" t="s">
        <v>8</v>
      </c>
      <c r="W13" s="1502">
        <f t="shared" si="2"/>
        <v>100</v>
      </c>
      <c r="X13" s="1503"/>
      <c r="Y13" s="3527"/>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581"/>
      <c r="Q14" s="1132">
        <f t="shared" si="6"/>
        <v>111</v>
      </c>
      <c r="R14" s="1501" t="s">
        <v>8</v>
      </c>
      <c r="S14" s="1502">
        <f t="shared" si="0"/>
        <v>100</v>
      </c>
      <c r="T14" s="1501" t="s">
        <v>8</v>
      </c>
      <c r="U14" s="1502">
        <f t="shared" si="1"/>
        <v>100</v>
      </c>
      <c r="V14" s="1501" t="s">
        <v>8</v>
      </c>
      <c r="W14" s="1502">
        <f t="shared" si="2"/>
        <v>100</v>
      </c>
      <c r="X14" s="1503"/>
      <c r="Y14" s="3527"/>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102</v>
      </c>
      <c r="G15" s="544"/>
      <c r="H15" s="541">
        <f>SUMIF(76:76,G16,77:77)-SUMIF(76:76,C16,77:77)+100</f>
        <v>102</v>
      </c>
      <c r="I15" s="542"/>
      <c r="J15" s="541">
        <f>SUMIF(76:76,I16,77:77)-SUMIF(76:76,C16,77:77)+100</f>
        <v>102</v>
      </c>
      <c r="K15" s="885">
        <v>2</v>
      </c>
      <c r="L15" s="2022"/>
      <c r="M15" s="2014"/>
      <c r="N15" s="2014"/>
      <c r="O15" s="2021"/>
      <c r="P15" s="3615" t="s">
        <v>532</v>
      </c>
      <c r="Q15" s="1505" t="str">
        <f t="shared" si="6"/>
        <v>商业繁华度</v>
      </c>
      <c r="R15" s="1506" t="s">
        <v>8</v>
      </c>
      <c r="S15" s="1507">
        <f t="shared" si="0"/>
        <v>102</v>
      </c>
      <c r="T15" s="1506" t="s">
        <v>8</v>
      </c>
      <c r="U15" s="1507">
        <f t="shared" si="1"/>
        <v>102</v>
      </c>
      <c r="V15" s="1506" t="s">
        <v>8</v>
      </c>
      <c r="W15" s="1507">
        <f t="shared" si="2"/>
        <v>102</v>
      </c>
      <c r="X15" s="1500"/>
      <c r="Y15" s="3615" t="s">
        <v>532</v>
      </c>
      <c r="Z15" s="1508" t="str">
        <f t="shared" si="7"/>
        <v>商业繁华度</v>
      </c>
      <c r="AA15" s="1509">
        <f t="shared" si="3"/>
        <v>0.98039215686274506</v>
      </c>
      <c r="AB15" s="1509">
        <f t="shared" si="4"/>
        <v>0.98039215686274506</v>
      </c>
      <c r="AC15" s="1509">
        <f t="shared" si="5"/>
        <v>0.98039215686274506</v>
      </c>
    </row>
    <row r="16" spans="1:29" ht="15">
      <c r="A16" s="524"/>
      <c r="B16" s="856"/>
      <c r="C16" s="568" t="s">
        <v>3074</v>
      </c>
      <c r="D16" s="547"/>
      <c r="E16" s="568" t="s">
        <v>3075</v>
      </c>
      <c r="F16" s="549"/>
      <c r="G16" s="568" t="s">
        <v>3075</v>
      </c>
      <c r="H16" s="551"/>
      <c r="I16" s="568" t="s">
        <v>3075</v>
      </c>
      <c r="J16" s="547"/>
      <c r="K16" s="886"/>
      <c r="L16" s="2022"/>
      <c r="M16" s="2014"/>
      <c r="N16" s="2014"/>
      <c r="O16" s="2021"/>
      <c r="P16" s="3616"/>
      <c r="Q16" s="1505"/>
      <c r="R16" s="1506"/>
      <c r="S16" s="1507"/>
      <c r="T16" s="1506"/>
      <c r="U16" s="1507"/>
      <c r="V16" s="1506"/>
      <c r="W16" s="1507"/>
      <c r="X16" s="1500"/>
      <c r="Y16" s="3616"/>
      <c r="Z16" s="1508"/>
      <c r="AA16" s="1509">
        <v>1</v>
      </c>
      <c r="AB16" s="1509">
        <v>1</v>
      </c>
      <c r="AC16" s="1509">
        <v>1</v>
      </c>
    </row>
    <row r="17" spans="1:29" ht="30" customHeight="1">
      <c r="A17" s="524"/>
      <c r="B17" s="858" t="s">
        <v>294</v>
      </c>
      <c r="C17" s="3388" t="str">
        <f>估价对象房地状况!C6</f>
        <v>周边有通322路、342路、589路、667路、804路、808路、通19路、通41路、通62路等多条公交线路通过，距地铁6号线（北运河西站）约1公里，综合评价交通便捷度较好</v>
      </c>
      <c r="D17" s="3383">
        <v>100</v>
      </c>
      <c r="E17" s="3385"/>
      <c r="F17" s="3389">
        <f>SUMIF(78:78,E18,79:79)-SUMIF(78:78,C18,79:79)+100</f>
        <v>100</v>
      </c>
      <c r="G17" s="3384"/>
      <c r="H17" s="3386">
        <f>SUMIF(78:78,G18,79:79)-SUMIF(78:78,C18,79:79)+100</f>
        <v>100</v>
      </c>
      <c r="I17" s="3385"/>
      <c r="J17" s="3386">
        <f>SUMIF(78:78,I18,79:79)-SUMIF(78:78,C18,79:79)+100</f>
        <v>100</v>
      </c>
      <c r="K17" s="3387">
        <v>2</v>
      </c>
      <c r="L17" s="2022"/>
      <c r="M17" s="2014"/>
      <c r="N17" s="2014"/>
      <c r="O17" s="2021"/>
      <c r="P17" s="3616"/>
      <c r="Q17" s="1505" t="str">
        <f>B17</f>
        <v>交通便捷度</v>
      </c>
      <c r="R17" s="1506" t="s">
        <v>8</v>
      </c>
      <c r="S17" s="1507">
        <f>F17</f>
        <v>100</v>
      </c>
      <c r="T17" s="1506" t="s">
        <v>8</v>
      </c>
      <c r="U17" s="1507">
        <f>H17</f>
        <v>100</v>
      </c>
      <c r="V17" s="1506" t="s">
        <v>8</v>
      </c>
      <c r="W17" s="1507">
        <f>J17</f>
        <v>100</v>
      </c>
      <c r="X17" s="1500"/>
      <c r="Y17" s="3616"/>
      <c r="Z17" s="1508" t="str">
        <f>Q17</f>
        <v>交通便捷度</v>
      </c>
      <c r="AA17" s="1509">
        <f t="shared" si="3"/>
        <v>1</v>
      </c>
      <c r="AB17" s="1509">
        <f t="shared" si="4"/>
        <v>1</v>
      </c>
      <c r="AC17" s="1509">
        <f t="shared" si="5"/>
        <v>1</v>
      </c>
    </row>
    <row r="18" spans="1:29" ht="15">
      <c r="A18" s="524"/>
      <c r="B18" s="587"/>
      <c r="C18" s="860" t="s">
        <v>3075</v>
      </c>
      <c r="D18" s="551"/>
      <c r="E18" s="560" t="s">
        <v>3075</v>
      </c>
      <c r="F18" s="555"/>
      <c r="G18" s="561" t="s">
        <v>3075</v>
      </c>
      <c r="H18" s="547"/>
      <c r="I18" s="560" t="s">
        <v>3075</v>
      </c>
      <c r="J18" s="547"/>
      <c r="K18" s="886"/>
      <c r="L18" s="2022"/>
      <c r="M18" s="2014"/>
      <c r="N18" s="2014"/>
      <c r="O18" s="2021"/>
      <c r="P18" s="3616"/>
      <c r="Q18" s="1505"/>
      <c r="R18" s="1506"/>
      <c r="S18" s="1507"/>
      <c r="T18" s="1506"/>
      <c r="U18" s="1507"/>
      <c r="V18" s="1506"/>
      <c r="W18" s="1507"/>
      <c r="X18" s="1500"/>
      <c r="Y18" s="3616"/>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102</v>
      </c>
      <c r="G19" s="564"/>
      <c r="H19" s="551">
        <f>SUMIF(80:80,G20,81:81)-SUMIF(80:80,C20,81:81)+100</f>
        <v>102</v>
      </c>
      <c r="I19" s="562"/>
      <c r="J19" s="551">
        <f>SUMIF(80:80,I20,81:81)-SUMIF(80:80,C20,81:81)+100</f>
        <v>102</v>
      </c>
      <c r="K19" s="885">
        <v>2</v>
      </c>
      <c r="L19" s="2022"/>
      <c r="M19" s="2014"/>
      <c r="N19" s="2014"/>
      <c r="O19" s="2021"/>
      <c r="P19" s="3616"/>
      <c r="Q19" s="1505" t="str">
        <f>B19</f>
        <v>公共配套设施</v>
      </c>
      <c r="R19" s="1506" t="s">
        <v>8</v>
      </c>
      <c r="S19" s="1507">
        <f>F19</f>
        <v>102</v>
      </c>
      <c r="T19" s="1506" t="s">
        <v>8</v>
      </c>
      <c r="U19" s="1507">
        <f>H19</f>
        <v>102</v>
      </c>
      <c r="V19" s="1506" t="s">
        <v>8</v>
      </c>
      <c r="W19" s="1507">
        <f>J19</f>
        <v>102</v>
      </c>
      <c r="X19" s="1500"/>
      <c r="Y19" s="3616"/>
      <c r="Z19" s="1508" t="str">
        <f>Q19</f>
        <v>公共配套设施</v>
      </c>
      <c r="AA19" s="1509">
        <f t="shared" si="3"/>
        <v>0.98039215686274506</v>
      </c>
      <c r="AB19" s="1509">
        <f t="shared" si="4"/>
        <v>0.98039215686274506</v>
      </c>
      <c r="AC19" s="1509">
        <f t="shared" si="5"/>
        <v>0.98039215686274506</v>
      </c>
    </row>
    <row r="20" spans="1:29" ht="15">
      <c r="A20" s="524"/>
      <c r="B20" s="587"/>
      <c r="C20" s="568" t="s">
        <v>3074</v>
      </c>
      <c r="D20" s="547"/>
      <c r="E20" s="548" t="s">
        <v>3075</v>
      </c>
      <c r="F20" s="549"/>
      <c r="G20" s="550" t="s">
        <v>3075</v>
      </c>
      <c r="H20" s="547"/>
      <c r="I20" s="548" t="s">
        <v>3075</v>
      </c>
      <c r="J20" s="547"/>
      <c r="K20" s="886"/>
      <c r="L20" s="2022"/>
      <c r="M20" s="2014"/>
      <c r="N20" s="2014"/>
      <c r="O20" s="2021"/>
      <c r="P20" s="3616"/>
      <c r="Q20" s="1505"/>
      <c r="R20" s="1506"/>
      <c r="S20" s="1507"/>
      <c r="T20" s="1506"/>
      <c r="U20" s="1507"/>
      <c r="V20" s="1506"/>
      <c r="W20" s="1507"/>
      <c r="X20" s="1500"/>
      <c r="Y20" s="3616"/>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3616"/>
      <c r="Q21" s="2427" t="str">
        <f>B21</f>
        <v>基础设施水平</v>
      </c>
      <c r="R21" s="1506" t="s">
        <v>8</v>
      </c>
      <c r="S21" s="1507">
        <f>F21</f>
        <v>100</v>
      </c>
      <c r="T21" s="1506" t="s">
        <v>8</v>
      </c>
      <c r="U21" s="1507">
        <f>H21</f>
        <v>100</v>
      </c>
      <c r="V21" s="1506" t="s">
        <v>8</v>
      </c>
      <c r="W21" s="1507">
        <f>J21</f>
        <v>100</v>
      </c>
      <c r="X21" s="2429"/>
      <c r="Y21" s="3616"/>
      <c r="Z21" s="2428" t="str">
        <f>Q21</f>
        <v>基础设施水平</v>
      </c>
      <c r="AA21" s="1509">
        <f t="shared" ref="AA21" si="8">D21/F21</f>
        <v>1</v>
      </c>
      <c r="AB21" s="1509">
        <f t="shared" ref="AB21" si="9">D21/H21</f>
        <v>1</v>
      </c>
      <c r="AC21" s="1509">
        <f t="shared" ref="AC21" si="10">D21/J21</f>
        <v>1</v>
      </c>
    </row>
    <row r="22" spans="1:29" ht="15">
      <c r="A22" s="524"/>
      <c r="B22" s="909"/>
      <c r="C22" s="860" t="s">
        <v>3172</v>
      </c>
      <c r="D22" s="547"/>
      <c r="E22" s="568" t="s">
        <v>3172</v>
      </c>
      <c r="F22" s="549"/>
      <c r="G22" s="568" t="s">
        <v>3172</v>
      </c>
      <c r="H22" s="547"/>
      <c r="I22" s="568" t="s">
        <v>3172</v>
      </c>
      <c r="J22" s="547"/>
      <c r="K22" s="2444"/>
      <c r="L22" s="2022"/>
      <c r="M22" s="2014"/>
      <c r="N22" s="2014"/>
      <c r="O22" s="2021"/>
      <c r="P22" s="3616"/>
      <c r="Q22" s="2427"/>
      <c r="R22" s="1506"/>
      <c r="S22" s="1507"/>
      <c r="T22" s="1506"/>
      <c r="U22" s="1507"/>
      <c r="V22" s="1506"/>
      <c r="W22" s="1507"/>
      <c r="X22" s="2429"/>
      <c r="Y22" s="3616"/>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96</v>
      </c>
      <c r="G23" s="556"/>
      <c r="H23" s="551">
        <f>SUMIF(84:84,G24,85:85)-SUMIF(84:84,C24,85:85)+100</f>
        <v>96</v>
      </c>
      <c r="I23" s="554"/>
      <c r="J23" s="551">
        <f>SUMIF(84:84,I24,85:85)-SUMIF(84:84,C24,85:85)+100</f>
        <v>98</v>
      </c>
      <c r="K23" s="885">
        <v>2</v>
      </c>
      <c r="L23" s="2022"/>
      <c r="M23" s="2014"/>
      <c r="N23" s="2014"/>
      <c r="O23" s="2021"/>
      <c r="P23" s="3616"/>
      <c r="Q23" s="1505" t="str">
        <f>B23</f>
        <v>自然及人文环境</v>
      </c>
      <c r="R23" s="1506" t="s">
        <v>8</v>
      </c>
      <c r="S23" s="1507">
        <f>F23</f>
        <v>96</v>
      </c>
      <c r="T23" s="1506" t="s">
        <v>8</v>
      </c>
      <c r="U23" s="1507">
        <f>H23</f>
        <v>96</v>
      </c>
      <c r="V23" s="1506" t="s">
        <v>8</v>
      </c>
      <c r="W23" s="1507">
        <f>J23</f>
        <v>98</v>
      </c>
      <c r="X23" s="1500"/>
      <c r="Y23" s="3616"/>
      <c r="Z23" s="1508" t="str">
        <f>Q23</f>
        <v>自然及人文环境</v>
      </c>
      <c r="AA23" s="1509">
        <f t="shared" si="3"/>
        <v>1.0416666666666667</v>
      </c>
      <c r="AB23" s="1509">
        <f t="shared" si="4"/>
        <v>1.0416666666666667</v>
      </c>
      <c r="AC23" s="1509">
        <f t="shared" si="5"/>
        <v>1.0204081632653061</v>
      </c>
    </row>
    <row r="24" spans="1:29" ht="15">
      <c r="A24" s="524"/>
      <c r="B24" s="587"/>
      <c r="C24" s="568" t="s">
        <v>3081</v>
      </c>
      <c r="D24" s="547"/>
      <c r="E24" s="548" t="s">
        <v>3074</v>
      </c>
      <c r="F24" s="549"/>
      <c r="G24" s="550" t="s">
        <v>3074</v>
      </c>
      <c r="H24" s="547"/>
      <c r="I24" s="548" t="s">
        <v>3075</v>
      </c>
      <c r="J24" s="547"/>
      <c r="K24" s="886"/>
      <c r="L24" s="2022"/>
      <c r="M24" s="2014"/>
      <c r="N24" s="2014"/>
      <c r="O24" s="2021"/>
      <c r="P24" s="3616"/>
      <c r="Q24" s="1505"/>
      <c r="R24" s="1506"/>
      <c r="S24" s="1507"/>
      <c r="T24" s="1506"/>
      <c r="U24" s="1507"/>
      <c r="V24" s="1506"/>
      <c r="W24" s="1507"/>
      <c r="X24" s="1500"/>
      <c r="Y24" s="3616"/>
      <c r="Z24" s="1508"/>
      <c r="AA24" s="1509">
        <v>1</v>
      </c>
      <c r="AB24" s="1509">
        <v>1</v>
      </c>
      <c r="AC24" s="1509">
        <v>1</v>
      </c>
    </row>
    <row r="25" spans="1:29" ht="15">
      <c r="A25" s="524"/>
      <c r="B25" s="519" t="s">
        <v>539</v>
      </c>
      <c r="C25" s="575" t="s">
        <v>3173</v>
      </c>
      <c r="D25" s="532">
        <v>100</v>
      </c>
      <c r="E25" s="575" t="s">
        <v>3088</v>
      </c>
      <c r="F25" s="567">
        <f>SUMIF(86:86,E25,87:87)-SUMIF(86:86,C25,87:87)+100</f>
        <v>94</v>
      </c>
      <c r="G25" s="575" t="s">
        <v>3088</v>
      </c>
      <c r="H25" s="532">
        <f>SUMIF(86:86,G25,87:87)-SUMIF(86:86,C25,87:87)+100</f>
        <v>94</v>
      </c>
      <c r="I25" s="575" t="s">
        <v>3086</v>
      </c>
      <c r="J25" s="532">
        <f>SUMIF(86:86,I25,87:87)-SUMIF(86:86,C25,87:87)+100</f>
        <v>96</v>
      </c>
      <c r="K25" s="576">
        <v>2</v>
      </c>
      <c r="L25" s="2022"/>
      <c r="M25" s="2014"/>
      <c r="N25" s="2014"/>
      <c r="O25" s="2021"/>
      <c r="P25" s="3616"/>
      <c r="Q25" s="1505" t="str">
        <f t="shared" ref="Q25:Q46" si="11">B25</f>
        <v>临街状况</v>
      </c>
      <c r="R25" s="1506" t="s">
        <v>8</v>
      </c>
      <c r="S25" s="1507">
        <f>F25</f>
        <v>94</v>
      </c>
      <c r="T25" s="1506" t="s">
        <v>8</v>
      </c>
      <c r="U25" s="1507">
        <f>H25</f>
        <v>94</v>
      </c>
      <c r="V25" s="1506" t="s">
        <v>8</v>
      </c>
      <c r="W25" s="1507">
        <f>J25</f>
        <v>96</v>
      </c>
      <c r="X25" s="1500"/>
      <c r="Y25" s="3616"/>
      <c r="Z25" s="1508" t="str">
        <f>Q25</f>
        <v>临街状况</v>
      </c>
      <c r="AA25" s="1509">
        <f t="shared" si="3"/>
        <v>1.0638297872340425</v>
      </c>
      <c r="AB25" s="1509">
        <f t="shared" si="4"/>
        <v>1.0638297872340425</v>
      </c>
      <c r="AC25" s="1509">
        <f t="shared" si="5"/>
        <v>1.0416666666666667</v>
      </c>
    </row>
    <row r="26" spans="1:29" ht="15">
      <c r="A26" s="524"/>
      <c r="B26" s="864" t="s">
        <v>750</v>
      </c>
      <c r="C26" s="3346" t="s">
        <v>3092</v>
      </c>
      <c r="D26" s="532">
        <v>100</v>
      </c>
      <c r="E26" s="3346" t="s">
        <v>3092</v>
      </c>
      <c r="F26" s="567">
        <f>SUMIF(88:88,E26,89:89)-SUMIF(88:88,C26,89:89)+100</f>
        <v>100</v>
      </c>
      <c r="G26" s="3346" t="s">
        <v>3092</v>
      </c>
      <c r="H26" s="532">
        <f>SUMIF(88:88,G26,89:89)-SUMIF(88:88,C26,89:89)+100</f>
        <v>100</v>
      </c>
      <c r="I26" s="3346" t="s">
        <v>3092</v>
      </c>
      <c r="J26" s="532">
        <f>SUMIF(88:88,I26,89:89)-SUMIF(88:88,C26,89:89)+100</f>
        <v>100</v>
      </c>
      <c r="K26" s="573"/>
      <c r="L26" s="2022"/>
      <c r="M26" s="2014"/>
      <c r="N26" s="2014"/>
      <c r="O26" s="2021"/>
      <c r="P26" s="3616"/>
      <c r="Q26" s="1505" t="str">
        <f t="shared" si="11"/>
        <v>平面位置/可视性</v>
      </c>
      <c r="R26" s="1506" t="s">
        <v>8</v>
      </c>
      <c r="S26" s="1507">
        <f>F26</f>
        <v>100</v>
      </c>
      <c r="T26" s="1506" t="s">
        <v>8</v>
      </c>
      <c r="U26" s="1507">
        <f>H26</f>
        <v>100</v>
      </c>
      <c r="V26" s="1506" t="s">
        <v>8</v>
      </c>
      <c r="W26" s="1507">
        <f>J26</f>
        <v>100</v>
      </c>
      <c r="X26" s="1500"/>
      <c r="Y26" s="3616"/>
      <c r="Z26" s="1508" t="str">
        <f>Q26</f>
        <v>平面位置/可视性</v>
      </c>
      <c r="AA26" s="1509">
        <f t="shared" si="3"/>
        <v>1</v>
      </c>
      <c r="AB26" s="1509">
        <f t="shared" si="4"/>
        <v>1</v>
      </c>
      <c r="AC26" s="1509">
        <f t="shared" si="5"/>
        <v>1</v>
      </c>
    </row>
    <row r="27" spans="1:29" s="1201" customFormat="1" ht="15.75" thickBot="1">
      <c r="A27" s="528"/>
      <c r="B27" s="858" t="s">
        <v>751</v>
      </c>
      <c r="C27" s="3347" t="s">
        <v>3094</v>
      </c>
      <c r="D27" s="862">
        <v>100</v>
      </c>
      <c r="E27" s="888" t="s">
        <v>3100</v>
      </c>
      <c r="F27" s="863">
        <f>SUMIF(90:90,E27,91:91)-SUMIF(90:90,C27,91:91)+100</f>
        <v>98</v>
      </c>
      <c r="G27" s="888" t="s">
        <v>3074</v>
      </c>
      <c r="H27" s="862">
        <f>SUMIF(90:90,G27,91:91)-SUMIF(90:90,C27,91:91)+100</f>
        <v>96</v>
      </c>
      <c r="I27" s="888" t="s">
        <v>3093</v>
      </c>
      <c r="J27" s="862">
        <f>SUMIF(90:90,I27,91:91)-SUMIF(90:90,C27,91:91)+100</f>
        <v>100</v>
      </c>
      <c r="K27" s="576">
        <v>2</v>
      </c>
      <c r="L27" s="2015"/>
      <c r="M27" s="2016"/>
      <c r="N27" s="2016"/>
      <c r="O27" s="2017"/>
      <c r="P27" s="3616"/>
      <c r="Q27" s="1132" t="str">
        <f t="shared" si="11"/>
        <v>人流量</v>
      </c>
      <c r="R27" s="1501" t="s">
        <v>8</v>
      </c>
      <c r="S27" s="1502">
        <f>F27</f>
        <v>98</v>
      </c>
      <c r="T27" s="1501" t="s">
        <v>8</v>
      </c>
      <c r="U27" s="1502">
        <f>H27</f>
        <v>96</v>
      </c>
      <c r="V27" s="1501" t="s">
        <v>8</v>
      </c>
      <c r="W27" s="1502">
        <f>J27</f>
        <v>100</v>
      </c>
      <c r="X27" s="1503"/>
      <c r="Y27" s="3616"/>
      <c r="Z27" s="1131" t="str">
        <f>Q27</f>
        <v>人流量</v>
      </c>
      <c r="AA27" s="1509">
        <f>D27/F27</f>
        <v>1.0204081632653061</v>
      </c>
      <c r="AB27" s="1509">
        <f>D27/H27</f>
        <v>1.0416666666666667</v>
      </c>
      <c r="AC27" s="1509">
        <f>D27/J27</f>
        <v>1</v>
      </c>
    </row>
    <row r="28" spans="1:29" ht="15" hidden="1">
      <c r="A28" s="524"/>
      <c r="B28" s="519" t="s">
        <v>753</v>
      </c>
      <c r="C28" s="575" t="s">
        <v>3095</v>
      </c>
      <c r="D28" s="532">
        <v>100</v>
      </c>
      <c r="E28" s="575" t="s">
        <v>3105</v>
      </c>
      <c r="F28" s="567">
        <f>SUMIF(92:92,E28,93:93)-SUMIF(92:92,C28,93:93)+100</f>
        <v>100</v>
      </c>
      <c r="G28" s="575" t="s">
        <v>3105</v>
      </c>
      <c r="H28" s="532">
        <f>SUMIF(92:92,G28,93:93)-SUMIF(92:92,C28,93:93)+100</f>
        <v>100</v>
      </c>
      <c r="I28" s="575" t="s">
        <v>3105</v>
      </c>
      <c r="J28" s="532">
        <f>SUMIF(92:92,I28,93:93)-SUMIF(92:92,C28,93:93)+100</f>
        <v>100</v>
      </c>
      <c r="K28" s="573"/>
      <c r="L28" s="2022"/>
      <c r="M28" s="2014"/>
      <c r="N28" s="2014"/>
      <c r="O28" s="2021"/>
      <c r="P28" s="3616"/>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616"/>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3616"/>
      <c r="Q29" s="1505">
        <f t="shared" si="11"/>
        <v>111</v>
      </c>
      <c r="R29" s="1506" t="s">
        <v>8</v>
      </c>
      <c r="S29" s="1507">
        <f t="shared" si="12"/>
        <v>100</v>
      </c>
      <c r="T29" s="1506" t="s">
        <v>8</v>
      </c>
      <c r="U29" s="1507">
        <f t="shared" si="13"/>
        <v>100</v>
      </c>
      <c r="V29" s="1506" t="s">
        <v>8</v>
      </c>
      <c r="W29" s="1507">
        <f t="shared" si="14"/>
        <v>100</v>
      </c>
      <c r="X29" s="1500"/>
      <c r="Y29" s="3616"/>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3616"/>
      <c r="Q30" s="1505">
        <f t="shared" si="11"/>
        <v>111</v>
      </c>
      <c r="R30" s="1506" t="s">
        <v>8</v>
      </c>
      <c r="S30" s="1507">
        <f t="shared" si="12"/>
        <v>100</v>
      </c>
      <c r="T30" s="1506" t="s">
        <v>8</v>
      </c>
      <c r="U30" s="1507">
        <f t="shared" si="13"/>
        <v>100</v>
      </c>
      <c r="V30" s="1506" t="s">
        <v>8</v>
      </c>
      <c r="W30" s="1507">
        <f t="shared" si="14"/>
        <v>100</v>
      </c>
      <c r="X30" s="1500"/>
      <c r="Y30" s="3616"/>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3616"/>
      <c r="Q31" s="1505">
        <f t="shared" si="11"/>
        <v>111</v>
      </c>
      <c r="R31" s="1506" t="s">
        <v>8</v>
      </c>
      <c r="S31" s="1507">
        <f t="shared" si="12"/>
        <v>100</v>
      </c>
      <c r="T31" s="1506" t="s">
        <v>8</v>
      </c>
      <c r="U31" s="1507">
        <f t="shared" si="13"/>
        <v>100</v>
      </c>
      <c r="V31" s="1506" t="s">
        <v>8</v>
      </c>
      <c r="W31" s="1507">
        <f t="shared" si="14"/>
        <v>100</v>
      </c>
      <c r="X31" s="1500"/>
      <c r="Y31" s="3616"/>
      <c r="Z31" s="1508">
        <f t="shared" si="15"/>
        <v>111</v>
      </c>
      <c r="AA31" s="1509">
        <f t="shared" si="3"/>
        <v>1</v>
      </c>
      <c r="AB31" s="1509">
        <f t="shared" si="4"/>
        <v>1</v>
      </c>
      <c r="AC31" s="1509">
        <f t="shared" si="5"/>
        <v>1</v>
      </c>
    </row>
    <row r="32" spans="1:29" ht="27">
      <c r="A32" s="2622" t="s">
        <v>2733</v>
      </c>
      <c r="B32" s="169" t="s">
        <v>754</v>
      </c>
      <c r="C32" s="865" t="s">
        <v>3108</v>
      </c>
      <c r="D32" s="589">
        <v>100</v>
      </c>
      <c r="E32" s="865" t="s">
        <v>3108</v>
      </c>
      <c r="F32" s="567">
        <f>SUMIF(100:100,E32,101:101)-SUMIF(100:100,C32,101:101)+100</f>
        <v>100</v>
      </c>
      <c r="G32" s="865" t="s">
        <v>3111</v>
      </c>
      <c r="H32" s="532">
        <f>SUMIF(100:100,G32,101:101)-SUMIF(100:100,C32,101:101)+100</f>
        <v>96</v>
      </c>
      <c r="I32" s="865" t="s">
        <v>3106</v>
      </c>
      <c r="J32" s="589">
        <f>SUMIF(100:100,I32,101:101)-SUMIF(100:100,C32,101:101)+100</f>
        <v>102</v>
      </c>
      <c r="K32" s="576">
        <v>2</v>
      </c>
      <c r="L32" s="2022"/>
      <c r="M32" s="2014"/>
      <c r="N32" s="2014"/>
      <c r="O32" s="2021"/>
      <c r="P32" s="3617" t="s">
        <v>542</v>
      </c>
      <c r="Q32" s="1505" t="str">
        <f t="shared" si="11"/>
        <v>商业类型</v>
      </c>
      <c r="R32" s="1506" t="s">
        <v>8</v>
      </c>
      <c r="S32" s="1507">
        <f t="shared" si="12"/>
        <v>100</v>
      </c>
      <c r="T32" s="1506" t="s">
        <v>8</v>
      </c>
      <c r="U32" s="1507">
        <f t="shared" si="13"/>
        <v>96</v>
      </c>
      <c r="V32" s="1506" t="s">
        <v>8</v>
      </c>
      <c r="W32" s="1507">
        <f t="shared" si="14"/>
        <v>102</v>
      </c>
      <c r="X32" s="1500"/>
      <c r="Y32" s="3618" t="s">
        <v>542</v>
      </c>
      <c r="Z32" s="1508" t="str">
        <f t="shared" si="15"/>
        <v>商业类型</v>
      </c>
      <c r="AA32" s="1509">
        <f t="shared" si="3"/>
        <v>1</v>
      </c>
      <c r="AB32" s="1509">
        <f t="shared" si="4"/>
        <v>1.0416666666666667</v>
      </c>
      <c r="AC32" s="1509">
        <f t="shared" si="5"/>
        <v>0.98039215686274506</v>
      </c>
    </row>
    <row r="33" spans="1:29" s="1291" customFormat="1" ht="15">
      <c r="A33" s="595"/>
      <c r="B33" s="519" t="s">
        <v>718</v>
      </c>
      <c r="C33" s="867">
        <f>剩余法商业!C9</f>
        <v>15401.814</v>
      </c>
      <c r="D33" s="251">
        <v>100</v>
      </c>
      <c r="E33" s="526">
        <v>3500</v>
      </c>
      <c r="F33" s="850">
        <f>LOOKUP(E33,103:103,104:104)-LOOKUP(C33,103:103,104:104)+100</f>
        <v>102</v>
      </c>
      <c r="G33" s="525">
        <v>240</v>
      </c>
      <c r="H33" s="251">
        <f>LOOKUP(G33,103:103,104:104)-LOOKUP(C33,103:103,104:104)+100</f>
        <v>102</v>
      </c>
      <c r="I33" s="525">
        <v>5730</v>
      </c>
      <c r="J33" s="251">
        <f>LOOKUP(I33,103:103,104:104)-LOOKUP(C33,103:103,104:104)+100</f>
        <v>102</v>
      </c>
      <c r="K33" s="573"/>
      <c r="L33" s="2020"/>
      <c r="M33" s="2050"/>
      <c r="N33" s="2050"/>
      <c r="O33" s="2023"/>
      <c r="P33" s="3618"/>
      <c r="Q33" s="1534" t="str">
        <f t="shared" si="11"/>
        <v>项目建筑规模</v>
      </c>
      <c r="R33" s="1510" t="s">
        <v>8</v>
      </c>
      <c r="S33" s="1511">
        <f t="shared" si="12"/>
        <v>102</v>
      </c>
      <c r="T33" s="1510" t="s">
        <v>8</v>
      </c>
      <c r="U33" s="1511">
        <f t="shared" si="13"/>
        <v>102</v>
      </c>
      <c r="V33" s="1510" t="s">
        <v>8</v>
      </c>
      <c r="W33" s="1511">
        <f t="shared" si="14"/>
        <v>102</v>
      </c>
      <c r="X33" s="1512"/>
      <c r="Y33" s="3618"/>
      <c r="Z33" s="1513" t="str">
        <f t="shared" si="15"/>
        <v>项目建筑规模</v>
      </c>
      <c r="AA33" s="1509">
        <f t="shared" si="3"/>
        <v>0.98039215686274506</v>
      </c>
      <c r="AB33" s="1509">
        <f t="shared" si="4"/>
        <v>0.98039215686274506</v>
      </c>
      <c r="AC33" s="1509">
        <f t="shared" si="5"/>
        <v>0.98039215686274506</v>
      </c>
    </row>
    <row r="34" spans="1:29" ht="15">
      <c r="A34" s="586"/>
      <c r="B34" s="519" t="s">
        <v>719</v>
      </c>
      <c r="C34" s="868" t="s">
        <v>3080</v>
      </c>
      <c r="D34" s="532">
        <v>100</v>
      </c>
      <c r="E34" s="3351" t="s">
        <v>3132</v>
      </c>
      <c r="F34" s="567">
        <f>SUMIF(105:105,E34,106:106)-SUMIF(105:105,C34,106:106)+100</f>
        <v>100</v>
      </c>
      <c r="G34" s="3352" t="s">
        <v>3134</v>
      </c>
      <c r="H34" s="532">
        <f>SUMIF(105:105,G34,106:106)-SUMIF(105:105,C34,106:106)+100</f>
        <v>100</v>
      </c>
      <c r="I34" s="3352" t="s">
        <v>3113</v>
      </c>
      <c r="J34" s="532">
        <f>SUMIF(105:105,I34,106:106)-SUMIF(105:105,C34,106:106)+100</f>
        <v>100</v>
      </c>
      <c r="K34" s="576"/>
      <c r="L34" s="2022"/>
      <c r="M34" s="2014"/>
      <c r="N34" s="2014"/>
      <c r="O34" s="2021"/>
      <c r="P34" s="3618"/>
      <c r="Q34" s="1505" t="str">
        <f t="shared" si="11"/>
        <v>建筑结构</v>
      </c>
      <c r="R34" s="1506" t="s">
        <v>8</v>
      </c>
      <c r="S34" s="1507">
        <f t="shared" si="12"/>
        <v>100</v>
      </c>
      <c r="T34" s="1506" t="s">
        <v>8</v>
      </c>
      <c r="U34" s="1507">
        <f t="shared" si="13"/>
        <v>100</v>
      </c>
      <c r="V34" s="1506" t="s">
        <v>8</v>
      </c>
      <c r="W34" s="1507">
        <f t="shared" si="14"/>
        <v>100</v>
      </c>
      <c r="X34" s="1500"/>
      <c r="Y34" s="3618"/>
      <c r="Z34" s="1508" t="str">
        <f t="shared" si="15"/>
        <v>建筑结构</v>
      </c>
      <c r="AA34" s="1509">
        <f t="shared" si="3"/>
        <v>1</v>
      </c>
      <c r="AB34" s="1509">
        <f t="shared" si="4"/>
        <v>1</v>
      </c>
      <c r="AC34" s="1509">
        <f t="shared" si="5"/>
        <v>1</v>
      </c>
    </row>
    <row r="35" spans="1:29" s="3368" customFormat="1" ht="15">
      <c r="A35" s="3353"/>
      <c r="B35" s="3354" t="s">
        <v>755</v>
      </c>
      <c r="C35" s="3355" t="s">
        <v>3115</v>
      </c>
      <c r="D35" s="3356">
        <v>100</v>
      </c>
      <c r="E35" s="3355" t="s">
        <v>3115</v>
      </c>
      <c r="F35" s="3357">
        <f>SUMIF(107:107,E35,108:108)-SUMIF(107:107,C35,108:108)+100</f>
        <v>100</v>
      </c>
      <c r="G35" s="3355" t="s">
        <v>3115</v>
      </c>
      <c r="H35" s="3356">
        <f>SUMIF(107:107,G35,108:108)-SUMIF(107:107,C35,108:108)+100</f>
        <v>100</v>
      </c>
      <c r="I35" s="3355" t="s">
        <v>3115</v>
      </c>
      <c r="J35" s="3356">
        <f>SUMIF(107:107,I35,108:108)-SUMIF(107:107,C35,108:108)+100</f>
        <v>100</v>
      </c>
      <c r="K35" s="3358"/>
      <c r="L35" s="3359"/>
      <c r="M35" s="3360"/>
      <c r="N35" s="3360"/>
      <c r="O35" s="3361"/>
      <c r="P35" s="3618"/>
      <c r="Q35" s="3362" t="str">
        <f t="shared" si="11"/>
        <v>公共部分装修</v>
      </c>
      <c r="R35" s="3363" t="s">
        <v>8</v>
      </c>
      <c r="S35" s="3364">
        <f t="shared" si="12"/>
        <v>100</v>
      </c>
      <c r="T35" s="3363" t="s">
        <v>8</v>
      </c>
      <c r="U35" s="3364">
        <f t="shared" si="13"/>
        <v>100</v>
      </c>
      <c r="V35" s="3363" t="s">
        <v>8</v>
      </c>
      <c r="W35" s="3364">
        <f t="shared" si="14"/>
        <v>100</v>
      </c>
      <c r="X35" s="3365"/>
      <c r="Y35" s="3618"/>
      <c r="Z35" s="3366" t="str">
        <f t="shared" si="15"/>
        <v>公共部分装修</v>
      </c>
      <c r="AA35" s="3367">
        <f t="shared" si="3"/>
        <v>1</v>
      </c>
      <c r="AB35" s="3367">
        <f t="shared" si="4"/>
        <v>1</v>
      </c>
      <c r="AC35" s="3367">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3618"/>
      <c r="Q36" s="1505" t="str">
        <f t="shared" si="11"/>
        <v>成新度</v>
      </c>
      <c r="R36" s="1506" t="s">
        <v>8</v>
      </c>
      <c r="S36" s="1507">
        <f t="shared" si="12"/>
        <v>98</v>
      </c>
      <c r="T36" s="1506" t="s">
        <v>8</v>
      </c>
      <c r="U36" s="1507">
        <f t="shared" si="13"/>
        <v>98</v>
      </c>
      <c r="V36" s="1506" t="s">
        <v>8</v>
      </c>
      <c r="W36" s="1507">
        <f t="shared" si="14"/>
        <v>99</v>
      </c>
      <c r="X36" s="1500"/>
      <c r="Y36" s="3618"/>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3083</v>
      </c>
      <c r="D37" s="251">
        <v>100</v>
      </c>
      <c r="E37" s="591" t="s">
        <v>3083</v>
      </c>
      <c r="F37" s="567">
        <f>SUMIF(112:112,E37,113:113)-SUMIF(112:112,C37,113:113)+100</f>
        <v>100</v>
      </c>
      <c r="G37" s="591" t="s">
        <v>3083</v>
      </c>
      <c r="H37" s="532">
        <f>SUMIF(112:112,G37,113:113)-SUMIF(112:112,C37,113:113)+100</f>
        <v>100</v>
      </c>
      <c r="I37" s="591" t="s">
        <v>3083</v>
      </c>
      <c r="J37" s="532">
        <f>SUMIF(112:112,I37,113:113)-SUMIF(112:112,C37,113:113)+100</f>
        <v>100</v>
      </c>
      <c r="K37" s="576">
        <v>1</v>
      </c>
      <c r="L37" s="2015"/>
      <c r="M37" s="2016"/>
      <c r="N37" s="2016"/>
      <c r="O37" s="2017"/>
      <c r="P37" s="3618"/>
      <c r="Q37" s="1132" t="str">
        <f t="shared" si="11"/>
        <v>市政基础设施</v>
      </c>
      <c r="R37" s="1501" t="s">
        <v>8</v>
      </c>
      <c r="S37" s="1502">
        <f t="shared" si="12"/>
        <v>100</v>
      </c>
      <c r="T37" s="1501" t="s">
        <v>8</v>
      </c>
      <c r="U37" s="1502">
        <f t="shared" si="13"/>
        <v>100</v>
      </c>
      <c r="V37" s="1501" t="s">
        <v>8</v>
      </c>
      <c r="W37" s="1502">
        <f t="shared" si="14"/>
        <v>100</v>
      </c>
      <c r="X37" s="1503"/>
      <c r="Y37" s="3618"/>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3618" t="s">
        <v>758</v>
      </c>
      <c r="Q38" s="1505" t="str">
        <f t="shared" si="11"/>
        <v>业态</v>
      </c>
      <c r="R38" s="1506" t="s">
        <v>8</v>
      </c>
      <c r="S38" s="1507">
        <f t="shared" si="12"/>
        <v>100</v>
      </c>
      <c r="T38" s="1506" t="s">
        <v>8</v>
      </c>
      <c r="U38" s="1507">
        <f t="shared" si="13"/>
        <v>100</v>
      </c>
      <c r="V38" s="1506" t="s">
        <v>8</v>
      </c>
      <c r="W38" s="1507">
        <f t="shared" si="14"/>
        <v>100</v>
      </c>
      <c r="X38" s="1500"/>
      <c r="Y38" s="3618" t="s">
        <v>758</v>
      </c>
      <c r="Z38" s="1508" t="str">
        <f t="shared" si="15"/>
        <v>业态</v>
      </c>
      <c r="AA38" s="1509">
        <f t="shared" si="3"/>
        <v>1</v>
      </c>
      <c r="AB38" s="1509">
        <f t="shared" si="4"/>
        <v>1</v>
      </c>
      <c r="AC38" s="1509">
        <f t="shared" si="5"/>
        <v>1</v>
      </c>
    </row>
    <row r="39" spans="1:29" ht="15">
      <c r="A39" s="586"/>
      <c r="B39" s="519" t="s">
        <v>759</v>
      </c>
      <c r="C39" s="591" t="s">
        <v>3128</v>
      </c>
      <c r="D39" s="532">
        <v>100</v>
      </c>
      <c r="E39" s="591" t="s">
        <v>3128</v>
      </c>
      <c r="F39" s="567">
        <f>SUMIF(116:116,E39,117:117)-SUMIF(116:116,C39,117:117)+100</f>
        <v>100</v>
      </c>
      <c r="G39" s="591" t="s">
        <v>3128</v>
      </c>
      <c r="H39" s="532">
        <f>SUMIF(116:116,G39,117:117)-SUMIF(116:116,C39,117:117)+100</f>
        <v>100</v>
      </c>
      <c r="I39" s="591" t="s">
        <v>3128</v>
      </c>
      <c r="J39" s="532">
        <f>SUMIF(116:116,I39,117:117)-SUMIF(116:116,C39,117:117)+100</f>
        <v>100</v>
      </c>
      <c r="K39" s="576"/>
      <c r="L39" s="2022"/>
      <c r="M39" s="2014"/>
      <c r="N39" s="2014"/>
      <c r="O39" s="2021"/>
      <c r="P39" s="3618"/>
      <c r="Q39" s="1505" t="str">
        <f t="shared" si="11"/>
        <v>层高</v>
      </c>
      <c r="R39" s="1506" t="s">
        <v>8</v>
      </c>
      <c r="S39" s="1507">
        <f t="shared" si="12"/>
        <v>100</v>
      </c>
      <c r="T39" s="1506" t="s">
        <v>8</v>
      </c>
      <c r="U39" s="1507">
        <f t="shared" si="13"/>
        <v>100</v>
      </c>
      <c r="V39" s="1506" t="s">
        <v>8</v>
      </c>
      <c r="W39" s="1507">
        <f t="shared" si="14"/>
        <v>100</v>
      </c>
      <c r="X39" s="1500"/>
      <c r="Y39" s="3618"/>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3618"/>
      <c r="Q40" s="1505" t="str">
        <f t="shared" si="11"/>
        <v>单套建筑面积</v>
      </c>
      <c r="R40" s="1506" t="s">
        <v>8</v>
      </c>
      <c r="S40" s="1507">
        <f t="shared" si="12"/>
        <v>100</v>
      </c>
      <c r="T40" s="1506" t="s">
        <v>8</v>
      </c>
      <c r="U40" s="1507">
        <f t="shared" si="13"/>
        <v>100</v>
      </c>
      <c r="V40" s="1506" t="s">
        <v>8</v>
      </c>
      <c r="W40" s="1507">
        <f t="shared" si="14"/>
        <v>100</v>
      </c>
      <c r="X40" s="1500"/>
      <c r="Y40" s="3618"/>
      <c r="Z40" s="1508" t="str">
        <f t="shared" si="15"/>
        <v>单套建筑面积</v>
      </c>
      <c r="AA40" s="1509">
        <f t="shared" si="3"/>
        <v>1</v>
      </c>
      <c r="AB40" s="1509">
        <f t="shared" si="4"/>
        <v>1</v>
      </c>
      <c r="AC40" s="1509">
        <f t="shared" si="5"/>
        <v>1</v>
      </c>
    </row>
    <row r="41" spans="1:29" s="1291" customFormat="1" ht="15">
      <c r="A41" s="595"/>
      <c r="B41" s="891" t="s">
        <v>761</v>
      </c>
      <c r="C41" s="575" t="s">
        <v>3075</v>
      </c>
      <c r="D41" s="532">
        <v>100</v>
      </c>
      <c r="E41" s="575" t="s">
        <v>3075</v>
      </c>
      <c r="F41" s="567">
        <f>SUMIF(120:120,E41,121:121)-SUMIF(120:120,C41,121:121)+100</f>
        <v>100</v>
      </c>
      <c r="G41" s="575" t="s">
        <v>3075</v>
      </c>
      <c r="H41" s="532">
        <f>SUMIF(120:120,G41,121:121)-SUMIF(120:120,C41,121:121)+100</f>
        <v>100</v>
      </c>
      <c r="I41" s="575" t="s">
        <v>3075</v>
      </c>
      <c r="J41" s="532">
        <f>SUMIF(120:120,I41,121:121)-SUMIF(120:120,C41,121:121)+100</f>
        <v>100</v>
      </c>
      <c r="K41" s="576"/>
      <c r="L41" s="2020"/>
      <c r="M41" s="2050"/>
      <c r="N41" s="2050"/>
      <c r="O41" s="2023"/>
      <c r="P41" s="3618"/>
      <c r="Q41" s="1534" t="str">
        <f t="shared" si="11"/>
        <v>进深比</v>
      </c>
      <c r="R41" s="1510" t="s">
        <v>8</v>
      </c>
      <c r="S41" s="1511">
        <f t="shared" si="12"/>
        <v>100</v>
      </c>
      <c r="T41" s="1510" t="s">
        <v>8</v>
      </c>
      <c r="U41" s="1511">
        <f t="shared" si="13"/>
        <v>100</v>
      </c>
      <c r="V41" s="1510" t="s">
        <v>8</v>
      </c>
      <c r="W41" s="1511">
        <f t="shared" si="14"/>
        <v>100</v>
      </c>
      <c r="X41" s="1512"/>
      <c r="Y41" s="3618"/>
      <c r="Z41" s="1513" t="str">
        <f t="shared" si="15"/>
        <v>进深比</v>
      </c>
      <c r="AA41" s="1509">
        <f t="shared" si="3"/>
        <v>1</v>
      </c>
      <c r="AB41" s="1509">
        <f t="shared" si="4"/>
        <v>1</v>
      </c>
      <c r="AC41" s="1509">
        <f t="shared" si="5"/>
        <v>1</v>
      </c>
    </row>
    <row r="42" spans="1:29" ht="15.75" thickBot="1">
      <c r="A42" s="586"/>
      <c r="B42" s="519" t="s">
        <v>762</v>
      </c>
      <c r="C42" s="591" t="s">
        <v>3120</v>
      </c>
      <c r="D42" s="532">
        <v>100</v>
      </c>
      <c r="E42" s="591" t="s">
        <v>3115</v>
      </c>
      <c r="F42" s="567">
        <f>SUMIF(122:122,E42,123:123)-SUMIF(122:122,C42,123:123)+100</f>
        <v>103</v>
      </c>
      <c r="G42" s="591" t="s">
        <v>3117</v>
      </c>
      <c r="H42" s="532">
        <f>SUMIF(122:122,G42,123:123)-SUMIF(122:122,C42,123:123)+100</f>
        <v>102</v>
      </c>
      <c r="I42" s="591" t="s">
        <v>3115</v>
      </c>
      <c r="J42" s="532">
        <f>SUMIF(122:122,I42,123:123)-SUMIF(122:122,C42,123:123)+100</f>
        <v>103</v>
      </c>
      <c r="K42" s="576">
        <v>1</v>
      </c>
      <c r="L42" s="2022"/>
      <c r="M42" s="2014"/>
      <c r="N42" s="2014"/>
      <c r="O42" s="2021"/>
      <c r="P42" s="3618"/>
      <c r="Q42" s="1505" t="str">
        <f t="shared" si="11"/>
        <v>内部装修</v>
      </c>
      <c r="R42" s="1506" t="s">
        <v>8</v>
      </c>
      <c r="S42" s="1507">
        <f t="shared" si="12"/>
        <v>103</v>
      </c>
      <c r="T42" s="1506" t="s">
        <v>8</v>
      </c>
      <c r="U42" s="1507">
        <f t="shared" si="13"/>
        <v>102</v>
      </c>
      <c r="V42" s="1506" t="s">
        <v>8</v>
      </c>
      <c r="W42" s="1507">
        <f t="shared" si="14"/>
        <v>103</v>
      </c>
      <c r="X42" s="1500"/>
      <c r="Y42" s="3618"/>
      <c r="Z42" s="1508" t="str">
        <f t="shared" si="15"/>
        <v>内部装修</v>
      </c>
      <c r="AA42" s="1509">
        <f t="shared" si="3"/>
        <v>0.970873786407767</v>
      </c>
      <c r="AB42" s="1509">
        <f t="shared" si="4"/>
        <v>0.98039215686274506</v>
      </c>
      <c r="AC42" s="1509">
        <f t="shared" si="5"/>
        <v>0.970873786407767</v>
      </c>
    </row>
    <row r="43" spans="1:29" ht="27.75" hidden="1" thickBot="1">
      <c r="A43" s="586"/>
      <c r="B43" s="519" t="s">
        <v>727</v>
      </c>
      <c r="C43" s="591" t="s">
        <v>3075</v>
      </c>
      <c r="D43" s="532">
        <v>100</v>
      </c>
      <c r="E43" s="591" t="s">
        <v>3075</v>
      </c>
      <c r="F43" s="567">
        <f>SUMIF(124:124,E43,125:125)-SUMIF(124:124,C43,125:125)+100</f>
        <v>100</v>
      </c>
      <c r="G43" s="591" t="s">
        <v>3075</v>
      </c>
      <c r="H43" s="532">
        <f>SUMIF(124:124,G43,125:125)-SUMIF(124:124,C43,125:125)+100</f>
        <v>100</v>
      </c>
      <c r="I43" s="591" t="s">
        <v>3075</v>
      </c>
      <c r="J43" s="532">
        <f>SUMIF(124:124,I43,125:125)-SUMIF(124:124,C43,125:125)+100</f>
        <v>100</v>
      </c>
      <c r="K43" s="576">
        <v>1</v>
      </c>
      <c r="L43" s="2022"/>
      <c r="M43" s="2014"/>
      <c r="N43" s="2014"/>
      <c r="O43" s="2021"/>
      <c r="P43" s="3618"/>
      <c r="Q43" s="1505" t="str">
        <f t="shared" si="11"/>
        <v>内部装修维护情况</v>
      </c>
      <c r="R43" s="1506" t="s">
        <v>8</v>
      </c>
      <c r="S43" s="1507">
        <f t="shared" si="12"/>
        <v>100</v>
      </c>
      <c r="T43" s="1506" t="s">
        <v>8</v>
      </c>
      <c r="U43" s="1507">
        <f t="shared" si="13"/>
        <v>100</v>
      </c>
      <c r="V43" s="1506" t="s">
        <v>8</v>
      </c>
      <c r="W43" s="1507">
        <f t="shared" si="14"/>
        <v>100</v>
      </c>
      <c r="X43" s="1500"/>
      <c r="Y43" s="3618"/>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3618"/>
      <c r="Q44" s="1132">
        <f t="shared" si="11"/>
        <v>111</v>
      </c>
      <c r="R44" s="1501" t="s">
        <v>8</v>
      </c>
      <c r="S44" s="1502">
        <f t="shared" si="12"/>
        <v>100</v>
      </c>
      <c r="T44" s="1501" t="s">
        <v>8</v>
      </c>
      <c r="U44" s="1502">
        <f t="shared" si="13"/>
        <v>100</v>
      </c>
      <c r="V44" s="1501" t="s">
        <v>8</v>
      </c>
      <c r="W44" s="1502">
        <f t="shared" si="14"/>
        <v>100</v>
      </c>
      <c r="X44" s="1503"/>
      <c r="Y44" s="3618"/>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3618"/>
      <c r="Q45" s="1505">
        <f t="shared" si="11"/>
        <v>111</v>
      </c>
      <c r="R45" s="1506" t="s">
        <v>8</v>
      </c>
      <c r="S45" s="1507">
        <f t="shared" si="12"/>
        <v>100</v>
      </c>
      <c r="T45" s="1506" t="s">
        <v>8</v>
      </c>
      <c r="U45" s="1507">
        <f t="shared" si="13"/>
        <v>100</v>
      </c>
      <c r="V45" s="1506" t="s">
        <v>8</v>
      </c>
      <c r="W45" s="1507">
        <f t="shared" si="14"/>
        <v>100</v>
      </c>
      <c r="X45" s="1500"/>
      <c r="Y45" s="3618"/>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3698"/>
      <c r="Q46" s="1505">
        <f t="shared" si="11"/>
        <v>111</v>
      </c>
      <c r="R46" s="1506" t="s">
        <v>8</v>
      </c>
      <c r="S46" s="1507">
        <f t="shared" si="12"/>
        <v>100</v>
      </c>
      <c r="T46" s="1506" t="s">
        <v>8</v>
      </c>
      <c r="U46" s="1507">
        <f t="shared" si="13"/>
        <v>100</v>
      </c>
      <c r="V46" s="1506" t="s">
        <v>8</v>
      </c>
      <c r="W46" s="1507">
        <f t="shared" si="14"/>
        <v>100</v>
      </c>
      <c r="X46" s="1500"/>
      <c r="Y46" s="3698"/>
      <c r="Z46" s="1508">
        <f t="shared" si="15"/>
        <v>111</v>
      </c>
      <c r="AA46" s="1509">
        <f t="shared" si="3"/>
        <v>1</v>
      </c>
      <c r="AB46" s="1509">
        <f t="shared" si="4"/>
        <v>1</v>
      </c>
      <c r="AC46" s="1509">
        <f t="shared" si="5"/>
        <v>1</v>
      </c>
    </row>
    <row r="47" spans="1:29" ht="15">
      <c r="A47" s="599" t="s">
        <v>728</v>
      </c>
      <c r="B47" s="874"/>
      <c r="C47" s="2468" t="s">
        <v>1</v>
      </c>
      <c r="D47" s="2469"/>
      <c r="E47" s="2470">
        <v>5</v>
      </c>
      <c r="F47" s="2471"/>
      <c r="G47" s="2472">
        <v>4.5</v>
      </c>
      <c r="H47" s="2473"/>
      <c r="I47" s="2470">
        <v>5.7</v>
      </c>
      <c r="J47" s="2473"/>
      <c r="K47" s="1539"/>
      <c r="L47" s="2024"/>
      <c r="M47" s="2025"/>
      <c r="N47" s="2014"/>
      <c r="O47" s="2025"/>
      <c r="P47" s="3581" t="str">
        <f>A47</f>
        <v>成交单价（元/平方米）</v>
      </c>
      <c r="Q47" s="3581"/>
      <c r="R47" s="3697">
        <f>E47</f>
        <v>5</v>
      </c>
      <c r="S47" s="3697"/>
      <c r="T47" s="3697">
        <f>G47</f>
        <v>4.5</v>
      </c>
      <c r="U47" s="3697"/>
      <c r="V47" s="3697">
        <f>I47</f>
        <v>5.7</v>
      </c>
      <c r="W47" s="3697"/>
      <c r="X47" s="1495"/>
      <c r="Y47" s="1514"/>
      <c r="Z47" s="1495"/>
      <c r="AA47" s="1495"/>
      <c r="AB47" s="1495"/>
      <c r="AC47" s="1495"/>
    </row>
    <row r="48" spans="1:29" ht="26.25" thickBot="1">
      <c r="A48" s="607" t="s">
        <v>2738</v>
      </c>
      <c r="B48" s="875"/>
      <c r="C48" s="2474">
        <f>R49</f>
        <v>5.4</v>
      </c>
      <c r="D48" s="3012" t="s">
        <v>2963</v>
      </c>
      <c r="E48" s="2475">
        <f>R48</f>
        <v>5.4</v>
      </c>
      <c r="F48" s="3013"/>
      <c r="G48" s="2474">
        <f>T48</f>
        <v>5.2</v>
      </c>
      <c r="H48" s="3013"/>
      <c r="I48" s="2475">
        <f>V48</f>
        <v>5.5</v>
      </c>
      <c r="J48" s="3013"/>
      <c r="K48" s="3021">
        <f>F48+H48+J48</f>
        <v>0</v>
      </c>
      <c r="L48" s="2024"/>
      <c r="M48" s="2025"/>
      <c r="N48" s="2014"/>
      <c r="O48" s="2025"/>
      <c r="P48" s="3581" t="str">
        <f>A48</f>
        <v>比较价格（元/平方米）</v>
      </c>
      <c r="Q48" s="3581"/>
      <c r="R48" s="3697">
        <f>IF(F1="售价",ROUND(PRODUCT(R47,AA7:AA46),0),ROUND(PRODUCT(R47,AA7:AA46),1))</f>
        <v>5.4</v>
      </c>
      <c r="S48" s="3697"/>
      <c r="T48" s="3697">
        <f>IF(F1="售价",ROUND(PRODUCT(T47,AB7:AB46),0),ROUND(PRODUCT(T47,AB7:AB46),1))</f>
        <v>5.2</v>
      </c>
      <c r="U48" s="3697"/>
      <c r="V48" s="3697">
        <f>IF(F1="售价",ROUND(PRODUCT(V47,AC7:AC46),0),ROUND(PRODUCT(V47,AC7:AC46),1))</f>
        <v>5.5</v>
      </c>
      <c r="W48" s="3697"/>
      <c r="X48" s="1495"/>
      <c r="Y48" s="1495"/>
      <c r="Z48" s="1495"/>
      <c r="AA48" s="1495"/>
      <c r="AB48" s="1495"/>
      <c r="AC48" s="1495"/>
    </row>
    <row r="49" spans="1:29" ht="15.75" thickBot="1">
      <c r="A49" s="611" t="s">
        <v>2898</v>
      </c>
      <c r="B49" s="612"/>
      <c r="C49" s="2476">
        <f>R49</f>
        <v>5.4</v>
      </c>
      <c r="D49" s="2476"/>
      <c r="E49" s="2476"/>
      <c r="F49" s="2476"/>
      <c r="G49" s="2476"/>
      <c r="H49" s="2476"/>
      <c r="I49" s="2476"/>
      <c r="J49" s="2476"/>
      <c r="K49" s="1540"/>
      <c r="L49" s="2024"/>
      <c r="M49" s="2025"/>
      <c r="N49" s="2014"/>
      <c r="O49" s="2025"/>
      <c r="P49" s="3578" t="str">
        <f>A49</f>
        <v>估价对象XX用房的比较价格（楼面单价，元/平方米）</v>
      </c>
      <c r="Q49" s="3579"/>
      <c r="R49" s="3696">
        <f>IF(F1="售价",ROUND(IF(D48="简单平均",AVERAGE(R48:V48),R48*F48+T48*H48+V48*J48),0),ROUND(IF(D48="简单平均",AVERAGE(R48:V48),R48*F48+T48*H48+V48*J48),1))</f>
        <v>5.4</v>
      </c>
      <c r="S49" s="3696"/>
      <c r="T49" s="3696"/>
      <c r="U49" s="3696"/>
      <c r="V49" s="3696"/>
      <c r="W49" s="3696"/>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f>IF(E47&lt;E48,E48/E47-1,E47/E48-1)</f>
        <v>8.0000000000000071E-2</v>
      </c>
      <c r="F52" s="617" t="str">
        <f>IF(OR(E52&gt;=0.3,E52&lt;=-0.3),"超过30%","")</f>
        <v/>
      </c>
      <c r="G52" s="616">
        <f>IF(G47&lt;G48,G48/G47-1,G47/G48-1)</f>
        <v>0.15555555555555567</v>
      </c>
      <c r="H52" s="617" t="str">
        <f>IF(OR(G52&gt;=0.3,G52&lt;=-0.3),"超过30%","")</f>
        <v/>
      </c>
      <c r="I52" s="616">
        <f>IF(I47&lt;I48,I48/I47-1,I47/I48-1)</f>
        <v>3.6363636363636376E-2</v>
      </c>
      <c r="J52" s="617"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f>IF(E48&lt;G48,G48/E48-1,E48/G48-1)</f>
        <v>3.8461538461538547E-2</v>
      </c>
      <c r="F53" s="617" t="str">
        <f>IF(OR(E53&gt;=0.2,E53&lt;=-0.2),"超过20%","")</f>
        <v/>
      </c>
      <c r="G53" s="616">
        <f>IF(G48&lt;I48,I48/G48-1,G48/I48-1)</f>
        <v>5.7692307692307709E-2</v>
      </c>
      <c r="H53" s="617" t="str">
        <f>IF(OR(G53&gt;=0.2,G53&lt;=-0.2),"超过20%","")</f>
        <v/>
      </c>
      <c r="I53" s="616">
        <f>IF(I48&lt;E48,E48/I48-1,I48/E48-1)</f>
        <v>1.8518518518518379E-2</v>
      </c>
      <c r="J53" s="617"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f>IF(E47&lt;G47,G47/E47-1,E47/G47-1)</f>
        <v>0.11111111111111116</v>
      </c>
      <c r="F54" s="617" t="str">
        <f>IF(OR(E54&gt;=0.3,E54&lt;=-0.3),"超过30%","")</f>
        <v/>
      </c>
      <c r="G54" s="616">
        <f>IF(G47&lt;I47,I47/G47-1,G47/I47-1)</f>
        <v>0.26666666666666661</v>
      </c>
      <c r="H54" s="617" t="str">
        <f>IF(OR(G54&gt;=0.3,G54&lt;=-0.3),"超过30%","")</f>
        <v/>
      </c>
      <c r="I54" s="616">
        <f>IF(I47&lt;E47,E47/I47-1,I47/E47-1)</f>
        <v>0.14000000000000012</v>
      </c>
      <c r="J54" s="617"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c r="L59" s="640"/>
      <c r="M59" s="641"/>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45" t="s">
        <v>3091</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98</v>
      </c>
      <c r="H66" s="669">
        <f>G66-$K10</f>
        <v>96</v>
      </c>
      <c r="I66" s="669">
        <f>H66-$K10</f>
        <v>94</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98</v>
      </c>
      <c r="E79" s="669">
        <f>D79-$K17</f>
        <v>96</v>
      </c>
      <c r="F79" s="669">
        <f>E79-$K17</f>
        <v>94</v>
      </c>
      <c r="G79" s="669">
        <f>F79-$K17</f>
        <v>92</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44" t="s">
        <v>3084</v>
      </c>
      <c r="D86" s="3344" t="s">
        <v>3085</v>
      </c>
      <c r="E86" s="3344" t="s">
        <v>3087</v>
      </c>
      <c r="F86" s="3344" t="s">
        <v>3089</v>
      </c>
      <c r="G86" s="3344" t="s">
        <v>3090</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98</v>
      </c>
      <c r="E87" s="669">
        <f t="shared" si="19"/>
        <v>96</v>
      </c>
      <c r="F87" s="669">
        <f t="shared" si="19"/>
        <v>94</v>
      </c>
      <c r="G87" s="669">
        <f t="shared" si="19"/>
        <v>92</v>
      </c>
      <c r="H87" s="669">
        <f t="shared" si="19"/>
        <v>90</v>
      </c>
      <c r="I87" s="669">
        <f t="shared" si="19"/>
        <v>88</v>
      </c>
      <c r="J87" s="669">
        <f t="shared" si="19"/>
        <v>86</v>
      </c>
      <c r="K87" s="669">
        <f t="shared" si="19"/>
        <v>84</v>
      </c>
      <c r="L87" s="669">
        <f t="shared" si="19"/>
        <v>82</v>
      </c>
      <c r="M87" s="669">
        <f t="shared" si="19"/>
        <v>80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44" t="s">
        <v>3092</v>
      </c>
      <c r="D88" s="3344" t="s">
        <v>3096</v>
      </c>
      <c r="E88" s="3344" t="s">
        <v>3097</v>
      </c>
      <c r="F88" s="3348" t="s">
        <v>3098</v>
      </c>
      <c r="G88" s="3344" t="s">
        <v>3099</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44" t="s">
        <v>3094</v>
      </c>
      <c r="D90" s="3344" t="s">
        <v>3101</v>
      </c>
      <c r="E90" s="3344" t="s">
        <v>3097</v>
      </c>
      <c r="F90" s="3344" t="s">
        <v>3102</v>
      </c>
      <c r="G90" s="3344" t="s">
        <v>3103</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3104</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9" t="s">
        <v>3140</v>
      </c>
      <c r="D100" s="3349" t="s">
        <v>3107</v>
      </c>
      <c r="E100" s="3349" t="s">
        <v>3109</v>
      </c>
      <c r="F100" s="3349" t="s">
        <v>3110</v>
      </c>
      <c r="G100" s="3349" t="s">
        <v>3112</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57.75" thickTop="1">
      <c r="A102" s="659"/>
      <c r="B102" s="663" t="s">
        <v>740</v>
      </c>
      <c r="C102" s="698" t="str">
        <f>C103&amp;"(含)"&amp;"-"&amp;D103</f>
        <v>0(含)-10000</v>
      </c>
      <c r="D102" s="698" t="str">
        <f t="shared" ref="D102:L102" si="23">D103&amp;"(含)"&amp;"-"&amp;E103</f>
        <v>10000(含)-50000</v>
      </c>
      <c r="E102" s="698" t="str">
        <f t="shared" si="23"/>
        <v>50000(含)-100000</v>
      </c>
      <c r="F102" s="698" t="str">
        <f t="shared" si="23"/>
        <v>100000(含)-200000</v>
      </c>
      <c r="G102" s="698" t="str">
        <f t="shared" si="23"/>
        <v>200000(含)-300000</v>
      </c>
      <c r="H102" s="698" t="str">
        <f t="shared" si="23"/>
        <v>300000(含)-400000</v>
      </c>
      <c r="I102" s="698" t="str">
        <f t="shared" si="23"/>
        <v>400000(含)-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50000</v>
      </c>
      <c r="F103" s="720">
        <v>100000</v>
      </c>
      <c r="G103" s="720">
        <v>200000</v>
      </c>
      <c r="H103" s="720">
        <v>300000</v>
      </c>
      <c r="I103" s="720">
        <v>400000</v>
      </c>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44" t="s">
        <v>3113</v>
      </c>
      <c r="D105" s="3344" t="s">
        <v>3114</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44" t="s">
        <v>3116</v>
      </c>
      <c r="D107" s="3344" t="s">
        <v>3118</v>
      </c>
      <c r="E107" s="3344" t="s">
        <v>3119</v>
      </c>
      <c r="F107" s="3350" t="s">
        <v>3121</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44" t="s">
        <v>3122</v>
      </c>
      <c r="D112" s="3344" t="s">
        <v>3123</v>
      </c>
      <c r="E112" s="3344" t="s">
        <v>3124</v>
      </c>
      <c r="F112" s="3344" t="s">
        <v>3125</v>
      </c>
      <c r="G112" s="3344" t="s">
        <v>3126</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44" t="s">
        <v>3127</v>
      </c>
      <c r="D116" s="3344" t="s">
        <v>3129</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50" t="s">
        <v>3096</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44" t="s">
        <v>3116</v>
      </c>
      <c r="D122" s="3344" t="s">
        <v>3118</v>
      </c>
      <c r="E122" s="3344" t="s">
        <v>3119</v>
      </c>
      <c r="F122" s="3350" t="s">
        <v>3121</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99</v>
      </c>
      <c r="E123" s="669">
        <f t="shared" si="30"/>
        <v>98</v>
      </c>
      <c r="F123" s="669">
        <f t="shared" si="30"/>
        <v>97</v>
      </c>
      <c r="G123" s="669">
        <f t="shared" si="30"/>
        <v>96</v>
      </c>
      <c r="H123" s="669">
        <f t="shared" si="30"/>
        <v>95</v>
      </c>
      <c r="I123" s="669">
        <f t="shared" si="30"/>
        <v>94</v>
      </c>
      <c r="J123" s="669">
        <f t="shared" si="30"/>
        <v>93</v>
      </c>
      <c r="K123" s="669">
        <f t="shared" si="30"/>
        <v>92</v>
      </c>
      <c r="L123" s="669">
        <f t="shared" si="30"/>
        <v>91</v>
      </c>
      <c r="M123" s="670">
        <f t="shared" si="30"/>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9" priority="21" stopIfTrue="1" operator="containsText" text="超过">
      <formula>NOT(ISERROR(SEARCH("超过",F52)))</formula>
    </cfRule>
  </conditionalFormatting>
  <conditionalFormatting sqref="H54">
    <cfRule type="containsText" dxfId="108" priority="19" stopIfTrue="1" operator="containsText" text="超过">
      <formula>NOT(ISERROR(SEARCH("超过",H54)))</formula>
    </cfRule>
  </conditionalFormatting>
  <conditionalFormatting sqref="F54">
    <cfRule type="containsText" dxfId="107" priority="18" stopIfTrue="1" operator="containsText" text="超过">
      <formula>NOT(ISERROR(SEARCH("超过",F54)))</formula>
    </cfRule>
  </conditionalFormatting>
  <conditionalFormatting sqref="F53 H53">
    <cfRule type="containsText" dxfId="106" priority="17" stopIfTrue="1" operator="containsText" text="超过">
      <formula>NOT(ISERROR(SEARCH("超过",F53)))</formula>
    </cfRule>
  </conditionalFormatting>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G54">
    <cfRule type="expression" dxfId="102" priority="13" stopIfTrue="1">
      <formula>$H$54="超过30%"</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J52">
    <cfRule type="containsText" dxfId="99" priority="10" stopIfTrue="1" operator="containsText" text="超过">
      <formula>NOT(ISERROR(SEARCH("超过",J52)))</formula>
    </cfRule>
  </conditionalFormatting>
  <conditionalFormatting sqref="J54">
    <cfRule type="containsText" dxfId="98" priority="9" stopIfTrue="1" operator="containsText" text="超过">
      <formula>NOT(ISERROR(SEARCH("超过",J54)))</formula>
    </cfRule>
  </conditionalFormatting>
  <conditionalFormatting sqref="J53">
    <cfRule type="containsText" dxfId="97" priority="8" stopIfTrue="1" operator="containsText" text="超过">
      <formula>NOT(ISERROR(SEARCH("超过",J53)))</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F48">
    <cfRule type="expression" dxfId="93" priority="4">
      <formula>$D$48="简单平均"</formula>
    </cfRule>
  </conditionalFormatting>
  <conditionalFormatting sqref="H48">
    <cfRule type="expression" dxfId="92" priority="3">
      <formula>$D$48="简单平均"</formula>
    </cfRule>
  </conditionalFormatting>
  <conditionalFormatting sqref="J48">
    <cfRule type="expression" dxfId="91" priority="2">
      <formula>$D$48="简单平均"</formula>
    </cfRule>
  </conditionalFormatting>
  <conditionalFormatting sqref="F7:F46 H7:H46 J7:J46">
    <cfRule type="cellIs" dxfId="90"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1:H32"/>
  <sheetViews>
    <sheetView topLeftCell="A2" workbookViewId="0">
      <selection activeCell="N64" sqref="N64"/>
    </sheetView>
  </sheetViews>
  <sheetFormatPr defaultRowHeight="13.5"/>
  <sheetData>
    <row r="1" spans="8:8">
      <c r="H1" s="3244" t="s">
        <v>3082</v>
      </c>
    </row>
    <row r="16" spans="8:8">
      <c r="H16" s="3244" t="s">
        <v>3133</v>
      </c>
    </row>
    <row r="32" spans="8:8">
      <c r="H32" s="3244" t="s">
        <v>3135</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B39" zoomScale="80" zoomScaleNormal="60" zoomScaleSheetLayoutView="80" workbookViewId="0">
      <selection activeCell="L5" sqref="L5"/>
    </sheetView>
  </sheetViews>
  <sheetFormatPr defaultColWidth="9" defaultRowHeight="14.25"/>
  <cols>
    <col min="1" max="1" width="10.5" style="1289" customWidth="1"/>
    <col min="2" max="2" width="15.75" style="1289" customWidth="1"/>
    <col min="3" max="3" width="14.375" style="1289" customWidth="1"/>
    <col min="4" max="10" width="7.6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1" t="s">
        <v>511</v>
      </c>
      <c r="B3" s="502">
        <f>C50</f>
        <v>3.7</v>
      </c>
      <c r="C3" s="839" t="s">
        <v>714</v>
      </c>
      <c r="D3" s="838">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4" t="s">
        <v>513</v>
      </c>
      <c r="B4" s="505"/>
      <c r="C4" s="3587" t="s">
        <v>514</v>
      </c>
      <c r="D4" s="3588"/>
      <c r="E4" s="3621" t="s">
        <v>515</v>
      </c>
      <c r="F4" s="3622"/>
      <c r="G4" s="3587" t="s">
        <v>516</v>
      </c>
      <c r="H4" s="3588"/>
      <c r="I4" s="3587" t="s">
        <v>517</v>
      </c>
      <c r="J4" s="3588"/>
      <c r="K4" s="506" t="s">
        <v>518</v>
      </c>
      <c r="L4" s="2013"/>
      <c r="M4" s="2014"/>
      <c r="N4" s="2014"/>
      <c r="O4" s="2014"/>
      <c r="P4" s="3703" t="s">
        <v>519</v>
      </c>
      <c r="Q4" s="3590"/>
      <c r="R4" s="3595" t="s">
        <v>515</v>
      </c>
      <c r="S4" s="3596"/>
      <c r="T4" s="3595" t="s">
        <v>516</v>
      </c>
      <c r="U4" s="3596"/>
      <c r="V4" s="3582" t="s">
        <v>517</v>
      </c>
      <c r="W4" s="3582"/>
      <c r="X4" s="1500"/>
      <c r="Y4" s="3595" t="s">
        <v>519</v>
      </c>
      <c r="Z4" s="3596"/>
      <c r="AA4" s="3584" t="s">
        <v>515</v>
      </c>
      <c r="AB4" s="3584" t="s">
        <v>516</v>
      </c>
      <c r="AC4" s="3584" t="s">
        <v>517</v>
      </c>
    </row>
    <row r="5" spans="1:29" ht="15">
      <c r="A5" s="507"/>
      <c r="B5" s="508"/>
      <c r="C5" s="3603" t="s">
        <v>2892</v>
      </c>
      <c r="D5" s="3604"/>
      <c r="E5" s="3623" t="str">
        <f>办公案例截图及地图!A1</f>
        <v>绿地中央广场</v>
      </c>
      <c r="F5" s="3624"/>
      <c r="G5" s="3701" t="s">
        <v>3169</v>
      </c>
      <c r="H5" s="3604"/>
      <c r="I5" s="3701" t="s">
        <v>3170</v>
      </c>
      <c r="J5" s="3604"/>
      <c r="K5" s="506"/>
      <c r="L5" s="2013"/>
      <c r="M5" s="2014"/>
      <c r="N5" s="2014"/>
      <c r="O5" s="2014"/>
      <c r="P5" s="3704"/>
      <c r="Q5" s="3592"/>
      <c r="R5" s="3597"/>
      <c r="S5" s="3598"/>
      <c r="T5" s="3597"/>
      <c r="U5" s="3598"/>
      <c r="V5" s="3582"/>
      <c r="W5" s="3582"/>
      <c r="X5" s="1500"/>
      <c r="Y5" s="3597"/>
      <c r="Z5" s="3598"/>
      <c r="AA5" s="3585"/>
      <c r="AB5" s="3585"/>
      <c r="AC5" s="3585"/>
    </row>
    <row r="6" spans="1:29" ht="15.75" thickBot="1">
      <c r="A6" s="509"/>
      <c r="B6" s="510"/>
      <c r="C6" s="3601" t="s">
        <v>2896</v>
      </c>
      <c r="D6" s="3602"/>
      <c r="E6" s="3619" t="s">
        <v>2896</v>
      </c>
      <c r="F6" s="3620"/>
      <c r="G6" s="3601" t="s">
        <v>2896</v>
      </c>
      <c r="H6" s="3602"/>
      <c r="I6" s="3601" t="s">
        <v>2896</v>
      </c>
      <c r="J6" s="3602"/>
      <c r="K6" s="506" t="s">
        <v>520</v>
      </c>
      <c r="L6" s="2013"/>
      <c r="M6" s="2014"/>
      <c r="N6" s="2014"/>
      <c r="O6" s="2014"/>
      <c r="P6" s="3705"/>
      <c r="Q6" s="3594"/>
      <c r="R6" s="3597"/>
      <c r="S6" s="3598"/>
      <c r="T6" s="3599"/>
      <c r="U6" s="3600"/>
      <c r="V6" s="3582"/>
      <c r="W6" s="3582"/>
      <c r="X6" s="1500"/>
      <c r="Y6" s="3599"/>
      <c r="Z6" s="3600"/>
      <c r="AA6" s="3586"/>
      <c r="AB6" s="3586"/>
      <c r="AC6" s="3586"/>
    </row>
    <row r="7" spans="1:29" s="1201" customFormat="1" ht="15.75" thickBot="1">
      <c r="A7" s="2627"/>
      <c r="B7" s="2634" t="s">
        <v>521</v>
      </c>
      <c r="C7" s="511">
        <f>'数据-取费表'!B2</f>
        <v>44424</v>
      </c>
      <c r="D7" s="512">
        <v>100</v>
      </c>
      <c r="E7" s="513">
        <v>44287</v>
      </c>
      <c r="F7" s="514">
        <f>SUMIF(59:59,YEAR(E7)&amp;"-"&amp;MONTH(E7),60:60)</f>
        <v>100</v>
      </c>
      <c r="G7" s="513">
        <v>44306</v>
      </c>
      <c r="H7" s="512">
        <f>SUMIF(59:59,YEAR(G7)&amp;"-"&amp;MONTH(G7),60:60)</f>
        <v>100</v>
      </c>
      <c r="I7" s="513">
        <v>44317</v>
      </c>
      <c r="J7" s="512">
        <f>SUMIF(59:59,YEAR(I7)&amp;"-"&amp;MONTH(I7),60:60)</f>
        <v>100</v>
      </c>
      <c r="K7" s="516"/>
      <c r="L7" s="2015"/>
      <c r="M7" s="2016"/>
      <c r="N7" s="2016"/>
      <c r="O7" s="2016"/>
      <c r="P7" s="3614" t="s">
        <v>522</v>
      </c>
      <c r="Q7" s="3614"/>
      <c r="R7" s="1501" t="s">
        <v>8</v>
      </c>
      <c r="S7" s="1502">
        <f t="shared" ref="S7:S15" si="0">F7</f>
        <v>100</v>
      </c>
      <c r="T7" s="1501" t="s">
        <v>8</v>
      </c>
      <c r="U7" s="1502">
        <f t="shared" ref="U7:U15" si="1">H7</f>
        <v>100</v>
      </c>
      <c r="V7" s="1501" t="s">
        <v>8</v>
      </c>
      <c r="W7" s="1502">
        <f t="shared" ref="W7:W15" si="2">J7</f>
        <v>100</v>
      </c>
      <c r="X7" s="1503"/>
      <c r="Y7" s="3612" t="s">
        <v>522</v>
      </c>
      <c r="Z7" s="3613"/>
      <c r="AA7" s="1504">
        <f>D7/F7</f>
        <v>1</v>
      </c>
      <c r="AB7" s="1504">
        <f>D7/H7</f>
        <v>1</v>
      </c>
      <c r="AC7" s="1504">
        <f>D7/J7</f>
        <v>1</v>
      </c>
    </row>
    <row r="8" spans="1:29" s="1201" customFormat="1" ht="15.75" thickBot="1">
      <c r="A8" s="2628"/>
      <c r="B8" s="2635" t="s">
        <v>523</v>
      </c>
      <c r="C8" s="517" t="s">
        <v>568</v>
      </c>
      <c r="D8" s="512">
        <v>100</v>
      </c>
      <c r="E8" s="517" t="s">
        <v>3070</v>
      </c>
      <c r="F8" s="514">
        <f>SUMIF(62:62,E8,63:63)-SUMIF(62:62,C8,63:63)+100</f>
        <v>100</v>
      </c>
      <c r="G8" s="517" t="s">
        <v>3070</v>
      </c>
      <c r="H8" s="512">
        <f>SUMIF(62:62,G8,63:63)-SUMIF(62:62,C8,63:63)+100</f>
        <v>100</v>
      </c>
      <c r="I8" s="517" t="s">
        <v>3070</v>
      </c>
      <c r="J8" s="512">
        <f>SUMIF(62:62,I8,63:63)-SUMIF(62:62,C8,63:63)+100</f>
        <v>100</v>
      </c>
      <c r="K8" s="516"/>
      <c r="L8" s="2015"/>
      <c r="M8" s="2016"/>
      <c r="N8" s="2016"/>
      <c r="O8" s="2016"/>
      <c r="P8" s="3614" t="s">
        <v>525</v>
      </c>
      <c r="Q8" s="3613"/>
      <c r="R8" s="1501" t="s">
        <v>8</v>
      </c>
      <c r="S8" s="1502">
        <f t="shared" si="0"/>
        <v>100</v>
      </c>
      <c r="T8" s="1501" t="s">
        <v>8</v>
      </c>
      <c r="U8" s="1502">
        <f t="shared" si="1"/>
        <v>100</v>
      </c>
      <c r="V8" s="1501" t="s">
        <v>8</v>
      </c>
      <c r="W8" s="1502">
        <f t="shared" si="2"/>
        <v>100</v>
      </c>
      <c r="X8" s="1503"/>
      <c r="Y8" s="3612" t="s">
        <v>525</v>
      </c>
      <c r="Z8" s="3613"/>
      <c r="AA8" s="1504">
        <f t="shared" ref="AA8:AA47" si="3">D8/F8</f>
        <v>1</v>
      </c>
      <c r="AB8" s="1504">
        <f t="shared" ref="AB8:AB47" si="4">D8/H8</f>
        <v>1</v>
      </c>
      <c r="AC8" s="1504">
        <f t="shared" ref="AC8:AC47" si="5">D8/J8</f>
        <v>1</v>
      </c>
    </row>
    <row r="9" spans="1:29" s="1201" customFormat="1" ht="15">
      <c r="A9" s="2629"/>
      <c r="B9" s="2636" t="s">
        <v>2734</v>
      </c>
      <c r="C9" s="3334" t="s">
        <v>3136</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581" t="s">
        <v>527</v>
      </c>
      <c r="Q9" s="1132" t="str">
        <f t="shared" ref="Q9:Q15" si="6">B9</f>
        <v>用途</v>
      </c>
      <c r="R9" s="1501" t="s">
        <v>8</v>
      </c>
      <c r="S9" s="1502">
        <f t="shared" si="0"/>
        <v>100</v>
      </c>
      <c r="T9" s="1501" t="s">
        <v>8</v>
      </c>
      <c r="U9" s="1502">
        <f t="shared" si="1"/>
        <v>100</v>
      </c>
      <c r="V9" s="1501" t="s">
        <v>8</v>
      </c>
      <c r="W9" s="1502">
        <f t="shared" si="2"/>
        <v>100</v>
      </c>
      <c r="X9" s="1503"/>
      <c r="Y9" s="3527" t="s">
        <v>528</v>
      </c>
      <c r="Z9" s="1131" t="str">
        <f t="shared" ref="Z9:Z15" si="7">Q9</f>
        <v>用途</v>
      </c>
      <c r="AA9" s="1504">
        <f t="shared" si="3"/>
        <v>1</v>
      </c>
      <c r="AB9" s="1504">
        <f t="shared" si="4"/>
        <v>1</v>
      </c>
      <c r="AC9" s="1504">
        <f t="shared" si="5"/>
        <v>1</v>
      </c>
    </row>
    <row r="10" spans="1:29" s="1290" customFormat="1" ht="28.5">
      <c r="A10" s="2630"/>
      <c r="B10" s="2635" t="s">
        <v>2735</v>
      </c>
      <c r="C10" s="848" t="s">
        <v>3137</v>
      </c>
      <c r="D10" s="251">
        <v>100</v>
      </c>
      <c r="E10" s="848" t="s">
        <v>3137</v>
      </c>
      <c r="F10" s="251">
        <f>SUMIF(66:66,E10,67:67)-SUMIF(66:66,C10,67:67)+100</f>
        <v>100</v>
      </c>
      <c r="G10" s="849" t="s">
        <v>3137</v>
      </c>
      <c r="H10" s="251">
        <f>SUMIF(66:66,G10,67:67)-SUMIF(66:66,C10,67:67)+100</f>
        <v>100</v>
      </c>
      <c r="I10" s="848" t="s">
        <v>3137</v>
      </c>
      <c r="J10" s="251">
        <f>SUMIF(66:66,I10,67:67)-SUMIF(66:66,C10,67:67)+100</f>
        <v>100</v>
      </c>
      <c r="K10" s="576"/>
      <c r="L10" s="2018"/>
      <c r="M10" s="2057"/>
      <c r="N10" s="2057"/>
      <c r="O10" s="2057"/>
      <c r="P10" s="3581"/>
      <c r="Q10" s="1132" t="str">
        <f t="shared" si="6"/>
        <v>土地使用年限（年）</v>
      </c>
      <c r="R10" s="1501" t="s">
        <v>8</v>
      </c>
      <c r="S10" s="1502">
        <f t="shared" si="0"/>
        <v>100</v>
      </c>
      <c r="T10" s="1501" t="s">
        <v>8</v>
      </c>
      <c r="U10" s="1502">
        <f t="shared" si="1"/>
        <v>100</v>
      </c>
      <c r="V10" s="1501" t="s">
        <v>8</v>
      </c>
      <c r="W10" s="1502">
        <f t="shared" si="2"/>
        <v>100</v>
      </c>
      <c r="X10" s="1503"/>
      <c r="Y10" s="3527"/>
      <c r="Z10" s="1131" t="str">
        <f t="shared" si="7"/>
        <v>土地使用年限（年）</v>
      </c>
      <c r="AA10" s="1504">
        <f t="shared" si="3"/>
        <v>1</v>
      </c>
      <c r="AB10" s="1504">
        <f t="shared" si="4"/>
        <v>1</v>
      </c>
      <c r="AC10" s="1504">
        <f t="shared" si="5"/>
        <v>1</v>
      </c>
    </row>
    <row r="11" spans="1:29" ht="15">
      <c r="A11" s="2631"/>
      <c r="B11" s="2635" t="s">
        <v>2736</v>
      </c>
      <c r="C11" s="525"/>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581"/>
      <c r="Q11" s="1132" t="str">
        <f t="shared" si="6"/>
        <v>容积率</v>
      </c>
      <c r="R11" s="1501" t="s">
        <v>8</v>
      </c>
      <c r="S11" s="1502">
        <f t="shared" si="0"/>
        <v>100</v>
      </c>
      <c r="T11" s="1501" t="s">
        <v>8</v>
      </c>
      <c r="U11" s="1502">
        <f t="shared" si="1"/>
        <v>100</v>
      </c>
      <c r="V11" s="1501" t="s">
        <v>8</v>
      </c>
      <c r="W11" s="1502">
        <f t="shared" si="2"/>
        <v>100</v>
      </c>
      <c r="X11" s="1503"/>
      <c r="Y11" s="3527"/>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581"/>
      <c r="Q12" s="1132">
        <f t="shared" si="6"/>
        <v>111</v>
      </c>
      <c r="R12" s="1501" t="s">
        <v>8</v>
      </c>
      <c r="S12" s="1502">
        <f t="shared" si="0"/>
        <v>100</v>
      </c>
      <c r="T12" s="1501" t="s">
        <v>8</v>
      </c>
      <c r="U12" s="1502">
        <f t="shared" si="1"/>
        <v>100</v>
      </c>
      <c r="V12" s="1501" t="s">
        <v>8</v>
      </c>
      <c r="W12" s="1502">
        <f t="shared" si="2"/>
        <v>100</v>
      </c>
      <c r="X12" s="1503"/>
      <c r="Y12" s="3527"/>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581"/>
      <c r="Q13" s="1132">
        <f t="shared" si="6"/>
        <v>111</v>
      </c>
      <c r="R13" s="1501" t="s">
        <v>8</v>
      </c>
      <c r="S13" s="1502">
        <f t="shared" si="0"/>
        <v>100</v>
      </c>
      <c r="T13" s="1501" t="s">
        <v>8</v>
      </c>
      <c r="U13" s="1502">
        <f t="shared" si="1"/>
        <v>100</v>
      </c>
      <c r="V13" s="1501" t="s">
        <v>8</v>
      </c>
      <c r="W13" s="1502">
        <f t="shared" si="2"/>
        <v>100</v>
      </c>
      <c r="X13" s="1503"/>
      <c r="Y13" s="3527"/>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581"/>
      <c r="Q14" s="1132">
        <f t="shared" si="6"/>
        <v>111</v>
      </c>
      <c r="R14" s="1501" t="s">
        <v>8</v>
      </c>
      <c r="S14" s="1502">
        <f t="shared" si="0"/>
        <v>100</v>
      </c>
      <c r="T14" s="1501" t="s">
        <v>8</v>
      </c>
      <c r="U14" s="1502">
        <f t="shared" si="1"/>
        <v>100</v>
      </c>
      <c r="V14" s="1501" t="s">
        <v>8</v>
      </c>
      <c r="W14" s="1502">
        <f t="shared" si="2"/>
        <v>100</v>
      </c>
      <c r="X14" s="1503"/>
      <c r="Y14" s="3527"/>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102</v>
      </c>
      <c r="G15" s="542"/>
      <c r="H15" s="541">
        <f>SUMIF(77:77,G16,78:78)-SUMIF(77:77,C16,78:78)+100</f>
        <v>102</v>
      </c>
      <c r="I15" s="542"/>
      <c r="J15" s="541">
        <f>SUMIF(77:77,I16,78:78)-SUMIF(77:77,C16,78:78)+100</f>
        <v>102</v>
      </c>
      <c r="K15" s="885">
        <v>2</v>
      </c>
      <c r="L15" s="2022"/>
      <c r="M15" s="2014"/>
      <c r="N15" s="2014"/>
      <c r="O15" s="2014"/>
      <c r="P15" s="3615" t="s">
        <v>532</v>
      </c>
      <c r="Q15" s="1505" t="str">
        <f t="shared" si="6"/>
        <v>办公集聚程度</v>
      </c>
      <c r="R15" s="1506" t="s">
        <v>8</v>
      </c>
      <c r="S15" s="1507">
        <f t="shared" si="0"/>
        <v>102</v>
      </c>
      <c r="T15" s="1506" t="s">
        <v>8</v>
      </c>
      <c r="U15" s="1507">
        <f t="shared" si="1"/>
        <v>102</v>
      </c>
      <c r="V15" s="1506" t="s">
        <v>8</v>
      </c>
      <c r="W15" s="1507">
        <f t="shared" si="2"/>
        <v>102</v>
      </c>
      <c r="X15" s="1500"/>
      <c r="Y15" s="3615" t="s">
        <v>532</v>
      </c>
      <c r="Z15" s="1508" t="str">
        <f t="shared" si="7"/>
        <v>办公集聚程度</v>
      </c>
      <c r="AA15" s="1509">
        <f t="shared" si="3"/>
        <v>0.98039215686274506</v>
      </c>
      <c r="AB15" s="1509">
        <f t="shared" si="4"/>
        <v>0.98039215686274506</v>
      </c>
      <c r="AC15" s="1509">
        <f t="shared" si="5"/>
        <v>0.98039215686274506</v>
      </c>
    </row>
    <row r="16" spans="1:29" ht="15">
      <c r="A16" s="524"/>
      <c r="B16" s="545"/>
      <c r="C16" s="546" t="s">
        <v>3074</v>
      </c>
      <c r="D16" s="547"/>
      <c r="E16" s="568" t="s">
        <v>3075</v>
      </c>
      <c r="F16" s="547"/>
      <c r="G16" s="546" t="s">
        <v>3075</v>
      </c>
      <c r="H16" s="551"/>
      <c r="I16" s="568" t="s">
        <v>3075</v>
      </c>
      <c r="J16" s="547"/>
      <c r="K16" s="886"/>
      <c r="L16" s="2022"/>
      <c r="M16" s="2014"/>
      <c r="N16" s="2014"/>
      <c r="O16" s="2014"/>
      <c r="P16" s="3616"/>
      <c r="Q16" s="1505"/>
      <c r="R16" s="1506"/>
      <c r="S16" s="1507"/>
      <c r="T16" s="1506"/>
      <c r="U16" s="1507"/>
      <c r="V16" s="1506"/>
      <c r="W16" s="1507"/>
      <c r="X16" s="1500"/>
      <c r="Y16" s="3616"/>
      <c r="Z16" s="1508"/>
      <c r="AA16" s="1509">
        <v>1</v>
      </c>
      <c r="AB16" s="1509">
        <v>1</v>
      </c>
      <c r="AC16" s="1509">
        <v>1</v>
      </c>
    </row>
    <row r="17" spans="1:29" ht="87" customHeight="1">
      <c r="A17" s="524"/>
      <c r="B17" s="552" t="s">
        <v>294</v>
      </c>
      <c r="C17" s="3382" t="str">
        <f>估价对象房地状况!C6</f>
        <v>周边有通322路、342路、589路、667路、804路、808路、通19路、通41路、通62路等多条公交线路通过，距地铁6号线（北运河西站）约1公里，综合评价交通便捷度较好</v>
      </c>
      <c r="D17" s="3383">
        <v>100</v>
      </c>
      <c r="E17" s="3384"/>
      <c r="F17" s="3383">
        <f>SUMIF(79:79,E18,80:80)-SUMIF(79:79,C18,80:80)+100</f>
        <v>100</v>
      </c>
      <c r="G17" s="3385"/>
      <c r="H17" s="3386">
        <f>SUMIF(79:79,G18,80:80)-SUMIF(79:79,C18,80:80)+100</f>
        <v>100</v>
      </c>
      <c r="I17" s="3385"/>
      <c r="J17" s="3386">
        <f>SUMIF(79:79,I18,80:80)-SUMIF(79:79,C18,80:80)+100</f>
        <v>100</v>
      </c>
      <c r="K17" s="3387">
        <v>3</v>
      </c>
      <c r="L17" s="2022"/>
      <c r="M17" s="2014"/>
      <c r="N17" s="2014"/>
      <c r="O17" s="2014"/>
      <c r="P17" s="3616"/>
      <c r="Q17" s="1505" t="str">
        <f>B17</f>
        <v>交通便捷度</v>
      </c>
      <c r="R17" s="1506" t="s">
        <v>8</v>
      </c>
      <c r="S17" s="1507">
        <f>F17</f>
        <v>100</v>
      </c>
      <c r="T17" s="1506" t="s">
        <v>8</v>
      </c>
      <c r="U17" s="1507">
        <f>H17</f>
        <v>100</v>
      </c>
      <c r="V17" s="1506" t="s">
        <v>8</v>
      </c>
      <c r="W17" s="1507">
        <f>J17</f>
        <v>100</v>
      </c>
      <c r="X17" s="1500"/>
      <c r="Y17" s="3616"/>
      <c r="Z17" s="1508" t="str">
        <f>Q17</f>
        <v>交通便捷度</v>
      </c>
      <c r="AA17" s="1509">
        <f t="shared" si="3"/>
        <v>1</v>
      </c>
      <c r="AB17" s="1509">
        <f t="shared" si="4"/>
        <v>1</v>
      </c>
      <c r="AC17" s="1509">
        <f t="shared" si="5"/>
        <v>1</v>
      </c>
    </row>
    <row r="18" spans="1:29" ht="15">
      <c r="A18" s="524"/>
      <c r="B18" s="558"/>
      <c r="C18" s="559" t="s">
        <v>3075</v>
      </c>
      <c r="D18" s="551"/>
      <c r="E18" s="561" t="s">
        <v>3075</v>
      </c>
      <c r="F18" s="551"/>
      <c r="G18" s="560" t="s">
        <v>3075</v>
      </c>
      <c r="H18" s="547"/>
      <c r="I18" s="560" t="s">
        <v>3075</v>
      </c>
      <c r="J18" s="547"/>
      <c r="K18" s="886"/>
      <c r="L18" s="2022"/>
      <c r="M18" s="2014"/>
      <c r="N18" s="2014"/>
      <c r="O18" s="2014"/>
      <c r="P18" s="3616"/>
      <c r="Q18" s="1505"/>
      <c r="R18" s="1506"/>
      <c r="S18" s="1507"/>
      <c r="T18" s="1506"/>
      <c r="U18" s="1507"/>
      <c r="V18" s="1506"/>
      <c r="W18" s="1507"/>
      <c r="X18" s="1500"/>
      <c r="Y18" s="3616"/>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101</v>
      </c>
      <c r="G19" s="562"/>
      <c r="H19" s="551">
        <f>SUMIF(81:81,G20,82:82)-SUMIF(81:81,C20,82:82)+100</f>
        <v>101</v>
      </c>
      <c r="I19" s="562"/>
      <c r="J19" s="551">
        <f>SUMIF(81:81,I20,82:82)-SUMIF(81:81,C20,82:82)+100</f>
        <v>101</v>
      </c>
      <c r="K19" s="885">
        <v>1</v>
      </c>
      <c r="L19" s="2022"/>
      <c r="M19" s="2014"/>
      <c r="N19" s="2014"/>
      <c r="O19" s="2014"/>
      <c r="P19" s="3616"/>
      <c r="Q19" s="1505" t="str">
        <f>B19</f>
        <v>公共配套设施</v>
      </c>
      <c r="R19" s="1506" t="s">
        <v>8</v>
      </c>
      <c r="S19" s="1507">
        <f>F19</f>
        <v>101</v>
      </c>
      <c r="T19" s="1506" t="s">
        <v>8</v>
      </c>
      <c r="U19" s="1507">
        <f>H19</f>
        <v>101</v>
      </c>
      <c r="V19" s="1506" t="s">
        <v>8</v>
      </c>
      <c r="W19" s="1507">
        <f>J19</f>
        <v>101</v>
      </c>
      <c r="X19" s="1500"/>
      <c r="Y19" s="3616"/>
      <c r="Z19" s="1508" t="str">
        <f>Q19</f>
        <v>公共配套设施</v>
      </c>
      <c r="AA19" s="1509">
        <f t="shared" si="3"/>
        <v>0.99009900990099009</v>
      </c>
      <c r="AB19" s="1509">
        <f t="shared" si="4"/>
        <v>0.99009900990099009</v>
      </c>
      <c r="AC19" s="1509">
        <f t="shared" si="5"/>
        <v>0.99009900990099009</v>
      </c>
    </row>
    <row r="20" spans="1:29" ht="15">
      <c r="A20" s="524"/>
      <c r="B20" s="558"/>
      <c r="C20" s="546" t="s">
        <v>3074</v>
      </c>
      <c r="D20" s="547"/>
      <c r="E20" s="550" t="s">
        <v>3075</v>
      </c>
      <c r="F20" s="547"/>
      <c r="G20" s="548" t="s">
        <v>3075</v>
      </c>
      <c r="H20" s="547"/>
      <c r="I20" s="548" t="s">
        <v>3075</v>
      </c>
      <c r="J20" s="547"/>
      <c r="K20" s="886"/>
      <c r="L20" s="2022"/>
      <c r="M20" s="2014"/>
      <c r="N20" s="2014"/>
      <c r="O20" s="2014"/>
      <c r="P20" s="3616"/>
      <c r="Q20" s="1505"/>
      <c r="R20" s="1506"/>
      <c r="S20" s="1507"/>
      <c r="T20" s="1506"/>
      <c r="U20" s="1507"/>
      <c r="V20" s="1506"/>
      <c r="W20" s="1507"/>
      <c r="X20" s="1500"/>
      <c r="Y20" s="3616"/>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3616"/>
      <c r="Q21" s="2427" t="str">
        <f>B21</f>
        <v>基础设施水平</v>
      </c>
      <c r="R21" s="1506" t="s">
        <v>8</v>
      </c>
      <c r="S21" s="1507">
        <f>F21</f>
        <v>100</v>
      </c>
      <c r="T21" s="1506" t="s">
        <v>8</v>
      </c>
      <c r="U21" s="1507">
        <f>H21</f>
        <v>100</v>
      </c>
      <c r="V21" s="1506" t="s">
        <v>8</v>
      </c>
      <c r="W21" s="1507">
        <f>J21</f>
        <v>100</v>
      </c>
      <c r="X21" s="2429"/>
      <c r="Y21" s="3616"/>
      <c r="Z21" s="2428" t="str">
        <f>Q21</f>
        <v>基础设施水平</v>
      </c>
      <c r="AA21" s="1509">
        <f t="shared" ref="AA21" si="8">D21/F21</f>
        <v>1</v>
      </c>
      <c r="AB21" s="1509">
        <f t="shared" ref="AB21" si="9">D21/H21</f>
        <v>1</v>
      </c>
      <c r="AC21" s="1509">
        <f t="shared" ref="AC21" si="10">D21/J21</f>
        <v>1</v>
      </c>
    </row>
    <row r="22" spans="1:29" ht="15">
      <c r="A22" s="524"/>
      <c r="B22" s="570"/>
      <c r="C22" s="559" t="s">
        <v>3172</v>
      </c>
      <c r="D22" s="547"/>
      <c r="E22" s="568" t="s">
        <v>3172</v>
      </c>
      <c r="F22" s="547"/>
      <c r="G22" s="546" t="s">
        <v>3172</v>
      </c>
      <c r="H22" s="547"/>
      <c r="I22" s="546" t="s">
        <v>3172</v>
      </c>
      <c r="J22" s="547"/>
      <c r="K22" s="2444"/>
      <c r="L22" s="2022"/>
      <c r="M22" s="2014"/>
      <c r="N22" s="2014"/>
      <c r="O22" s="2014"/>
      <c r="P22" s="3616"/>
      <c r="Q22" s="2427"/>
      <c r="R22" s="1506"/>
      <c r="S22" s="1507"/>
      <c r="T22" s="1506"/>
      <c r="U22" s="1507"/>
      <c r="V22" s="1506"/>
      <c r="W22" s="1507"/>
      <c r="X22" s="2429"/>
      <c r="Y22" s="3616"/>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98</v>
      </c>
      <c r="G23" s="554"/>
      <c r="H23" s="551">
        <f>SUMIF(85:85,G24,86:86)-SUMIF(85:85,C24,86:86)+100</f>
        <v>98</v>
      </c>
      <c r="I23" s="554"/>
      <c r="J23" s="551">
        <f>SUMIF(85:85,I24,86:86)-SUMIF(85:85,C24,86:86)+100</f>
        <v>98</v>
      </c>
      <c r="K23" s="885">
        <v>2</v>
      </c>
      <c r="L23" s="2022"/>
      <c r="M23" s="2014"/>
      <c r="N23" s="2014"/>
      <c r="O23" s="2014"/>
      <c r="P23" s="3616"/>
      <c r="Q23" s="1505" t="str">
        <f>B23</f>
        <v>环境质量</v>
      </c>
      <c r="R23" s="1506" t="s">
        <v>8</v>
      </c>
      <c r="S23" s="1507">
        <f>F23</f>
        <v>98</v>
      </c>
      <c r="T23" s="1506" t="s">
        <v>8</v>
      </c>
      <c r="U23" s="1507">
        <f>H23</f>
        <v>98</v>
      </c>
      <c r="V23" s="1506" t="s">
        <v>8</v>
      </c>
      <c r="W23" s="1507">
        <f>J23</f>
        <v>98</v>
      </c>
      <c r="X23" s="1500"/>
      <c r="Y23" s="3616"/>
      <c r="Z23" s="1508" t="str">
        <f>Q23</f>
        <v>环境质量</v>
      </c>
      <c r="AA23" s="1509">
        <f t="shared" si="3"/>
        <v>1.0204081632653061</v>
      </c>
      <c r="AB23" s="1509">
        <f t="shared" si="4"/>
        <v>1.0204081632653061</v>
      </c>
      <c r="AC23" s="1509">
        <f t="shared" si="5"/>
        <v>1.0204081632653061</v>
      </c>
    </row>
    <row r="24" spans="1:29" ht="15">
      <c r="A24" s="524"/>
      <c r="B24" s="570"/>
      <c r="C24" s="546" t="s">
        <v>3081</v>
      </c>
      <c r="D24" s="547"/>
      <c r="E24" s="550" t="s">
        <v>3075</v>
      </c>
      <c r="F24" s="547"/>
      <c r="G24" s="548" t="s">
        <v>3075</v>
      </c>
      <c r="H24" s="547"/>
      <c r="I24" s="548" t="s">
        <v>3075</v>
      </c>
      <c r="J24" s="547"/>
      <c r="K24" s="886"/>
      <c r="L24" s="2022"/>
      <c r="M24" s="2014"/>
      <c r="N24" s="2014"/>
      <c r="O24" s="2014"/>
      <c r="P24" s="3616"/>
      <c r="Q24" s="1505"/>
      <c r="R24" s="1506"/>
      <c r="S24" s="1507"/>
      <c r="T24" s="1506"/>
      <c r="U24" s="1507"/>
      <c r="V24" s="1506"/>
      <c r="W24" s="1507"/>
      <c r="X24" s="1500"/>
      <c r="Y24" s="3616"/>
      <c r="Z24" s="1508"/>
      <c r="AA24" s="1509">
        <v>1</v>
      </c>
      <c r="AB24" s="1509">
        <v>1</v>
      </c>
      <c r="AC24" s="1509">
        <v>1</v>
      </c>
    </row>
    <row r="25" spans="1:29" ht="27">
      <c r="A25" s="507"/>
      <c r="B25" s="552" t="s">
        <v>540</v>
      </c>
      <c r="C25" s="899"/>
      <c r="D25" s="532">
        <v>100</v>
      </c>
      <c r="E25" s="531"/>
      <c r="F25" s="532">
        <f>SUMIF(87:87,E26,88:88)-SUMIF(87:87,C26,88:88)+100</f>
        <v>95</v>
      </c>
      <c r="G25" s="899"/>
      <c r="H25" s="532">
        <f>SUMIF(87:87,G26,88:88)-SUMIF(87:87,C26,88:88)+100</f>
        <v>95</v>
      </c>
      <c r="I25" s="531"/>
      <c r="J25" s="532">
        <f>SUMIF(87:87,I26,88:88)-SUMIF(87:87,C26,88:88)+100</f>
        <v>95</v>
      </c>
      <c r="K25" s="885">
        <v>2.5</v>
      </c>
      <c r="L25" s="2022"/>
      <c r="M25" s="2014"/>
      <c r="N25" s="2014"/>
      <c r="O25" s="2014"/>
      <c r="P25" s="3616"/>
      <c r="Q25" s="1505" t="str">
        <f>B25</f>
        <v>毗邻道路的类型与等级</v>
      </c>
      <c r="R25" s="1506" t="s">
        <v>8</v>
      </c>
      <c r="S25" s="1507">
        <f>F25</f>
        <v>95</v>
      </c>
      <c r="T25" s="1506" t="s">
        <v>8</v>
      </c>
      <c r="U25" s="1507">
        <f>H25</f>
        <v>95</v>
      </c>
      <c r="V25" s="1506" t="s">
        <v>8</v>
      </c>
      <c r="W25" s="1507">
        <f>J25</f>
        <v>95</v>
      </c>
      <c r="X25" s="1500"/>
      <c r="Y25" s="3616"/>
      <c r="Z25" s="1508" t="str">
        <f>Q25</f>
        <v>毗邻道路的类型与等级</v>
      </c>
      <c r="AA25" s="1509">
        <f t="shared" si="3"/>
        <v>1.0526315789473684</v>
      </c>
      <c r="AB25" s="1509">
        <f t="shared" si="4"/>
        <v>1.0526315789473684</v>
      </c>
      <c r="AC25" s="1509">
        <f t="shared" si="5"/>
        <v>1.0526315789473684</v>
      </c>
    </row>
    <row r="26" spans="1:29" ht="28.5">
      <c r="A26" s="507"/>
      <c r="B26" s="558"/>
      <c r="C26" s="572" t="s">
        <v>3173</v>
      </c>
      <c r="D26" s="532"/>
      <c r="E26" s="575" t="s">
        <v>3086</v>
      </c>
      <c r="F26" s="532"/>
      <c r="G26" s="572" t="s">
        <v>3086</v>
      </c>
      <c r="H26" s="532"/>
      <c r="I26" s="575" t="s">
        <v>3086</v>
      </c>
      <c r="J26" s="532"/>
      <c r="K26" s="886"/>
      <c r="L26" s="2022"/>
      <c r="M26" s="2014"/>
      <c r="N26" s="2014"/>
      <c r="O26" s="2014"/>
      <c r="P26" s="3616"/>
      <c r="Q26" s="1505"/>
      <c r="R26" s="1506"/>
      <c r="S26" s="1507"/>
      <c r="T26" s="1506"/>
      <c r="U26" s="1507"/>
      <c r="V26" s="1506"/>
      <c r="W26" s="1507"/>
      <c r="X26" s="1500"/>
      <c r="Y26" s="3616"/>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3616"/>
      <c r="Q27" s="1505" t="str">
        <f t="shared" ref="Q27:Q47" si="11">B27</f>
        <v>楼层</v>
      </c>
      <c r="R27" s="1506" t="s">
        <v>8</v>
      </c>
      <c r="S27" s="1507">
        <f>F27</f>
        <v>100</v>
      </c>
      <c r="T27" s="1506" t="s">
        <v>8</v>
      </c>
      <c r="U27" s="1507">
        <f>H27</f>
        <v>100</v>
      </c>
      <c r="V27" s="1506" t="s">
        <v>8</v>
      </c>
      <c r="W27" s="1507">
        <f>J27</f>
        <v>100</v>
      </c>
      <c r="X27" s="1500"/>
      <c r="Y27" s="3616"/>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3616"/>
      <c r="Q28" s="1132" t="str">
        <f t="shared" si="11"/>
        <v>朝向</v>
      </c>
      <c r="R28" s="1501" t="s">
        <v>8</v>
      </c>
      <c r="S28" s="1502">
        <f>F28</f>
        <v>100</v>
      </c>
      <c r="T28" s="1501" t="s">
        <v>8</v>
      </c>
      <c r="U28" s="1502">
        <f>H28</f>
        <v>100</v>
      </c>
      <c r="V28" s="1501" t="s">
        <v>8</v>
      </c>
      <c r="W28" s="1502">
        <f>J28</f>
        <v>100</v>
      </c>
      <c r="X28" s="1503"/>
      <c r="Y28" s="3616"/>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3616"/>
      <c r="Q29" s="1505">
        <f t="shared" si="11"/>
        <v>111</v>
      </c>
      <c r="R29" s="1506" t="s">
        <v>8</v>
      </c>
      <c r="S29" s="1507">
        <f t="shared" ref="S29:S47" si="12">F29</f>
        <v>100</v>
      </c>
      <c r="T29" s="1506" t="s">
        <v>8</v>
      </c>
      <c r="U29" s="1507">
        <f t="shared" ref="U29:U47" si="13">H29</f>
        <v>100</v>
      </c>
      <c r="V29" s="1506" t="s">
        <v>8</v>
      </c>
      <c r="W29" s="1507">
        <f t="shared" ref="W29:W47" si="14">J29</f>
        <v>100</v>
      </c>
      <c r="X29" s="1500"/>
      <c r="Y29" s="3616"/>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3616"/>
      <c r="Q30" s="1505">
        <f t="shared" si="11"/>
        <v>111</v>
      </c>
      <c r="R30" s="1506" t="s">
        <v>8</v>
      </c>
      <c r="S30" s="1507">
        <f t="shared" si="12"/>
        <v>100</v>
      </c>
      <c r="T30" s="1506" t="s">
        <v>8</v>
      </c>
      <c r="U30" s="1507">
        <f t="shared" si="13"/>
        <v>100</v>
      </c>
      <c r="V30" s="1506" t="s">
        <v>8</v>
      </c>
      <c r="W30" s="1507">
        <f t="shared" si="14"/>
        <v>100</v>
      </c>
      <c r="X30" s="1500"/>
      <c r="Y30" s="3616"/>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3616"/>
      <c r="Q31" s="1505">
        <f t="shared" si="11"/>
        <v>111</v>
      </c>
      <c r="R31" s="1506" t="s">
        <v>8</v>
      </c>
      <c r="S31" s="1507">
        <f t="shared" si="12"/>
        <v>100</v>
      </c>
      <c r="T31" s="1506" t="s">
        <v>8</v>
      </c>
      <c r="U31" s="1507">
        <f t="shared" si="13"/>
        <v>100</v>
      </c>
      <c r="V31" s="1506" t="s">
        <v>8</v>
      </c>
      <c r="W31" s="1507">
        <f t="shared" si="14"/>
        <v>100</v>
      </c>
      <c r="X31" s="1500"/>
      <c r="Y31" s="3616"/>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3616"/>
      <c r="Q32" s="1505">
        <f t="shared" si="11"/>
        <v>111</v>
      </c>
      <c r="R32" s="1506" t="s">
        <v>8</v>
      </c>
      <c r="S32" s="1507">
        <f t="shared" si="12"/>
        <v>100</v>
      </c>
      <c r="T32" s="1506" t="s">
        <v>8</v>
      </c>
      <c r="U32" s="1507">
        <f t="shared" si="13"/>
        <v>100</v>
      </c>
      <c r="V32" s="1506" t="s">
        <v>8</v>
      </c>
      <c r="W32" s="1507">
        <f t="shared" si="14"/>
        <v>100</v>
      </c>
      <c r="X32" s="1500"/>
      <c r="Y32" s="3616"/>
      <c r="Z32" s="1508">
        <f t="shared" si="15"/>
        <v>111</v>
      </c>
      <c r="AA32" s="1509">
        <f t="shared" si="3"/>
        <v>1</v>
      </c>
      <c r="AB32" s="1509">
        <f t="shared" si="4"/>
        <v>1</v>
      </c>
      <c r="AC32" s="1509">
        <f t="shared" si="5"/>
        <v>1</v>
      </c>
    </row>
    <row r="33" spans="1:29" ht="28.5">
      <c r="A33" s="2622" t="s">
        <v>2733</v>
      </c>
      <c r="B33" s="169" t="s">
        <v>772</v>
      </c>
      <c r="C33" s="903" t="s">
        <v>3174</v>
      </c>
      <c r="D33" s="589">
        <v>100</v>
      </c>
      <c r="E33" s="903" t="s">
        <v>3147</v>
      </c>
      <c r="F33" s="567">
        <f>SUMIF(101:101,E33,102:102)-SUMIF(101:101,C33,102:102)+100</f>
        <v>102</v>
      </c>
      <c r="G33" s="903" t="s">
        <v>3147</v>
      </c>
      <c r="H33" s="532">
        <f>SUMIF(101:101,G33,102:102)-SUMIF(101:101,C33,102:102)+100</f>
        <v>102</v>
      </c>
      <c r="I33" s="903" t="s">
        <v>3147</v>
      </c>
      <c r="J33" s="589">
        <f>SUMIF(101:101,I33,102:102)-SUMIF(101:101,C33,102:102)+100</f>
        <v>102</v>
      </c>
      <c r="K33" s="576">
        <v>2</v>
      </c>
      <c r="L33" s="2022"/>
      <c r="M33" s="2014"/>
      <c r="N33" s="2014"/>
      <c r="O33" s="2014"/>
      <c r="P33" s="3617" t="s">
        <v>542</v>
      </c>
      <c r="Q33" s="1505" t="str">
        <f t="shared" si="11"/>
        <v>建筑类型</v>
      </c>
      <c r="R33" s="1506" t="s">
        <v>8</v>
      </c>
      <c r="S33" s="1507">
        <f t="shared" si="12"/>
        <v>102</v>
      </c>
      <c r="T33" s="1506" t="s">
        <v>8</v>
      </c>
      <c r="U33" s="1507">
        <f t="shared" si="13"/>
        <v>102</v>
      </c>
      <c r="V33" s="1506" t="s">
        <v>8</v>
      </c>
      <c r="W33" s="1507">
        <f t="shared" si="14"/>
        <v>102</v>
      </c>
      <c r="X33" s="1500"/>
      <c r="Y33" s="3618" t="s">
        <v>542</v>
      </c>
      <c r="Z33" s="1508" t="str">
        <f t="shared" si="15"/>
        <v>建筑类型</v>
      </c>
      <c r="AA33" s="1509">
        <f t="shared" si="3"/>
        <v>0.98039215686274506</v>
      </c>
      <c r="AB33" s="1509">
        <f t="shared" si="4"/>
        <v>0.98039215686274506</v>
      </c>
      <c r="AC33" s="1509">
        <f t="shared" si="5"/>
        <v>0.98039215686274506</v>
      </c>
    </row>
    <row r="34" spans="1:29" s="1291" customFormat="1" ht="15">
      <c r="A34" s="595"/>
      <c r="B34" s="519" t="s">
        <v>718</v>
      </c>
      <c r="C34" s="867">
        <f>'不动产比较法-商业'!C33</f>
        <v>15401.814</v>
      </c>
      <c r="D34" s="251">
        <v>100</v>
      </c>
      <c r="E34" s="526">
        <v>170</v>
      </c>
      <c r="F34" s="850">
        <f>LOOKUP(E34,104:104,105:105)-LOOKUP(C34,104:104,105:105)+100</f>
        <v>104</v>
      </c>
      <c r="G34" s="525">
        <v>1050</v>
      </c>
      <c r="H34" s="251">
        <f>LOOKUP(G34,104:104,105:105)-LOOKUP(C34,104:104,105:105)+100</f>
        <v>103</v>
      </c>
      <c r="I34" s="525">
        <v>68</v>
      </c>
      <c r="J34" s="251">
        <f>LOOKUP(I34,104:104,105:105)-LOOKUP(C34,104:104,105:105)+100</f>
        <v>104</v>
      </c>
      <c r="K34" s="573"/>
      <c r="L34" s="2020"/>
      <c r="M34" s="2050"/>
      <c r="N34" s="2050"/>
      <c r="O34" s="2050"/>
      <c r="P34" s="3618"/>
      <c r="Q34" s="1534" t="str">
        <f t="shared" si="11"/>
        <v>项目建筑规模</v>
      </c>
      <c r="R34" s="1510" t="s">
        <v>8</v>
      </c>
      <c r="S34" s="1511">
        <f t="shared" si="12"/>
        <v>104</v>
      </c>
      <c r="T34" s="1510" t="s">
        <v>8</v>
      </c>
      <c r="U34" s="1511">
        <f t="shared" si="13"/>
        <v>103</v>
      </c>
      <c r="V34" s="1510" t="s">
        <v>8</v>
      </c>
      <c r="W34" s="1511">
        <f t="shared" si="14"/>
        <v>104</v>
      </c>
      <c r="X34" s="1512"/>
      <c r="Y34" s="3618"/>
      <c r="Z34" s="1513" t="str">
        <f t="shared" si="15"/>
        <v>项目建筑规模</v>
      </c>
      <c r="AA34" s="1509">
        <f t="shared" si="3"/>
        <v>0.96153846153846156</v>
      </c>
      <c r="AB34" s="1509">
        <f t="shared" si="4"/>
        <v>0.970873786407767</v>
      </c>
      <c r="AC34" s="1509">
        <f t="shared" si="5"/>
        <v>0.96153846153846156</v>
      </c>
    </row>
    <row r="35" spans="1:29" ht="15">
      <c r="A35" s="586"/>
      <c r="B35" s="519" t="s">
        <v>719</v>
      </c>
      <c r="C35" s="566" t="s">
        <v>3080</v>
      </c>
      <c r="D35" s="532">
        <v>100</v>
      </c>
      <c r="E35" s="566" t="s">
        <v>3080</v>
      </c>
      <c r="F35" s="567">
        <f>SUMIF(106:106,E35,107:107)-SUMIF(106:106,C35,107:107)+100</f>
        <v>100</v>
      </c>
      <c r="G35" s="566" t="s">
        <v>3080</v>
      </c>
      <c r="H35" s="532">
        <f>SUMIF(106:106,G35,107:107)-SUMIF(106:106,C35,107:107)+100</f>
        <v>100</v>
      </c>
      <c r="I35" s="566" t="s">
        <v>3080</v>
      </c>
      <c r="J35" s="532">
        <f>SUMIF(106:106,I35,107:107)-SUMIF(106:106,C35,107:107)+100</f>
        <v>100</v>
      </c>
      <c r="K35" s="576"/>
      <c r="L35" s="2022"/>
      <c r="M35" s="2014"/>
      <c r="N35" s="2014"/>
      <c r="O35" s="2014"/>
      <c r="P35" s="3618"/>
      <c r="Q35" s="1505" t="str">
        <f t="shared" si="11"/>
        <v>建筑结构</v>
      </c>
      <c r="R35" s="1506" t="s">
        <v>8</v>
      </c>
      <c r="S35" s="1507">
        <f t="shared" si="12"/>
        <v>100</v>
      </c>
      <c r="T35" s="1506" t="s">
        <v>8</v>
      </c>
      <c r="U35" s="1507">
        <f t="shared" si="13"/>
        <v>100</v>
      </c>
      <c r="V35" s="1506" t="s">
        <v>8</v>
      </c>
      <c r="W35" s="1507">
        <f t="shared" si="14"/>
        <v>100</v>
      </c>
      <c r="X35" s="1500"/>
      <c r="Y35" s="3618"/>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3618"/>
      <c r="Q36" s="1505" t="str">
        <f t="shared" si="11"/>
        <v>公共部分装修</v>
      </c>
      <c r="R36" s="1506" t="s">
        <v>8</v>
      </c>
      <c r="S36" s="1507">
        <f t="shared" si="12"/>
        <v>100</v>
      </c>
      <c r="T36" s="1506" t="s">
        <v>8</v>
      </c>
      <c r="U36" s="1507">
        <f t="shared" si="13"/>
        <v>100</v>
      </c>
      <c r="V36" s="1506" t="s">
        <v>8</v>
      </c>
      <c r="W36" s="1507">
        <f t="shared" si="14"/>
        <v>100</v>
      </c>
      <c r="X36" s="1500"/>
      <c r="Y36" s="3618"/>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94</v>
      </c>
      <c r="G37" s="870">
        <v>0.85</v>
      </c>
      <c r="H37" s="567">
        <f>LOOKUP(G37,111:111,112:112)-LOOKUP(C37,111:111,112:112)+100</f>
        <v>94</v>
      </c>
      <c r="I37" s="870">
        <v>0.85</v>
      </c>
      <c r="J37" s="532">
        <f>LOOKUP(I37,111:111,112:112)-LOOKUP(C37,111:111,112:112)+100</f>
        <v>94</v>
      </c>
      <c r="K37" s="576">
        <v>6</v>
      </c>
      <c r="L37" s="2022"/>
      <c r="M37" s="2014"/>
      <c r="N37" s="2014"/>
      <c r="O37" s="2014"/>
      <c r="P37" s="3618"/>
      <c r="Q37" s="1505" t="str">
        <f t="shared" si="11"/>
        <v>成新度</v>
      </c>
      <c r="R37" s="1506" t="s">
        <v>8</v>
      </c>
      <c r="S37" s="1507">
        <f t="shared" si="12"/>
        <v>94</v>
      </c>
      <c r="T37" s="1506" t="s">
        <v>8</v>
      </c>
      <c r="U37" s="1507">
        <f t="shared" si="13"/>
        <v>94</v>
      </c>
      <c r="V37" s="1506" t="s">
        <v>8</v>
      </c>
      <c r="W37" s="1507">
        <f t="shared" si="14"/>
        <v>94</v>
      </c>
      <c r="X37" s="1500"/>
      <c r="Y37" s="3618"/>
      <c r="Z37" s="1508" t="str">
        <f t="shared" si="15"/>
        <v>成新度</v>
      </c>
      <c r="AA37" s="1509">
        <f t="shared" si="3"/>
        <v>1.0638297872340425</v>
      </c>
      <c r="AB37" s="1509">
        <f t="shared" si="4"/>
        <v>1.0638297872340425</v>
      </c>
      <c r="AC37" s="1509">
        <f t="shared" si="5"/>
        <v>1.0638297872340425</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3618"/>
      <c r="Q38" s="1132" t="str">
        <f t="shared" si="11"/>
        <v>写字楼等级</v>
      </c>
      <c r="R38" s="1501" t="s">
        <v>8</v>
      </c>
      <c r="S38" s="1502">
        <f t="shared" si="12"/>
        <v>100</v>
      </c>
      <c r="T38" s="1501" t="s">
        <v>8</v>
      </c>
      <c r="U38" s="1502">
        <f t="shared" si="13"/>
        <v>100</v>
      </c>
      <c r="V38" s="1501" t="s">
        <v>8</v>
      </c>
      <c r="W38" s="1502">
        <f t="shared" si="14"/>
        <v>100</v>
      </c>
      <c r="X38" s="1503"/>
      <c r="Y38" s="3618"/>
      <c r="Z38" s="1131" t="str">
        <f t="shared" si="15"/>
        <v>写字楼等级</v>
      </c>
      <c r="AA38" s="1504">
        <f t="shared" si="3"/>
        <v>1</v>
      </c>
      <c r="AB38" s="1504">
        <f t="shared" si="4"/>
        <v>1</v>
      </c>
      <c r="AC38" s="1504">
        <f t="shared" si="5"/>
        <v>1</v>
      </c>
    </row>
    <row r="39" spans="1:29" ht="28.5">
      <c r="A39" s="586"/>
      <c r="B39" s="519" t="s">
        <v>774</v>
      </c>
      <c r="C39" s="566" t="s">
        <v>3150</v>
      </c>
      <c r="D39" s="532">
        <v>100</v>
      </c>
      <c r="E39" s="566" t="s">
        <v>3150</v>
      </c>
      <c r="F39" s="567">
        <f>SUMIF(115:115,E39,116:116)-SUMIF(115:115,C39,116:116)+100</f>
        <v>100</v>
      </c>
      <c r="G39" s="566" t="s">
        <v>3150</v>
      </c>
      <c r="H39" s="532">
        <f>SUMIF(115:115,G39,116:116)-SUMIF(115:115,C39,116:116)+100</f>
        <v>100</v>
      </c>
      <c r="I39" s="566" t="s">
        <v>3150</v>
      </c>
      <c r="J39" s="532">
        <f>SUMIF(115:115,I39,116:116)-SUMIF(115:115,C39,116:116)+100</f>
        <v>100</v>
      </c>
      <c r="K39" s="576"/>
      <c r="L39" s="2022"/>
      <c r="M39" s="2014"/>
      <c r="N39" s="2014"/>
      <c r="O39" s="2014"/>
      <c r="P39" s="3618" t="s">
        <v>542</v>
      </c>
      <c r="Q39" s="1505" t="str">
        <f t="shared" si="11"/>
        <v>物业管理</v>
      </c>
      <c r="R39" s="1506" t="s">
        <v>8</v>
      </c>
      <c r="S39" s="1507">
        <f t="shared" si="12"/>
        <v>100</v>
      </c>
      <c r="T39" s="1506" t="s">
        <v>8</v>
      </c>
      <c r="U39" s="1507">
        <f t="shared" si="13"/>
        <v>100</v>
      </c>
      <c r="V39" s="1506" t="s">
        <v>8</v>
      </c>
      <c r="W39" s="1507">
        <f t="shared" si="14"/>
        <v>100</v>
      </c>
      <c r="X39" s="1500"/>
      <c r="Y39" s="3618"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3618"/>
      <c r="Q40" s="1505" t="str">
        <f t="shared" si="11"/>
        <v>市政基础设施</v>
      </c>
      <c r="R40" s="1506" t="s">
        <v>8</v>
      </c>
      <c r="S40" s="1507">
        <f t="shared" si="12"/>
        <v>100</v>
      </c>
      <c r="T40" s="1506" t="s">
        <v>8</v>
      </c>
      <c r="U40" s="1507">
        <f t="shared" si="13"/>
        <v>100</v>
      </c>
      <c r="V40" s="1506" t="s">
        <v>8</v>
      </c>
      <c r="W40" s="1507">
        <f t="shared" si="14"/>
        <v>100</v>
      </c>
      <c r="X40" s="1500"/>
      <c r="Y40" s="3618"/>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3618"/>
      <c r="Q41" s="1505" t="str">
        <f t="shared" si="11"/>
        <v>层高</v>
      </c>
      <c r="R41" s="1506" t="s">
        <v>8</v>
      </c>
      <c r="S41" s="1507">
        <f t="shared" si="12"/>
        <v>100</v>
      </c>
      <c r="T41" s="1506" t="s">
        <v>8</v>
      </c>
      <c r="U41" s="1507">
        <f t="shared" si="13"/>
        <v>100</v>
      </c>
      <c r="V41" s="1506" t="s">
        <v>8</v>
      </c>
      <c r="W41" s="1507">
        <f t="shared" si="14"/>
        <v>100</v>
      </c>
      <c r="X41" s="1500"/>
      <c r="Y41" s="3618"/>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3618"/>
      <c r="Q42" s="1534" t="str">
        <f t="shared" si="11"/>
        <v>单套建筑面积</v>
      </c>
      <c r="R42" s="1510" t="s">
        <v>8</v>
      </c>
      <c r="S42" s="1511">
        <f t="shared" si="12"/>
        <v>100</v>
      </c>
      <c r="T42" s="1510" t="s">
        <v>8</v>
      </c>
      <c r="U42" s="1511">
        <f t="shared" si="13"/>
        <v>100</v>
      </c>
      <c r="V42" s="1510" t="s">
        <v>8</v>
      </c>
      <c r="W42" s="1511">
        <f t="shared" si="14"/>
        <v>100</v>
      </c>
      <c r="X42" s="1512"/>
      <c r="Y42" s="3618"/>
      <c r="Z42" s="1513" t="str">
        <f t="shared" si="15"/>
        <v>单套建筑面积</v>
      </c>
      <c r="AA42" s="1509">
        <f t="shared" si="3"/>
        <v>1</v>
      </c>
      <c r="AB42" s="1509">
        <f t="shared" si="4"/>
        <v>1</v>
      </c>
      <c r="AC42" s="1509">
        <f t="shared" si="5"/>
        <v>1</v>
      </c>
    </row>
    <row r="43" spans="1:29" ht="29.25" thickBot="1">
      <c r="A43" s="586"/>
      <c r="B43" s="519" t="s">
        <v>762</v>
      </c>
      <c r="C43" s="566" t="s">
        <v>3117</v>
      </c>
      <c r="D43" s="532">
        <v>100</v>
      </c>
      <c r="E43" s="566" t="s">
        <v>3115</v>
      </c>
      <c r="F43" s="567">
        <f>SUMIF(123:123,E43,124:124)-SUMIF(123:123,C43,124:124)+100</f>
        <v>102</v>
      </c>
      <c r="G43" s="566" t="s">
        <v>3115</v>
      </c>
      <c r="H43" s="532">
        <f>SUMIF(123:123,G43,124:124)-SUMIF(123:123,C43,124:124)+100</f>
        <v>102</v>
      </c>
      <c r="I43" s="566" t="s">
        <v>3117</v>
      </c>
      <c r="J43" s="532">
        <f>SUMIF(123:123,I43,124:124)-SUMIF(123:123,C43,124:124)+100</f>
        <v>100</v>
      </c>
      <c r="K43" s="576">
        <v>2</v>
      </c>
      <c r="L43" s="2022"/>
      <c r="M43" s="2014"/>
      <c r="N43" s="2014"/>
      <c r="O43" s="2014"/>
      <c r="P43" s="3618"/>
      <c r="Q43" s="1505" t="str">
        <f t="shared" si="11"/>
        <v>内部装修</v>
      </c>
      <c r="R43" s="1506" t="s">
        <v>8</v>
      </c>
      <c r="S43" s="1507">
        <f t="shared" si="12"/>
        <v>102</v>
      </c>
      <c r="T43" s="1506" t="s">
        <v>8</v>
      </c>
      <c r="U43" s="1507">
        <f t="shared" si="13"/>
        <v>102</v>
      </c>
      <c r="V43" s="1506" t="s">
        <v>8</v>
      </c>
      <c r="W43" s="1507">
        <f t="shared" si="14"/>
        <v>100</v>
      </c>
      <c r="X43" s="1500"/>
      <c r="Y43" s="3618"/>
      <c r="Z43" s="1508" t="str">
        <f t="shared" si="15"/>
        <v>内部装修</v>
      </c>
      <c r="AA43" s="1509">
        <f t="shared" si="3"/>
        <v>0.98039215686274506</v>
      </c>
      <c r="AB43" s="1509">
        <f t="shared" si="4"/>
        <v>0.98039215686274506</v>
      </c>
      <c r="AC43" s="1509">
        <f t="shared" si="5"/>
        <v>1</v>
      </c>
    </row>
    <row r="44" spans="1:29" ht="27" hidden="1">
      <c r="A44" s="586"/>
      <c r="B44" s="519" t="s">
        <v>727</v>
      </c>
      <c r="C44" s="566" t="s">
        <v>3081</v>
      </c>
      <c r="D44" s="532">
        <v>100</v>
      </c>
      <c r="E44" s="591" t="s">
        <v>3081</v>
      </c>
      <c r="F44" s="567">
        <f>SUMIF(125:125,E44,126:126)-SUMIF(125:125,C44,126:126)+100</f>
        <v>100</v>
      </c>
      <c r="G44" s="591" t="s">
        <v>3081</v>
      </c>
      <c r="H44" s="532">
        <f>SUMIF(125:125,G44,126:126)-SUMIF(125:125,C44,126:126)+100</f>
        <v>100</v>
      </c>
      <c r="I44" s="591" t="s">
        <v>3081</v>
      </c>
      <c r="J44" s="532">
        <f>SUMIF(125:125,I44,126:126)-SUMIF(125:125,C44,126:126)+100</f>
        <v>100</v>
      </c>
      <c r="K44" s="576"/>
      <c r="L44" s="2022"/>
      <c r="M44" s="2014"/>
      <c r="N44" s="2014"/>
      <c r="O44" s="2014"/>
      <c r="P44" s="3618"/>
      <c r="Q44" s="1505" t="str">
        <f t="shared" si="11"/>
        <v>内部装修维护情况</v>
      </c>
      <c r="R44" s="1506" t="s">
        <v>8</v>
      </c>
      <c r="S44" s="1507">
        <f t="shared" si="12"/>
        <v>100</v>
      </c>
      <c r="T44" s="1506" t="s">
        <v>8</v>
      </c>
      <c r="U44" s="1507">
        <f t="shared" si="13"/>
        <v>100</v>
      </c>
      <c r="V44" s="1506" t="s">
        <v>8</v>
      </c>
      <c r="W44" s="1507">
        <f t="shared" si="14"/>
        <v>100</v>
      </c>
      <c r="X44" s="1500"/>
      <c r="Y44" s="3618"/>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3618"/>
      <c r="Q45" s="1132">
        <f t="shared" si="11"/>
        <v>111</v>
      </c>
      <c r="R45" s="1501" t="s">
        <v>8</v>
      </c>
      <c r="S45" s="1502">
        <f t="shared" si="12"/>
        <v>100</v>
      </c>
      <c r="T45" s="1501" t="s">
        <v>8</v>
      </c>
      <c r="U45" s="1502">
        <f t="shared" si="13"/>
        <v>100</v>
      </c>
      <c r="V45" s="1501" t="s">
        <v>8</v>
      </c>
      <c r="W45" s="1502">
        <f t="shared" si="14"/>
        <v>100</v>
      </c>
      <c r="X45" s="1503"/>
      <c r="Y45" s="3618"/>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3618"/>
      <c r="Q46" s="1505">
        <f t="shared" si="11"/>
        <v>111</v>
      </c>
      <c r="R46" s="1506" t="s">
        <v>8</v>
      </c>
      <c r="S46" s="1507">
        <f t="shared" si="12"/>
        <v>100</v>
      </c>
      <c r="T46" s="1506" t="s">
        <v>8</v>
      </c>
      <c r="U46" s="1507">
        <f t="shared" si="13"/>
        <v>100</v>
      </c>
      <c r="V46" s="1506" t="s">
        <v>8</v>
      </c>
      <c r="W46" s="1507">
        <f t="shared" si="14"/>
        <v>100</v>
      </c>
      <c r="X46" s="1500"/>
      <c r="Y46" s="3618"/>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3698"/>
      <c r="Q47" s="1505">
        <f t="shared" si="11"/>
        <v>111</v>
      </c>
      <c r="R47" s="1506" t="s">
        <v>8</v>
      </c>
      <c r="S47" s="1507">
        <f t="shared" si="12"/>
        <v>100</v>
      </c>
      <c r="T47" s="1506" t="s">
        <v>8</v>
      </c>
      <c r="U47" s="1507">
        <f t="shared" si="13"/>
        <v>100</v>
      </c>
      <c r="V47" s="1506" t="s">
        <v>8</v>
      </c>
      <c r="W47" s="1507">
        <f t="shared" si="14"/>
        <v>100</v>
      </c>
      <c r="X47" s="1500"/>
      <c r="Y47" s="3698"/>
      <c r="Z47" s="1508">
        <f t="shared" si="15"/>
        <v>111</v>
      </c>
      <c r="AA47" s="1509">
        <f t="shared" si="3"/>
        <v>1</v>
      </c>
      <c r="AB47" s="1509">
        <f t="shared" si="4"/>
        <v>1</v>
      </c>
      <c r="AC47" s="1509">
        <f t="shared" si="5"/>
        <v>1</v>
      </c>
    </row>
    <row r="48" spans="1:29" ht="15">
      <c r="A48" s="599" t="s">
        <v>728</v>
      </c>
      <c r="B48" s="874"/>
      <c r="C48" s="2468" t="s">
        <v>1</v>
      </c>
      <c r="D48" s="2469"/>
      <c r="E48" s="2470">
        <v>3.3</v>
      </c>
      <c r="F48" s="2471"/>
      <c r="G48" s="2472">
        <v>3.5</v>
      </c>
      <c r="H48" s="2473"/>
      <c r="I48" s="2470">
        <v>3.8</v>
      </c>
      <c r="J48" s="2473"/>
      <c r="K48" s="1539"/>
      <c r="L48" s="2024"/>
      <c r="M48" s="2014"/>
      <c r="N48" s="2014"/>
      <c r="O48" s="2014"/>
      <c r="P48" s="3579" t="str">
        <f>A48</f>
        <v>成交单价（元/平方米）</v>
      </c>
      <c r="Q48" s="3581"/>
      <c r="R48" s="3697">
        <f>E48</f>
        <v>3.3</v>
      </c>
      <c r="S48" s="3697"/>
      <c r="T48" s="3697">
        <f>G48</f>
        <v>3.5</v>
      </c>
      <c r="U48" s="3697"/>
      <c r="V48" s="3697">
        <f>I48</f>
        <v>3.8</v>
      </c>
      <c r="W48" s="3697"/>
      <c r="X48" s="1495"/>
      <c r="Y48" s="1514"/>
      <c r="Z48" s="1495"/>
      <c r="AA48" s="1495"/>
      <c r="AB48" s="1495"/>
      <c r="AC48" s="1495"/>
    </row>
    <row r="49" spans="1:29" ht="15.75" thickBot="1">
      <c r="A49" s="607" t="s">
        <v>2738</v>
      </c>
      <c r="B49" s="875"/>
      <c r="C49" s="2474">
        <f>R50</f>
        <v>3.7</v>
      </c>
      <c r="D49" s="3012" t="s">
        <v>2963</v>
      </c>
      <c r="E49" s="2475">
        <f>R49</f>
        <v>3.4</v>
      </c>
      <c r="F49" s="3013"/>
      <c r="G49" s="2474">
        <f>T49</f>
        <v>3.6</v>
      </c>
      <c r="H49" s="3013"/>
      <c r="I49" s="2475">
        <f>V49</f>
        <v>4</v>
      </c>
      <c r="J49" s="3013"/>
      <c r="K49" s="3021">
        <f>F49+H49+J49</f>
        <v>0</v>
      </c>
      <c r="L49" s="2024"/>
      <c r="M49" s="2014"/>
      <c r="N49" s="2014"/>
      <c r="O49" s="2014"/>
      <c r="P49" s="3579" t="str">
        <f>A49</f>
        <v>比较价格（元/平方米）</v>
      </c>
      <c r="Q49" s="3581"/>
      <c r="R49" s="3697">
        <f>IF(F1="售价",ROUND(PRODUCT(R48,AA7:AA47),0),ROUND(PRODUCT(R48,AA7:AA47),1))</f>
        <v>3.4</v>
      </c>
      <c r="S49" s="3697"/>
      <c r="T49" s="3697">
        <f>IF(F1="售价",ROUND(PRODUCT(T48,AB7:AB47),0),ROUND(PRODUCT(T48,AB7:AB47),1))</f>
        <v>3.6</v>
      </c>
      <c r="U49" s="3697"/>
      <c r="V49" s="3697">
        <f>IF(F1="售价",ROUND(PRODUCT(V48,AC7:AC47),0),ROUND(PRODUCT(V48,AC7:AC47),1))</f>
        <v>4</v>
      </c>
      <c r="W49" s="3697"/>
      <c r="X49" s="1495"/>
      <c r="Y49" s="1495"/>
      <c r="Z49" s="1495"/>
      <c r="AA49" s="1495"/>
      <c r="AB49" s="1495"/>
      <c r="AC49" s="1495"/>
    </row>
    <row r="50" spans="1:29" ht="15.75" thickBot="1">
      <c r="A50" s="611" t="s">
        <v>2898</v>
      </c>
      <c r="B50" s="612"/>
      <c r="C50" s="2476">
        <f>R50</f>
        <v>3.7</v>
      </c>
      <c r="D50" s="2476"/>
      <c r="E50" s="2476"/>
      <c r="F50" s="2476"/>
      <c r="G50" s="2476"/>
      <c r="H50" s="2476"/>
      <c r="I50" s="2476"/>
      <c r="J50" s="2476"/>
      <c r="K50" s="1540"/>
      <c r="L50" s="2024"/>
      <c r="M50" s="2014"/>
      <c r="N50" s="2014"/>
      <c r="O50" s="2014"/>
      <c r="P50" s="3702" t="str">
        <f>A50</f>
        <v>估价对象XX用房的比较价格（楼面单价，元/平方米）</v>
      </c>
      <c r="Q50" s="3579"/>
      <c r="R50" s="3696">
        <f>IF(F1="售价",ROUND(IF(D49="简单平均",AVERAGE(R49:V49),R49*F49+T49*H49+V49*J49),0),ROUND(IF(D49="简单平均",AVERAGE(R49:V49),R49*F49+T49*H49+V49*J49),1))</f>
        <v>3.7</v>
      </c>
      <c r="S50" s="3696"/>
      <c r="T50" s="3696"/>
      <c r="U50" s="3696"/>
      <c r="V50" s="3696"/>
      <c r="W50" s="3696"/>
      <c r="X50" s="1495"/>
      <c r="Y50" s="1495"/>
      <c r="Z50" s="1495"/>
      <c r="AA50" s="1495"/>
      <c r="AB50" s="1495"/>
      <c r="AC50" s="1495"/>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f>IF(E48&lt;E49,E49/E48-1,E48/E49-1)</f>
        <v>3.0303030303030276E-2</v>
      </c>
      <c r="F53" s="617" t="str">
        <f>IF(OR(E53&gt;=0.3,E53&lt;=-0.3),"超过30%","")</f>
        <v/>
      </c>
      <c r="G53" s="616">
        <f>IF(G48&lt;G49,G49/G48-1,G48/G49-1)</f>
        <v>2.8571428571428692E-2</v>
      </c>
      <c r="H53" s="617" t="str">
        <f>IF(OR(G53&gt;=0.3,G53&lt;=-0.3),"超过30%","")</f>
        <v/>
      </c>
      <c r="I53" s="616">
        <f>IF(I48&lt;I49,I49/I48-1,I48/I49-1)</f>
        <v>5.2631578947368363E-2</v>
      </c>
      <c r="J53" s="617" t="str">
        <f>IF(OR(I53&gt;=0.3,I53&lt;=-0.3),"超过30%","")</f>
        <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f>IF(E49&lt;G49,G49/E49-1,E49/G49-1)</f>
        <v>5.8823529411764719E-2</v>
      </c>
      <c r="F54" s="617" t="str">
        <f>IF(OR(E54&gt;=0.2,E54&lt;=-0.2),"超过20%","")</f>
        <v/>
      </c>
      <c r="G54" s="616">
        <f>IF(G49&lt;I49,I49/G49-1,G49/I49-1)</f>
        <v>0.11111111111111116</v>
      </c>
      <c r="H54" s="617" t="str">
        <f>IF(OR(G54&gt;=0.2,G54&lt;=-0.2),"超过20%","")</f>
        <v/>
      </c>
      <c r="I54" s="616">
        <f>IF(I49&lt;E49,E49/I49-1,I49/E49-1)</f>
        <v>0.17647058823529416</v>
      </c>
      <c r="J54" s="617" t="str">
        <f>IF(OR(I54&gt;=0.2,I54&lt;=-0.2),"超过20%","")</f>
        <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f>IF(E48&lt;G48,G48/E48-1,E48/G48-1)</f>
        <v>6.0606060606060552E-2</v>
      </c>
      <c r="F55" s="617" t="str">
        <f>IF(OR(E55&gt;=0.3,E55&lt;=-0.3),"超过30%","")</f>
        <v/>
      </c>
      <c r="G55" s="616">
        <f>IF(G48&lt;I48,I48/G48-1,G48/I48-1)</f>
        <v>8.5714285714285632E-2</v>
      </c>
      <c r="H55" s="617" t="str">
        <f>IF(OR(G55&gt;=0.3,G55&lt;=-0.3),"超过30%","")</f>
        <v/>
      </c>
      <c r="I55" s="616">
        <f>IF(I48&lt;E48,E48/I48-1,I48/E48-1)</f>
        <v>0.1515151515151516</v>
      </c>
      <c r="J55" s="617" t="str">
        <f>IF(OR(I55&gt;=0.3,I55&lt;=-0.3),"超过30%","")</f>
        <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2021-8</v>
      </c>
      <c r="D59" s="2519">
        <f>EDATE(C59,-1)</f>
        <v>44378</v>
      </c>
      <c r="E59" s="2519">
        <f t="shared" ref="E59:O59" si="16">EDATE(D59,-1)</f>
        <v>44348</v>
      </c>
      <c r="F59" s="2519">
        <f t="shared" si="16"/>
        <v>44317</v>
      </c>
      <c r="G59" s="2519">
        <f t="shared" si="16"/>
        <v>44287</v>
      </c>
      <c r="H59" s="2519">
        <f t="shared" si="16"/>
        <v>44256</v>
      </c>
      <c r="I59" s="2519">
        <f t="shared" si="16"/>
        <v>44228</v>
      </c>
      <c r="J59" s="2519">
        <f t="shared" si="16"/>
        <v>44197</v>
      </c>
      <c r="K59" s="2519">
        <f t="shared" si="16"/>
        <v>44166</v>
      </c>
      <c r="L59" s="2519">
        <f t="shared" si="16"/>
        <v>44136</v>
      </c>
      <c r="M59" s="2519">
        <f t="shared" si="16"/>
        <v>44105</v>
      </c>
      <c r="N59" s="2519">
        <f t="shared" si="16"/>
        <v>44075</v>
      </c>
      <c r="O59" s="2519">
        <f t="shared" si="16"/>
        <v>44044</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v>100</v>
      </c>
      <c r="I60" s="640">
        <v>100</v>
      </c>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8.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29.2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97</v>
      </c>
      <c r="E80" s="669">
        <f>D80-$K17</f>
        <v>94</v>
      </c>
      <c r="F80" s="669">
        <f>E80-$K17</f>
        <v>91</v>
      </c>
      <c r="G80" s="669">
        <f>F80-$K17</f>
        <v>88</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99</v>
      </c>
      <c r="E82" s="669">
        <f>D82-$K19</f>
        <v>98</v>
      </c>
      <c r="F82" s="669">
        <f>E82-$K19</f>
        <v>97</v>
      </c>
      <c r="G82" s="669">
        <f>F82-$K19</f>
        <v>96</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98</v>
      </c>
      <c r="E86" s="669">
        <f>D86-$K23</f>
        <v>96</v>
      </c>
      <c r="F86" s="669">
        <f>E86-$K23</f>
        <v>94</v>
      </c>
      <c r="G86" s="669">
        <f>F86-$K23</f>
        <v>92</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44" t="s">
        <v>3084</v>
      </c>
      <c r="D87" s="3344" t="s">
        <v>3085</v>
      </c>
      <c r="E87" s="3344" t="s">
        <v>3087</v>
      </c>
      <c r="F87" s="3344" t="s">
        <v>3089</v>
      </c>
      <c r="G87" s="3344" t="s">
        <v>3090</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97.5</v>
      </c>
      <c r="E88" s="669">
        <f t="shared" si="19"/>
        <v>95</v>
      </c>
      <c r="F88" s="669">
        <f t="shared" si="19"/>
        <v>92.5</v>
      </c>
      <c r="G88" s="669">
        <f t="shared" si="19"/>
        <v>90</v>
      </c>
      <c r="H88" s="669">
        <f t="shared" si="19"/>
        <v>87.5</v>
      </c>
      <c r="I88" s="669">
        <f t="shared" si="19"/>
        <v>85</v>
      </c>
      <c r="J88" s="669">
        <f t="shared" si="19"/>
        <v>82.5</v>
      </c>
      <c r="K88" s="669">
        <f t="shared" si="19"/>
        <v>80</v>
      </c>
      <c r="L88" s="669">
        <f t="shared" si="19"/>
        <v>77.5</v>
      </c>
      <c r="M88" s="669">
        <f t="shared" si="19"/>
        <v>75</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ht="27">
      <c r="A101" s="654" t="s">
        <v>543</v>
      </c>
      <c r="B101" s="655" t="s">
        <v>739</v>
      </c>
      <c r="C101" s="3349" t="s">
        <v>3148</v>
      </c>
      <c r="D101" s="3349" t="s">
        <v>3175</v>
      </c>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0(含)-1000</v>
      </c>
      <c r="D103" s="698" t="str">
        <f t="shared" ref="D103:L103" si="23">D104&amp;"(含)"&amp;"-"&amp;E104</f>
        <v>1000(含)-2000</v>
      </c>
      <c r="E103" s="698" t="str">
        <f t="shared" si="23"/>
        <v>2000(含)-5000</v>
      </c>
      <c r="F103" s="698" t="str">
        <f t="shared" si="23"/>
        <v>5000(含)-10000</v>
      </c>
      <c r="G103" s="698" t="str">
        <f t="shared" si="23"/>
        <v>10000(含)-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1000</v>
      </c>
      <c r="E104" s="720">
        <v>2000</v>
      </c>
      <c r="F104" s="720">
        <v>5000</v>
      </c>
      <c r="G104" s="720">
        <v>10000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v>95</v>
      </c>
      <c r="I105" s="661">
        <v>88</v>
      </c>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44" t="s">
        <v>3138</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5"/>
      <c r="O107" s="2045"/>
      <c r="P107" s="2092"/>
      <c r="Q107" s="2037"/>
      <c r="R107" s="2025"/>
      <c r="S107" s="2025"/>
      <c r="T107" s="2025"/>
      <c r="U107" s="2025"/>
      <c r="V107" s="2025"/>
      <c r="W107" s="2025"/>
      <c r="X107" s="2025"/>
      <c r="Y107" s="2025"/>
      <c r="Z107" s="2025"/>
      <c r="AA107" s="2025"/>
      <c r="AB107" s="2025"/>
      <c r="AC107" s="2025"/>
    </row>
    <row r="108" spans="1:29" ht="27.75" thickTop="1">
      <c r="A108" s="725"/>
      <c r="B108" s="663" t="s">
        <v>743</v>
      </c>
      <c r="C108" s="3344" t="s">
        <v>3116</v>
      </c>
      <c r="D108" s="3344" t="s">
        <v>3118</v>
      </c>
      <c r="E108" s="3344" t="s">
        <v>3119</v>
      </c>
      <c r="F108" s="3350" t="s">
        <v>3121</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29.2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106</v>
      </c>
      <c r="E112" s="669">
        <f t="shared" ref="E112:M112" si="26">D112+$K37</f>
        <v>112</v>
      </c>
      <c r="F112" s="669">
        <f t="shared" si="26"/>
        <v>118</v>
      </c>
      <c r="G112" s="669">
        <f t="shared" si="26"/>
        <v>124</v>
      </c>
      <c r="H112" s="669">
        <f t="shared" si="26"/>
        <v>130</v>
      </c>
      <c r="I112" s="669">
        <f t="shared" si="26"/>
        <v>136</v>
      </c>
      <c r="J112" s="669">
        <f t="shared" si="26"/>
        <v>142</v>
      </c>
      <c r="K112" s="669">
        <f t="shared" si="26"/>
        <v>148</v>
      </c>
      <c r="L112" s="669">
        <f t="shared" si="26"/>
        <v>154</v>
      </c>
      <c r="M112" s="669">
        <f t="shared" si="26"/>
        <v>160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44" t="s">
        <v>3151</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44" t="s">
        <v>3142</v>
      </c>
      <c r="D117" s="3344" t="s">
        <v>3143</v>
      </c>
      <c r="E117" s="3344" t="s">
        <v>3144</v>
      </c>
      <c r="F117" s="3344" t="s">
        <v>3145</v>
      </c>
      <c r="G117" s="3344" t="s">
        <v>3146</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50" t="s">
        <v>3141</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27.75" thickTop="1">
      <c r="A123" s="725"/>
      <c r="B123" s="663" t="s">
        <v>747</v>
      </c>
      <c r="C123" s="3344" t="s">
        <v>3116</v>
      </c>
      <c r="D123" s="3344" t="s">
        <v>3118</v>
      </c>
      <c r="E123" s="3344" t="s">
        <v>3119</v>
      </c>
      <c r="F123" s="3350" t="s">
        <v>3121</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9" priority="20" stopIfTrue="1" operator="containsText" text="超过">
      <formula>NOT(ISERROR(SEARCH("超过",F53)))</formula>
    </cfRule>
  </conditionalFormatting>
  <conditionalFormatting sqref="H55">
    <cfRule type="containsText" dxfId="88" priority="19" stopIfTrue="1" operator="containsText" text="超过">
      <formula>NOT(ISERROR(SEARCH("超过",H55)))</formula>
    </cfRule>
  </conditionalFormatting>
  <conditionalFormatting sqref="F55">
    <cfRule type="containsText" dxfId="87" priority="18" stopIfTrue="1" operator="containsText" text="超过">
      <formula>NOT(ISERROR(SEARCH("超过",F55)))</formula>
    </cfRule>
  </conditionalFormatting>
  <conditionalFormatting sqref="F54 H54">
    <cfRule type="containsText" dxfId="86" priority="17" stopIfTrue="1" operator="containsText" text="超过">
      <formula>NOT(ISERROR(SEARCH("超过",F54)))</formula>
    </cfRule>
  </conditionalFormatting>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J53">
    <cfRule type="containsText" dxfId="79" priority="10" stopIfTrue="1" operator="containsText" text="超过">
      <formula>NOT(ISERROR(SEARCH("超过",J53)))</formula>
    </cfRule>
  </conditionalFormatting>
  <conditionalFormatting sqref="J55">
    <cfRule type="containsText" dxfId="78" priority="9" stopIfTrue="1" operator="containsText" text="超过">
      <formula>NOT(ISERROR(SEARCH("超过",J55)))</formula>
    </cfRule>
  </conditionalFormatting>
  <conditionalFormatting sqref="J54">
    <cfRule type="containsText" dxfId="77" priority="8" stopIfTrue="1" operator="containsText" text="超过">
      <formula>NOT(ISERROR(SEARCH("超过",J54)))</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F49">
    <cfRule type="expression" dxfId="73" priority="4">
      <formula>$D$49="简单平均"</formula>
    </cfRule>
  </conditionalFormatting>
  <conditionalFormatting sqref="H49">
    <cfRule type="expression" dxfId="72" priority="3">
      <formula>$D$49="简单平均"</formula>
    </cfRule>
  </conditionalFormatting>
  <conditionalFormatting sqref="J49">
    <cfRule type="expression" dxfId="71" priority="2">
      <formula>$D$49="简单平均"</formula>
    </cfRule>
  </conditionalFormatting>
  <conditionalFormatting sqref="F7:F47 H7:H47 J7:J47">
    <cfRule type="cellIs" dxfId="70"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6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8"/>
  <sheetViews>
    <sheetView workbookViewId="0">
      <selection activeCell="L93" sqref="L93"/>
    </sheetView>
  </sheetViews>
  <sheetFormatPr defaultRowHeight="13.5"/>
  <sheetData>
    <row r="1" spans="1:1">
      <c r="A1" s="3244" t="s">
        <v>3149</v>
      </c>
    </row>
    <row r="38" spans="2:2">
      <c r="B38" s="3244" t="s">
        <v>3152</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55">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45083</v>
      </c>
      <c r="C2" s="3260"/>
      <c r="D2" s="3261"/>
      <c r="E2" s="3262"/>
      <c r="F2" s="3262"/>
      <c r="G2" s="3256"/>
      <c r="H2" s="1938"/>
      <c r="I2" s="1938"/>
      <c r="J2" s="1938"/>
      <c r="K2" s="1939"/>
      <c r="L2" s="1938"/>
      <c r="M2" s="1938"/>
    </row>
    <row r="3" spans="1:33" ht="18" customHeight="1" thickBot="1">
      <c r="A3" s="820" t="s">
        <v>1715</v>
      </c>
      <c r="B3" s="821">
        <f ca="1">IF(ISERROR(B2*10000/F43),0,ROUND(B2*10000/F43,0))</f>
        <v>29271</v>
      </c>
      <c r="C3" s="3260"/>
      <c r="D3" s="3261"/>
      <c r="E3" s="3262"/>
      <c r="F3" s="3262"/>
      <c r="G3" s="3256"/>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2888</v>
      </c>
      <c r="D5" s="2347" t="s">
        <v>2440</v>
      </c>
      <c r="E5" s="2341"/>
      <c r="F5" s="2342"/>
      <c r="G5" s="1943"/>
      <c r="H5" s="769">
        <v>1</v>
      </c>
      <c r="I5" s="770" t="s">
        <v>2437</v>
      </c>
      <c r="J5" s="54">
        <f ca="1">J6+J10+J12</f>
        <v>0</v>
      </c>
      <c r="K5" s="2347" t="s">
        <v>2440</v>
      </c>
      <c r="L5" s="2341"/>
      <c r="M5" s="2342"/>
    </row>
    <row r="6" spans="1:33" ht="18" customHeight="1">
      <c r="A6" s="1743" t="s">
        <v>1812</v>
      </c>
      <c r="B6" s="3669" t="s">
        <v>2442</v>
      </c>
      <c r="C6" s="771">
        <f ca="1">ROUND(F6*F8*F7*(1-F9)/10000,0)</f>
        <v>2884</v>
      </c>
      <c r="D6" s="2348" t="s">
        <v>2441</v>
      </c>
      <c r="E6" s="772" t="s">
        <v>1726</v>
      </c>
      <c r="F6" s="773">
        <f ca="1">INDIRECT("'数据-取费表'!u"&amp;$G$1)</f>
        <v>5.4</v>
      </c>
      <c r="G6" s="1943"/>
      <c r="H6" s="2355" t="s">
        <v>2447</v>
      </c>
      <c r="I6" s="3669" t="s">
        <v>2442</v>
      </c>
      <c r="J6" s="771">
        <f ca="1">ROUND(M6*M8*M7*(1-M9)/10000,0)</f>
        <v>0</v>
      </c>
      <c r="K6" s="337" t="s">
        <v>1725</v>
      </c>
      <c r="L6" s="772" t="s">
        <v>1726</v>
      </c>
      <c r="M6" s="773">
        <f ca="1">INDIRECT("'数据-取费表'!z"&amp;$G$1)</f>
        <v>0</v>
      </c>
    </row>
    <row r="7" spans="1:33" ht="18" customHeight="1">
      <c r="A7" s="2351"/>
      <c r="B7" s="3670"/>
      <c r="C7" s="776"/>
      <c r="D7" s="777"/>
      <c r="E7" s="772" t="s">
        <v>1727</v>
      </c>
      <c r="F7" s="3369">
        <f ca="1">IF(INDIRECT("'数据-取费表'!ah"&amp;$G$1)="",INDIRECT("'数据-取费表'!k"&amp;$G$1),INDIRECT("'数据-取费表'!ah"&amp;$G$1))</f>
        <v>15401.814</v>
      </c>
      <c r="G7" s="1943"/>
      <c r="H7" s="2340"/>
      <c r="I7" s="3670"/>
      <c r="J7" s="776"/>
      <c r="K7" s="777"/>
      <c r="L7" s="772" t="s">
        <v>1727</v>
      </c>
      <c r="M7" s="773">
        <f ca="1">F7</f>
        <v>15401.814</v>
      </c>
    </row>
    <row r="8" spans="1:33" ht="18" customHeight="1">
      <c r="A8" s="2344"/>
      <c r="B8" s="3671"/>
      <c r="C8" s="776"/>
      <c r="D8" s="777"/>
      <c r="E8" s="772" t="s">
        <v>1728</v>
      </c>
      <c r="F8" s="773">
        <f ca="1">INDIRECT("'数据-取费表'!ai"&amp;$G$1)</f>
        <v>365</v>
      </c>
      <c r="G8" s="1943"/>
      <c r="H8" s="2340"/>
      <c r="I8" s="3671"/>
      <c r="J8" s="776"/>
      <c r="K8" s="777"/>
      <c r="L8" s="772" t="s">
        <v>1728</v>
      </c>
      <c r="M8" s="773">
        <f ca="1">INDIRECT("'数据-取费表'!ai"&amp;$G$1)</f>
        <v>365</v>
      </c>
    </row>
    <row r="9" spans="1:33" ht="18" customHeight="1">
      <c r="A9" s="774"/>
      <c r="B9" s="3672"/>
      <c r="C9" s="776"/>
      <c r="D9" s="777"/>
      <c r="E9" s="772" t="s">
        <v>1729</v>
      </c>
      <c r="F9" s="782">
        <f ca="1">INDIRECT("'数据-取费表'!w"&amp;$G$1)</f>
        <v>0.05</v>
      </c>
      <c r="G9" s="1943"/>
      <c r="H9" s="2356"/>
      <c r="I9" s="3671"/>
      <c r="J9" s="776"/>
      <c r="K9" s="777"/>
      <c r="L9" s="783" t="s">
        <v>1729</v>
      </c>
      <c r="M9" s="784">
        <f ca="1">INDIRECT("'数据-取费表'!ab"&amp;$G$1)</f>
        <v>0</v>
      </c>
    </row>
    <row r="10" spans="1:33" ht="18" customHeight="1">
      <c r="A10" s="1743" t="s">
        <v>2445</v>
      </c>
      <c r="B10" s="2345" t="s">
        <v>2438</v>
      </c>
      <c r="C10" s="787">
        <f ca="1">ROUND(IF(F10="押一",C6/12*F11,IF(F10="押二",C6/12*2*F11,IF(F10="押三",C6/12*3*F11,C11*F11))),0)</f>
        <v>4</v>
      </c>
      <c r="D10" s="2352" t="s">
        <v>2933</v>
      </c>
      <c r="E10" s="2349" t="s">
        <v>2443</v>
      </c>
      <c r="F10" s="2463" t="s">
        <v>3168</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10902</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6931</v>
      </c>
      <c r="D14" s="1891" t="s">
        <v>1733</v>
      </c>
      <c r="E14" s="1892"/>
      <c r="F14" s="793"/>
      <c r="G14" s="1943"/>
      <c r="H14" s="1576" t="s">
        <v>1818</v>
      </c>
      <c r="I14" s="2109" t="s">
        <v>2803</v>
      </c>
      <c r="J14" s="52">
        <f ca="1">C29</f>
        <v>10902</v>
      </c>
      <c r="K14" s="25"/>
      <c r="L14" s="789"/>
      <c r="M14" s="790"/>
    </row>
    <row r="15" spans="1:33" s="1945" customFormat="1" ht="18" customHeight="1" thickBot="1">
      <c r="A15" s="1575" t="s">
        <v>1873</v>
      </c>
      <c r="B15" s="772" t="s">
        <v>639</v>
      </c>
      <c r="C15" s="52">
        <f ca="1">ROUND(C14*F15,0)</f>
        <v>208</v>
      </c>
      <c r="D15" s="794" t="s">
        <v>1734</v>
      </c>
      <c r="E15" s="794" t="s">
        <v>1735</v>
      </c>
      <c r="F15" s="795">
        <f>'数据-取费表'!B33</f>
        <v>0.03</v>
      </c>
      <c r="G15" s="3257"/>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310</v>
      </c>
      <c r="K16" s="1734" t="s">
        <v>1738</v>
      </c>
      <c r="L16" s="2337"/>
      <c r="M16" s="2342"/>
    </row>
    <row r="17" spans="1:33" s="1945" customFormat="1" ht="18" customHeight="1">
      <c r="A17" s="1575" t="s">
        <v>1875</v>
      </c>
      <c r="B17" s="772" t="s">
        <v>645</v>
      </c>
      <c r="C17" s="52">
        <f ca="1">ROUND(F17*(F43+INDIRECT("'数据-取费表'!S"&amp;$G$1))/10000,0)</f>
        <v>308</v>
      </c>
      <c r="D17" s="772" t="s">
        <v>1739</v>
      </c>
      <c r="E17" s="772" t="s">
        <v>1740</v>
      </c>
      <c r="F17" s="55">
        <f>'数据-取费表'!B35</f>
        <v>200</v>
      </c>
      <c r="G17" s="3257"/>
      <c r="H17" s="1576" t="s">
        <v>1818</v>
      </c>
      <c r="I17" s="772" t="s">
        <v>648</v>
      </c>
      <c r="J17" s="3017">
        <f ca="1">ROUND(IF(AND(项目基本情况!B11="自然人",项目基本情况!B10="北京市"),J6*M17/(1+'数据-取费表'!C42),J18+J19+J20),0)</f>
        <v>92</v>
      </c>
      <c r="K17" s="2336" t="s">
        <v>1741</v>
      </c>
      <c r="L17" s="2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1734</v>
      </c>
      <c r="E18" s="772" t="s">
        <v>1735</v>
      </c>
      <c r="F18" s="797">
        <f>'数据-取费表'!B36</f>
        <v>1.4999999999999999E-2</v>
      </c>
      <c r="G18" s="3257"/>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7551</v>
      </c>
      <c r="D19" s="257" t="s">
        <v>1745</v>
      </c>
      <c r="E19" s="1894"/>
      <c r="F19" s="55"/>
      <c r="G19" s="1943"/>
      <c r="H19" s="1575" t="s">
        <v>1873</v>
      </c>
      <c r="I19" s="772" t="s">
        <v>1746</v>
      </c>
      <c r="J19" s="52">
        <f ca="1">IF(K19="按租金收入计税",ROUND(J6*M19/(1+'数据-取费表'!C42),1),ROUND(C29*F33*0.7,1))</f>
        <v>91.6</v>
      </c>
      <c r="K19" s="798" t="s">
        <v>657</v>
      </c>
      <c r="L19" s="772" t="s">
        <v>1735</v>
      </c>
      <c r="M19" s="797">
        <f>IF(K19="按租金收入计税",'数据-取费表'!B51,'数据-取费表'!B50)</f>
        <v>1.2E-2</v>
      </c>
    </row>
    <row r="20" spans="1:33" s="1945" customFormat="1" ht="18" customHeight="1">
      <c r="A20" s="1576" t="s">
        <v>1877</v>
      </c>
      <c r="B20" s="772" t="s">
        <v>658</v>
      </c>
      <c r="C20" s="52">
        <f ca="1">ROUND(C19*F20,0)</f>
        <v>76</v>
      </c>
      <c r="D20" s="799" t="s">
        <v>1747</v>
      </c>
      <c r="E20" s="772" t="s">
        <v>1735</v>
      </c>
      <c r="F20" s="3395">
        <v>0.01</v>
      </c>
      <c r="G20" s="3257"/>
      <c r="H20" s="1578" t="s">
        <v>1868</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3395">
        <v>0.01</v>
      </c>
      <c r="G21" s="3257"/>
      <c r="H21" s="2357"/>
      <c r="I21" s="781"/>
      <c r="J21" s="68"/>
      <c r="K21" s="803"/>
      <c r="L21" s="772" t="s">
        <v>1754</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218</v>
      </c>
      <c r="K22" s="2335" t="s">
        <v>1757</v>
      </c>
      <c r="L22" s="772" t="s">
        <v>1735</v>
      </c>
      <c r="M22" s="804">
        <f ca="1">INDIRECT("'数据-取费表'!Ak"&amp;$G$1)</f>
        <v>0.02</v>
      </c>
    </row>
    <row r="23" spans="1:33" s="1945" customFormat="1" ht="18" customHeight="1">
      <c r="A23" s="1575" t="s">
        <v>1819</v>
      </c>
      <c r="B23" s="772" t="s">
        <v>2514</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2335" t="s">
        <v>1759</v>
      </c>
      <c r="L23" s="772" t="s">
        <v>1735</v>
      </c>
      <c r="M23" s="805">
        <f ca="1">INDIRECT("'数据-取费表'!Al"&amp;$G$1)</f>
        <v>2E-3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4.0000000000000002E-4</v>
      </c>
      <c r="D24" s="2421" t="str">
        <f>IF(F23&lt;=1,"销售费用×利率×(建设周期÷2)","销售费用×((1+利率)^(建设周期÷2)-1)")</f>
        <v>销售费用×((1+利率)^(建设周期÷2)-1)</v>
      </c>
      <c r="E24" s="772" t="s">
        <v>1761</v>
      </c>
      <c r="F24" s="806">
        <f ca="1">'数据-取费表'!B40</f>
        <v>4.7500000000000001E-2</v>
      </c>
      <c r="G24" s="3257"/>
      <c r="H24" s="2402" t="s">
        <v>1879</v>
      </c>
      <c r="I24" s="2397" t="s">
        <v>658</v>
      </c>
      <c r="J24" s="2395">
        <f ca="1">ROUND(J5*M24,0)</f>
        <v>0</v>
      </c>
      <c r="K24" s="2396" t="s">
        <v>1762</v>
      </c>
      <c r="L24" s="2397" t="s">
        <v>1735</v>
      </c>
      <c r="M24" s="2393">
        <f ca="1">INDIRECT("'数据-取费表'!Am"&amp;$G$1)</f>
        <v>0.02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-310</v>
      </c>
      <c r="K25" s="2399" t="s">
        <v>1765</v>
      </c>
      <c r="L25" s="2400"/>
      <c r="M25" s="2401"/>
    </row>
    <row r="26" spans="1:33" ht="18" customHeight="1">
      <c r="A26" s="1575" t="s">
        <v>1819</v>
      </c>
      <c r="B26" s="772" t="s">
        <v>2419</v>
      </c>
      <c r="C26" s="52">
        <f ca="1">ROUND((C19+C20)*F26,0)</f>
        <v>2288</v>
      </c>
      <c r="D26" s="799" t="s">
        <v>1766</v>
      </c>
      <c r="E26" s="783" t="s">
        <v>1767</v>
      </c>
      <c r="F26" s="782">
        <f ca="1">INDIRECT("'数据-取费表'!q"&amp;$G$1)</f>
        <v>0.3</v>
      </c>
      <c r="G26" s="1943"/>
      <c r="H26" s="2353" t="s">
        <v>1768</v>
      </c>
      <c r="I26" s="2110" t="s">
        <v>2804</v>
      </c>
      <c r="J26" s="771">
        <f ca="1">IF(J5&lt;&gt;0,ROUND(J25*(1-((1+M28)/(1+M26))^M27)/(M26-M28),0),0)</f>
        <v>0</v>
      </c>
      <c r="K26" s="801" t="s">
        <v>1769</v>
      </c>
      <c r="L26" s="772" t="s">
        <v>2401</v>
      </c>
      <c r="M26" s="782">
        <f ca="1">INDIRECT("'数据-取费表'!I"&amp;$G$1)</f>
        <v>4.2000000000000003E-2</v>
      </c>
    </row>
    <row r="27" spans="1:33" ht="18" customHeight="1">
      <c r="A27" s="1575" t="s">
        <v>1820</v>
      </c>
      <c r="B27" s="772" t="s">
        <v>678</v>
      </c>
      <c r="C27" s="52">
        <f ca="1">ROUND(F21*F26,4)</f>
        <v>3.0000000000000001E-3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57"/>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10902</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542</v>
      </c>
      <c r="D30" s="1734" t="s">
        <v>1779</v>
      </c>
      <c r="E30" s="2337"/>
      <c r="F30" s="2342"/>
      <c r="G30" s="1943"/>
      <c r="H30" s="1946"/>
      <c r="I30" s="1947"/>
      <c r="J30" s="1948"/>
      <c r="K30" s="1949"/>
      <c r="L30" s="1950"/>
      <c r="M30" s="1951"/>
    </row>
    <row r="31" spans="1:33" ht="18" customHeight="1">
      <c r="A31" s="1576" t="s">
        <v>1818</v>
      </c>
      <c r="B31" s="772" t="s">
        <v>648</v>
      </c>
      <c r="C31" s="3017">
        <f ca="1">ROUND(IF(AND(项目基本情况!B11="自然人",项目基本情况!B10="北京市"),C6*F31/(1+'数据-取费表'!C42),C32+C33+C34),0)</f>
        <v>244</v>
      </c>
      <c r="D31" s="1891" t="s">
        <v>1780</v>
      </c>
      <c r="E31" s="1889" t="s">
        <v>1781</v>
      </c>
      <c r="F31" s="3016">
        <f ca="1">IF(项目基本情况!B11="企业","——",IF('数据-取费表'!B10="住宅",IF(F6*F7*F8/12/(1+'数据-取费表'!F30)&gt;100000,4%,2.5%),IF(F6*F7*F8/12/(1+'数据-取费表'!F30)&gt;100000,12%,7%)))</f>
        <v>0.12</v>
      </c>
      <c r="G31" s="1943"/>
      <c r="H31" s="3254" t="s">
        <v>2988</v>
      </c>
      <c r="I31" s="1947"/>
      <c r="J31" s="1948"/>
      <c r="K31" s="1949"/>
      <c r="L31" s="1950"/>
      <c r="M31" s="1951"/>
    </row>
    <row r="32" spans="1:33" ht="18" customHeight="1">
      <c r="A32" s="1575" t="s">
        <v>1819</v>
      </c>
      <c r="B32" s="772" t="s">
        <v>1782</v>
      </c>
      <c r="C32" s="52">
        <f ca="1">ROUND(C6*F32/(1+'数据-取费表'!C42),1)</f>
        <v>151.1</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91.6</v>
      </c>
      <c r="D33" s="798" t="s">
        <v>1668</v>
      </c>
      <c r="E33" s="772" t="s">
        <v>1784</v>
      </c>
      <c r="F33" s="797">
        <f>IF(D33="按租金收入计税",'数据-取费表'!B51,'数据-取费表'!B50)</f>
        <v>1.2E-2</v>
      </c>
      <c r="G33" s="1943"/>
      <c r="H33" s="1958"/>
      <c r="I33" s="1958"/>
      <c r="J33" s="1958"/>
      <c r="K33" s="1959"/>
      <c r="L33" s="1958"/>
      <c r="M33" s="1958"/>
    </row>
    <row r="34" spans="1:18" ht="18" customHeight="1">
      <c r="A34" s="1578" t="s">
        <v>1821</v>
      </c>
      <c r="B34" s="337" t="s">
        <v>1786</v>
      </c>
      <c r="C34" s="53">
        <f>ROUND(F34*F35/10000,1)</f>
        <v>0.8</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f>'数据-基础表'!A3</f>
        <v>5500.6480000000001</v>
      </c>
      <c r="G35" s="1943"/>
      <c r="H35" s="1946"/>
      <c r="I35" s="824" t="s">
        <v>1802</v>
      </c>
      <c r="J35" s="825">
        <f ca="1">ROUND(C13*J36,0)</f>
        <v>0</v>
      </c>
      <c r="K35" s="1959"/>
      <c r="L35" s="1958"/>
      <c r="M35" s="1958"/>
    </row>
    <row r="36" spans="1:18" ht="18" customHeight="1">
      <c r="A36" s="1576" t="s">
        <v>1877</v>
      </c>
      <c r="B36" s="772" t="s">
        <v>1790</v>
      </c>
      <c r="C36" s="52">
        <f ca="1">ROUND(C29*F36,1)</f>
        <v>218</v>
      </c>
      <c r="D36" s="1889" t="s">
        <v>1791</v>
      </c>
      <c r="E36" s="772" t="s">
        <v>1784</v>
      </c>
      <c r="F36" s="804">
        <f ca="1">INDIRECT("'数据-取费表'!Ak"&amp;$G$1)</f>
        <v>0.02</v>
      </c>
      <c r="G36" s="1943"/>
      <c r="H36" s="1958"/>
      <c r="I36" s="826" t="s">
        <v>1803</v>
      </c>
      <c r="J36" s="827">
        <f ca="1">INDIRECT("'数据-取费表'!j"&amp;$G$1)</f>
        <v>0</v>
      </c>
      <c r="K36" s="1962"/>
      <c r="L36" s="1958"/>
      <c r="M36" s="1958"/>
    </row>
    <row r="37" spans="1:18" ht="18" customHeight="1">
      <c r="A37" s="1576" t="s">
        <v>1878</v>
      </c>
      <c r="B37" s="772" t="s">
        <v>671</v>
      </c>
      <c r="C37" s="52">
        <f ca="1">ROUND(C13*F37,1)</f>
        <v>21.8</v>
      </c>
      <c r="D37" s="1889" t="s">
        <v>1792</v>
      </c>
      <c r="E37" s="772" t="s">
        <v>1784</v>
      </c>
      <c r="F37" s="805">
        <f ca="1">INDIRECT("'数据-取费表'!Al"&amp;$G$1)</f>
        <v>2E-3</v>
      </c>
      <c r="G37" s="1943"/>
      <c r="H37" s="1958"/>
      <c r="I37" s="828" t="s">
        <v>1804</v>
      </c>
      <c r="J37" s="829"/>
      <c r="K37" s="1962"/>
      <c r="L37" s="1958"/>
      <c r="M37" s="1958"/>
    </row>
    <row r="38" spans="1:18" ht="18" customHeight="1" thickBot="1">
      <c r="A38" s="2402" t="s">
        <v>1879</v>
      </c>
      <c r="B38" s="2397" t="s">
        <v>658</v>
      </c>
      <c r="C38" s="2395">
        <f ca="1">ROUND(C5*F38,1)</f>
        <v>57.8</v>
      </c>
      <c r="D38" s="2396" t="s">
        <v>1793</v>
      </c>
      <c r="E38" s="2397" t="s">
        <v>1784</v>
      </c>
      <c r="F38" s="2393">
        <f ca="1">INDIRECT("'数据-取费表'!Am"&amp;$G$1)</f>
        <v>0.02</v>
      </c>
      <c r="G38" s="1943"/>
      <c r="H38" s="1958"/>
      <c r="I38" s="830" t="s">
        <v>1805</v>
      </c>
      <c r="J38" s="831"/>
      <c r="K38" s="1963"/>
      <c r="L38" s="1958"/>
      <c r="M38" s="1958"/>
    </row>
    <row r="39" spans="1:18" ht="24.6" customHeight="1" thickTop="1">
      <c r="A39" s="1742" t="s">
        <v>1882</v>
      </c>
      <c r="B39" s="2721" t="s">
        <v>2799</v>
      </c>
      <c r="C39" s="780">
        <f ca="1">C5-C30</f>
        <v>2346</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45083</v>
      </c>
      <c r="D40" s="801" t="s">
        <v>1795</v>
      </c>
      <c r="E40" s="772" t="s">
        <v>2401</v>
      </c>
      <c r="F40" s="782">
        <f ca="1">INDIRECT("'数据-取费表'!I"&amp;$G$1)</f>
        <v>4.2000000000000003E-2</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0.24199999999999999</v>
      </c>
      <c r="K42" s="1962"/>
      <c r="L42" s="1898"/>
      <c r="M42" s="1898"/>
    </row>
    <row r="43" spans="1:18" ht="18" customHeight="1" thickBot="1">
      <c r="A43" s="810" t="s">
        <v>1775</v>
      </c>
      <c r="B43" s="811" t="s">
        <v>1798</v>
      </c>
      <c r="C43" s="812">
        <f ca="1">ROUND(C40*10000/F43,0)</f>
        <v>29271</v>
      </c>
      <c r="D43" s="813" t="s">
        <v>1799</v>
      </c>
      <c r="E43" s="814" t="s">
        <v>1800</v>
      </c>
      <c r="F43" s="815">
        <f ca="1">INDIRECT("'数据-取费表'!k"&amp;$G$1)</f>
        <v>15401.814</v>
      </c>
      <c r="G43" s="1943"/>
      <c r="H43" s="1898"/>
      <c r="I43" s="834" t="s">
        <v>1810</v>
      </c>
      <c r="J43" s="835">
        <f ca="1">1-J42</f>
        <v>0.75800000000000001</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-51463</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9"/>
      <c r="O48" s="2251" t="s">
        <v>2361</v>
      </c>
      <c r="P48" s="2252" t="s">
        <v>2387</v>
      </c>
      <c r="Q48" s="2253">
        <f ca="1">C40+J29</f>
        <v>45083</v>
      </c>
      <c r="R48" s="2252" t="s">
        <v>2362</v>
      </c>
    </row>
    <row r="49" spans="1:18" s="1940" customFormat="1" ht="18" customHeight="1" thickBot="1">
      <c r="A49" s="774"/>
      <c r="B49" s="775"/>
      <c r="C49" s="776"/>
      <c r="D49" s="777"/>
      <c r="E49" s="772" t="s">
        <v>1727</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10902</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140760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3706" t="s">
        <v>2926</v>
      </c>
      <c r="L53" s="3707"/>
      <c r="M53" s="3259"/>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45083</v>
      </c>
      <c r="R54" s="2256" t="s">
        <v>2374</v>
      </c>
    </row>
    <row r="55" spans="1:18" s="1940" customFormat="1" ht="18" customHeight="1" thickTop="1" thickBot="1">
      <c r="A55" s="785">
        <v>2</v>
      </c>
      <c r="B55" s="786" t="s">
        <v>636</v>
      </c>
      <c r="C55" s="787">
        <f ca="1">C13</f>
        <v>10902</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2287</v>
      </c>
      <c r="C56" s="52">
        <f ca="1">C29</f>
        <v>10902</v>
      </c>
      <c r="D56" s="2479"/>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332</v>
      </c>
      <c r="D57" s="25" t="s">
        <v>1738</v>
      </c>
      <c r="E57" s="2480"/>
      <c r="F57" s="55"/>
      <c r="I57" s="2817" t="s">
        <v>2340</v>
      </c>
      <c r="J57" s="2818" t="str">
        <f ca="1">IF(OR(M47="住宅",J51&lt;L48,J56="是"),"——",J51-L48)</f>
        <v>——</v>
      </c>
      <c r="K57" s="2797" t="s">
        <v>2345</v>
      </c>
      <c r="L57" s="1820" t="str">
        <f ca="1">IF(L48&lt;J51,"——",IF(L55="比较法",L49,IF(L55="基准地价",L50,L51)))</f>
        <v>——</v>
      </c>
      <c r="M57" s="3259"/>
      <c r="O57" s="2251" t="s">
        <v>2361</v>
      </c>
      <c r="P57" s="2252" t="s">
        <v>2391</v>
      </c>
      <c r="Q57" s="2253">
        <f ca="1">C40+J29</f>
        <v>45083</v>
      </c>
      <c r="R57" s="2252" t="s">
        <v>2362</v>
      </c>
    </row>
    <row r="58" spans="1:18" s="1940" customFormat="1" ht="28.5" customHeight="1" thickBot="1">
      <c r="A58" s="1576" t="s">
        <v>1812</v>
      </c>
      <c r="B58" s="772" t="s">
        <v>648</v>
      </c>
      <c r="C58" s="3017">
        <f ca="1">ROUND(IF(AND(项目基本情况!B11="自然人",项目基本情况!B10="北京市"),C48*F58/(1+'数据-取费表'!C42),C59+C60+C61),0)</f>
        <v>92</v>
      </c>
      <c r="D58" s="2478" t="s">
        <v>649</v>
      </c>
      <c r="E58" s="2479"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91.6</v>
      </c>
      <c r="D60" s="2479" t="str">
        <f>D33</f>
        <v>按房产原值计税</v>
      </c>
      <c r="E60" s="772" t="s">
        <v>1735</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218</v>
      </c>
      <c r="D63" s="2479" t="s">
        <v>1791</v>
      </c>
      <c r="E63" s="772" t="s">
        <v>1735</v>
      </c>
      <c r="F63" s="804">
        <f t="shared" ca="1" si="0"/>
        <v>0.02</v>
      </c>
      <c r="I63" s="2822" t="s">
        <v>2352</v>
      </c>
      <c r="J63" s="2823">
        <v>70</v>
      </c>
      <c r="K63" s="2823">
        <v>50</v>
      </c>
      <c r="L63" s="2823">
        <v>80</v>
      </c>
      <c r="M63" s="2825">
        <v>0.02</v>
      </c>
      <c r="O63" s="2251" t="s">
        <v>2373</v>
      </c>
      <c r="P63" s="2252" t="s">
        <v>2390</v>
      </c>
      <c r="Q63" s="2253">
        <f ca="1">Q57+Q58</f>
        <v>45083</v>
      </c>
      <c r="R63" s="2256" t="s">
        <v>2374</v>
      </c>
    </row>
    <row r="64" spans="1:18" s="1940" customFormat="1" ht="16.5" thickBot="1">
      <c r="A64" s="1576" t="s">
        <v>1878</v>
      </c>
      <c r="B64" s="772" t="s">
        <v>671</v>
      </c>
      <c r="C64" s="52">
        <f ca="1">ROUND(C55*F64,1)</f>
        <v>21.8</v>
      </c>
      <c r="D64" s="2479" t="s">
        <v>672</v>
      </c>
      <c r="E64" s="772" t="s">
        <v>1735</v>
      </c>
      <c r="F64" s="805">
        <f t="shared" ca="1" si="0"/>
        <v>2E-3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0.02</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-332</v>
      </c>
      <c r="D66" s="2478" t="s">
        <v>692</v>
      </c>
      <c r="E66" s="2477"/>
      <c r="F66" s="807"/>
      <c r="K66" s="1966"/>
      <c r="O66" s="2251" t="s">
        <v>2361</v>
      </c>
      <c r="P66" s="2252" t="s">
        <v>2391</v>
      </c>
      <c r="Q66" s="2253">
        <f ca="1">C40+J29</f>
        <v>45083</v>
      </c>
      <c r="R66" s="2252" t="s">
        <v>2362</v>
      </c>
    </row>
    <row r="67" spans="1:18" s="1940" customFormat="1" ht="20.25" thickBot="1">
      <c r="A67" s="769" t="s">
        <v>1768</v>
      </c>
      <c r="B67" s="2110" t="s">
        <v>2286</v>
      </c>
      <c r="C67" s="771">
        <f ca="1">ROUND(C66*(1-((1+F69)/(1+F67))^F68)/(F67-F69),0)</f>
        <v>-6380</v>
      </c>
      <c r="D67" s="801" t="s">
        <v>696</v>
      </c>
      <c r="E67" s="772" t="s">
        <v>697</v>
      </c>
      <c r="F67" s="782">
        <f ca="1">F40</f>
        <v>4.2000000000000003E-2</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140760</v>
      </c>
      <c r="R68" s="2259" t="s">
        <v>2398</v>
      </c>
    </row>
    <row r="69" spans="1:18" ht="20.25" thickBot="1">
      <c r="A69" s="778"/>
      <c r="B69" s="779"/>
      <c r="C69" s="780"/>
      <c r="D69" s="803"/>
      <c r="E69" s="772" t="s">
        <v>702</v>
      </c>
      <c r="F69" s="2224"/>
      <c r="O69" s="2254" t="s">
        <v>2366</v>
      </c>
      <c r="P69" s="2260" t="s">
        <v>2380</v>
      </c>
      <c r="Q69" s="2253">
        <f ca="1">ROUND(Q70-Q71*Q72,0)</f>
        <v>2346</v>
      </c>
      <c r="R69" s="2256"/>
    </row>
    <row r="70" spans="1:18" ht="15.75" thickBot="1">
      <c r="A70" s="810" t="s">
        <v>1775</v>
      </c>
      <c r="B70" s="811" t="s">
        <v>1798</v>
      </c>
      <c r="C70" s="812">
        <f ca="1">ROUND(C67*10000/F70,0)</f>
        <v>-4142</v>
      </c>
      <c r="D70" s="813" t="s">
        <v>1799</v>
      </c>
      <c r="E70" s="814" t="s">
        <v>1800</v>
      </c>
      <c r="F70" s="815">
        <f ca="1">F43</f>
        <v>15401.814</v>
      </c>
      <c r="O70" s="2254" t="s">
        <v>2381</v>
      </c>
      <c r="P70" s="2260" t="s">
        <v>2382</v>
      </c>
      <c r="Q70" s="2253">
        <f ca="1">C39</f>
        <v>2346</v>
      </c>
      <c r="R70" s="2252" t="s">
        <v>2362</v>
      </c>
    </row>
    <row r="71" spans="1:18" ht="15.75" thickBot="1">
      <c r="O71" s="2254" t="s">
        <v>2383</v>
      </c>
      <c r="P71" s="2260" t="s">
        <v>2384</v>
      </c>
      <c r="Q71" s="2253">
        <f ca="1">C13</f>
        <v>10902</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45083</v>
      </c>
      <c r="R76" s="2256" t="s">
        <v>2374</v>
      </c>
    </row>
  </sheetData>
  <sheetProtection formatCells="0" formatColumns="0" formatRows="0"/>
  <mergeCells count="3">
    <mergeCell ref="K53:L53"/>
    <mergeCell ref="B6:B9"/>
    <mergeCell ref="I6:I9"/>
  </mergeCells>
  <phoneticPr fontId="3" type="noConversion"/>
  <conditionalFormatting sqref="K55">
    <cfRule type="expression" dxfId="69" priority="7">
      <formula>$L$48&gt;$J$51</formula>
    </cfRule>
  </conditionalFormatting>
  <conditionalFormatting sqref="I55">
    <cfRule type="expression" dxfId="68" priority="8">
      <formula>$J$51&gt;$L$48</formula>
    </cfRule>
  </conditionalFormatting>
  <conditionalFormatting sqref="I60">
    <cfRule type="expression" dxfId="67" priority="6">
      <formula>$J$51&gt;$L$48</formula>
    </cfRule>
  </conditionalFormatting>
  <conditionalFormatting sqref="K60">
    <cfRule type="expression" dxfId="66" priority="5">
      <formula>$L$48&gt;$J$51</formula>
    </cfRule>
  </conditionalFormatting>
  <conditionalFormatting sqref="C11">
    <cfRule type="expression" dxfId="65" priority="4">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5"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40555</v>
      </c>
      <c r="C2" s="3260"/>
      <c r="D2" s="3261"/>
      <c r="E2" s="3262"/>
      <c r="F2" s="3262"/>
      <c r="G2" s="3256"/>
      <c r="H2" s="1938"/>
      <c r="I2" s="1938"/>
      <c r="J2" s="1938"/>
      <c r="K2" s="1939"/>
      <c r="L2" s="1938"/>
      <c r="M2" s="1938"/>
    </row>
    <row r="3" spans="1:33" ht="18" customHeight="1" thickBot="1">
      <c r="A3" s="820" t="s">
        <v>1715</v>
      </c>
      <c r="B3" s="821">
        <f ca="1">IF(ISERROR(B2*10000/F43),0,ROUND(B2*10000/F43,0))</f>
        <v>26331</v>
      </c>
      <c r="C3" s="3260"/>
      <c r="D3" s="3261"/>
      <c r="E3" s="3262"/>
      <c r="F3" s="3262"/>
      <c r="G3" s="3256"/>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1978</v>
      </c>
      <c r="D5" s="2347" t="s">
        <v>2440</v>
      </c>
      <c r="E5" s="2341"/>
      <c r="F5" s="2342"/>
      <c r="G5" s="1943"/>
      <c r="H5" s="769">
        <v>1</v>
      </c>
      <c r="I5" s="770" t="s">
        <v>2437</v>
      </c>
      <c r="J5" s="54">
        <f ca="1">J6+J10+J12</f>
        <v>0</v>
      </c>
      <c r="K5" s="2347" t="s">
        <v>2440</v>
      </c>
      <c r="L5" s="2341"/>
      <c r="M5" s="2342"/>
    </row>
    <row r="6" spans="1:33" ht="18" customHeight="1">
      <c r="A6" s="1743" t="s">
        <v>1812</v>
      </c>
      <c r="B6" s="3669" t="s">
        <v>2442</v>
      </c>
      <c r="C6" s="771">
        <f ca="1">ROUND(F6*F8*F7*(1-F9)/10000,0)</f>
        <v>1976</v>
      </c>
      <c r="D6" s="2348" t="s">
        <v>2441</v>
      </c>
      <c r="E6" s="772" t="s">
        <v>629</v>
      </c>
      <c r="F6" s="773">
        <f ca="1">INDIRECT("'数据-取费表'!u"&amp;$G$1)</f>
        <v>3.7</v>
      </c>
      <c r="G6" s="1943"/>
      <c r="H6" s="2355" t="s">
        <v>1812</v>
      </c>
      <c r="I6" s="3669" t="s">
        <v>2442</v>
      </c>
      <c r="J6" s="771">
        <f ca="1">ROUND(M6*M8*M7*(1-M9)/10000,0)</f>
        <v>0</v>
      </c>
      <c r="K6" s="337" t="s">
        <v>1725</v>
      </c>
      <c r="L6" s="772" t="s">
        <v>629</v>
      </c>
      <c r="M6" s="773">
        <f ca="1">INDIRECT("'数据-取费表'!z"&amp;$G$1)</f>
        <v>0</v>
      </c>
    </row>
    <row r="7" spans="1:33" ht="18" customHeight="1">
      <c r="A7" s="2351"/>
      <c r="B7" s="3670"/>
      <c r="C7" s="776"/>
      <c r="D7" s="777"/>
      <c r="E7" s="772" t="s">
        <v>630</v>
      </c>
      <c r="F7" s="3369">
        <f ca="1">IF(INDIRECT("'数据-取费表'!ah"&amp;$G$1)="",INDIRECT("'数据-取费表'!k"&amp;$G$1),INDIRECT("'数据-取费表'!ah"&amp;$G$1))</f>
        <v>15401.814</v>
      </c>
      <c r="G7" s="1943"/>
      <c r="H7" s="2340"/>
      <c r="I7" s="3670"/>
      <c r="J7" s="776"/>
      <c r="K7" s="777"/>
      <c r="L7" s="772" t="s">
        <v>630</v>
      </c>
      <c r="M7" s="773">
        <f ca="1">F7</f>
        <v>15401.814</v>
      </c>
    </row>
    <row r="8" spans="1:33" ht="18" customHeight="1">
      <c r="A8" s="2344"/>
      <c r="B8" s="3671"/>
      <c r="C8" s="776"/>
      <c r="D8" s="777"/>
      <c r="E8" s="772" t="s">
        <v>1728</v>
      </c>
      <c r="F8" s="773">
        <f ca="1">INDIRECT("'数据-取费表'!ai"&amp;$G$1)</f>
        <v>365</v>
      </c>
      <c r="G8" s="1943"/>
      <c r="H8" s="2340"/>
      <c r="I8" s="3671"/>
      <c r="J8" s="776"/>
      <c r="K8" s="777"/>
      <c r="L8" s="772" t="s">
        <v>1728</v>
      </c>
      <c r="M8" s="773">
        <f ca="1">INDIRECT("'数据-取费表'!ai"&amp;$G$1)</f>
        <v>365</v>
      </c>
    </row>
    <row r="9" spans="1:33" ht="18" customHeight="1">
      <c r="A9" s="774"/>
      <c r="B9" s="3672"/>
      <c r="C9" s="776"/>
      <c r="D9" s="777"/>
      <c r="E9" s="772" t="s">
        <v>632</v>
      </c>
      <c r="F9" s="782">
        <f ca="1">INDIRECT("'数据-取费表'!w"&amp;$G$1)</f>
        <v>0.05</v>
      </c>
      <c r="G9" s="1943"/>
      <c r="H9" s="2356"/>
      <c r="I9" s="3671"/>
      <c r="J9" s="776"/>
      <c r="K9" s="777"/>
      <c r="L9" s="783" t="s">
        <v>632</v>
      </c>
      <c r="M9" s="784">
        <f ca="1">INDIRECT("'数据-取费表'!ab"&amp;$G$1)</f>
        <v>0</v>
      </c>
    </row>
    <row r="10" spans="1:33" ht="18" customHeight="1">
      <c r="A10" s="1743" t="s">
        <v>1813</v>
      </c>
      <c r="B10" s="2345" t="s">
        <v>2438</v>
      </c>
      <c r="C10" s="787">
        <f ca="1">ROUND(IF(F10="押一",C6/12*F11,IF(F10="押二",C6/12*2*F11,IF(F10="押三",C6/12*3*F11,C11*F11))),0)</f>
        <v>2</v>
      </c>
      <c r="D10" s="2352" t="s">
        <v>2933</v>
      </c>
      <c r="E10" s="2349" t="s">
        <v>2443</v>
      </c>
      <c r="F10" s="2463" t="s">
        <v>3168</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10438</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6931</v>
      </c>
      <c r="D14" s="3336" t="s">
        <v>1733</v>
      </c>
      <c r="E14" s="3337"/>
      <c r="F14" s="793"/>
      <c r="G14" s="1943"/>
      <c r="H14" s="1576" t="s">
        <v>1812</v>
      </c>
      <c r="I14" s="2109" t="s">
        <v>2802</v>
      </c>
      <c r="J14" s="52">
        <f ca="1">C29</f>
        <v>10438</v>
      </c>
      <c r="K14" s="25"/>
      <c r="L14" s="789"/>
      <c r="M14" s="790"/>
    </row>
    <row r="15" spans="1:33" s="1945" customFormat="1" ht="18" customHeight="1" thickBot="1">
      <c r="A15" s="1575" t="s">
        <v>1820</v>
      </c>
      <c r="B15" s="772" t="s">
        <v>639</v>
      </c>
      <c r="C15" s="52">
        <f ca="1">ROUND(C14*F15,0)</f>
        <v>208</v>
      </c>
      <c r="D15" s="794" t="s">
        <v>640</v>
      </c>
      <c r="E15" s="794" t="s">
        <v>641</v>
      </c>
      <c r="F15" s="795">
        <f>'数据-取费表'!B33</f>
        <v>0.03</v>
      </c>
      <c r="G15" s="3257"/>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130</v>
      </c>
      <c r="K16" s="1734" t="s">
        <v>644</v>
      </c>
      <c r="L16" s="3338"/>
      <c r="M16" s="2342"/>
    </row>
    <row r="17" spans="1:33" s="1945" customFormat="1" ht="18" customHeight="1">
      <c r="A17" s="1575" t="s">
        <v>1875</v>
      </c>
      <c r="B17" s="772" t="s">
        <v>645</v>
      </c>
      <c r="C17" s="52">
        <f ca="1">ROUND(F17*(F43+INDIRECT("'数据-取费表'!S"&amp;$G$1))/10000,0)</f>
        <v>308</v>
      </c>
      <c r="D17" s="772" t="s">
        <v>646</v>
      </c>
      <c r="E17" s="772" t="s">
        <v>647</v>
      </c>
      <c r="F17" s="55">
        <f>'数据-取费表'!B35</f>
        <v>200</v>
      </c>
      <c r="G17" s="3257"/>
      <c r="H17" s="1576" t="s">
        <v>1812</v>
      </c>
      <c r="I17" s="772" t="s">
        <v>648</v>
      </c>
      <c r="J17" s="3017">
        <f ca="1">ROUND(IF(AND(项目基本情况!B11="自然人",项目基本情况!B10="北京市"),J6*M17/(1+'数据-取费表'!C42),J18+J19+J20),0)</f>
        <v>88</v>
      </c>
      <c r="K17" s="3336" t="s">
        <v>649</v>
      </c>
      <c r="L17" s="3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640</v>
      </c>
      <c r="E18" s="772" t="s">
        <v>641</v>
      </c>
      <c r="F18" s="797">
        <f>'数据-取费表'!B36</f>
        <v>1.4999999999999999E-2</v>
      </c>
      <c r="G18" s="3257"/>
      <c r="H18" s="1575" t="s">
        <v>1819</v>
      </c>
      <c r="I18" s="772" t="s">
        <v>1743</v>
      </c>
      <c r="J18" s="52">
        <f ca="1">ROUND(J6*M18/(1+'数据-取费表'!C42),1)</f>
        <v>0</v>
      </c>
      <c r="K18" s="3335"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7551</v>
      </c>
      <c r="D19" s="257" t="s">
        <v>655</v>
      </c>
      <c r="E19" s="3340"/>
      <c r="F19" s="55"/>
      <c r="G19" s="1943"/>
      <c r="H19" s="1575" t="s">
        <v>1820</v>
      </c>
      <c r="I19" s="772" t="s">
        <v>1746</v>
      </c>
      <c r="J19" s="52">
        <f ca="1">IF(K19="按租金收入计税",ROUND(J6*M19/(1+'数据-取费表'!C42),1),ROUND(C29*F33*0.7,1))</f>
        <v>87.7</v>
      </c>
      <c r="K19" s="798" t="s">
        <v>657</v>
      </c>
      <c r="L19" s="772" t="s">
        <v>641</v>
      </c>
      <c r="M19" s="797">
        <f>IF(K19="按租金收入计税",'数据-取费表'!B51,'数据-取费表'!B50)</f>
        <v>1.2E-2</v>
      </c>
    </row>
    <row r="20" spans="1:33" s="1945" customFormat="1" ht="18" customHeight="1">
      <c r="A20" s="1576" t="s">
        <v>1877</v>
      </c>
      <c r="B20" s="772" t="s">
        <v>658</v>
      </c>
      <c r="C20" s="52">
        <f ca="1">ROUND(C19*F20,0)</f>
        <v>60</v>
      </c>
      <c r="D20" s="799" t="s">
        <v>659</v>
      </c>
      <c r="E20" s="772" t="s">
        <v>641</v>
      </c>
      <c r="F20" s="3395">
        <f>剩余法办公!F23</f>
        <v>8.0000000000000002E-3</v>
      </c>
      <c r="G20" s="3257"/>
      <c r="H20" s="1578" t="s">
        <v>1821</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95">
        <f>剩余法办公!F24</f>
        <v>8.0000000000000002E-3</v>
      </c>
      <c r="G21" s="3257"/>
      <c r="H21" s="2357"/>
      <c r="I21" s="781"/>
      <c r="J21" s="68"/>
      <c r="K21" s="803"/>
      <c r="L21" s="772" t="s">
        <v>666</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40"/>
      <c r="F22" s="55"/>
      <c r="G22" s="1943"/>
      <c r="H22" s="1576" t="s">
        <v>1877</v>
      </c>
      <c r="I22" s="772" t="s">
        <v>668</v>
      </c>
      <c r="J22" s="52">
        <f ca="1">ROUND(J14*M22,0)</f>
        <v>42</v>
      </c>
      <c r="K22" s="3335" t="s">
        <v>1757</v>
      </c>
      <c r="L22" s="772" t="s">
        <v>641</v>
      </c>
      <c r="M22" s="804">
        <f ca="1">INDIRECT("'数据-取费表'!Ak"&amp;$G$1)</f>
        <v>4.0000000000000001E-3</v>
      </c>
    </row>
    <row r="23" spans="1:33" s="1945" customFormat="1" ht="18" customHeight="1">
      <c r="A23" s="1575" t="s">
        <v>1819</v>
      </c>
      <c r="B23" s="772" t="s">
        <v>2418</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3335" t="s">
        <v>1759</v>
      </c>
      <c r="L23" s="772" t="s">
        <v>641</v>
      </c>
      <c r="M23" s="805">
        <f ca="1">INDIRECT("'数据-取费表'!Al"&amp;$G$1)</f>
        <v>5.0000000000000001E-4</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2.9999999999999997E-4</v>
      </c>
      <c r="D24" s="2421" t="str">
        <f>IF(F23&lt;=1,"销售费用×利率×(建设周期÷2)","销售费用×((1+利率)^(建设周期÷2)-1)")</f>
        <v>销售费用×((1+利率)^(建设周期÷2)-1)</v>
      </c>
      <c r="E24" s="772" t="s">
        <v>674</v>
      </c>
      <c r="F24" s="806">
        <f ca="1">'数据-取费表'!B40</f>
        <v>4.7500000000000001E-2</v>
      </c>
      <c r="G24" s="3257"/>
      <c r="H24" s="2402" t="s">
        <v>1879</v>
      </c>
      <c r="I24" s="2397" t="s">
        <v>658</v>
      </c>
      <c r="J24" s="2395">
        <f ca="1">ROUND(J5*M24,0)</f>
        <v>0</v>
      </c>
      <c r="K24" s="2396" t="s">
        <v>1762</v>
      </c>
      <c r="L24" s="2397" t="s">
        <v>641</v>
      </c>
      <c r="M24" s="2393">
        <f ca="1">INDIRECT("'数据-取费表'!Am"&amp;$G$1)</f>
        <v>5.0000000000000001E-3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40"/>
      <c r="F25" s="55"/>
      <c r="G25" s="1943"/>
      <c r="H25" s="1742" t="s">
        <v>1764</v>
      </c>
      <c r="I25" s="2721" t="s">
        <v>2799</v>
      </c>
      <c r="J25" s="780">
        <f ca="1">J5-J16</f>
        <v>-130</v>
      </c>
      <c r="K25" s="2399" t="s">
        <v>1765</v>
      </c>
      <c r="L25" s="2400"/>
      <c r="M25" s="2401"/>
    </row>
    <row r="26" spans="1:33" ht="18" customHeight="1">
      <c r="A26" s="1575" t="s">
        <v>1819</v>
      </c>
      <c r="B26" s="772" t="s">
        <v>2419</v>
      </c>
      <c r="C26" s="52">
        <f ca="1">ROUND((C19+C20)*F26,0)</f>
        <v>1903</v>
      </c>
      <c r="D26" s="799" t="s">
        <v>693</v>
      </c>
      <c r="E26" s="783" t="s">
        <v>694</v>
      </c>
      <c r="F26" s="782">
        <f ca="1">INDIRECT("'数据-取费表'!q"&amp;$G$1)</f>
        <v>0.25</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2E-3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57"/>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10438</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249</v>
      </c>
      <c r="D30" s="1734" t="s">
        <v>644</v>
      </c>
      <c r="E30" s="3338"/>
      <c r="F30" s="2342"/>
      <c r="G30" s="1943"/>
      <c r="H30" s="1946"/>
      <c r="I30" s="1947"/>
      <c r="J30" s="1948"/>
      <c r="K30" s="1949"/>
      <c r="L30" s="1950"/>
      <c r="M30" s="1951"/>
    </row>
    <row r="31" spans="1:33" ht="18" customHeight="1">
      <c r="A31" s="1576" t="s">
        <v>1812</v>
      </c>
      <c r="B31" s="772" t="s">
        <v>648</v>
      </c>
      <c r="C31" s="3017">
        <f ca="1">ROUND(IF(AND(项目基本情况!B11="自然人",项目基本情况!B10="北京市"),C6*F31/(1+'数据-取费表'!C42),C32+C33+C34),0)</f>
        <v>192</v>
      </c>
      <c r="D31" s="3336" t="s">
        <v>649</v>
      </c>
      <c r="E31" s="3335" t="s">
        <v>1781</v>
      </c>
      <c r="F31" s="3016">
        <f ca="1">IF(项目基本情况!B11="企业","——",IF('数据-取费表'!B10="住宅",IF(F6*F7*F8/12/(1+'数据-取费表'!F30)&gt;100000,4%,2.5%),IF(F6*F7*F8/12/(1+'数据-取费表'!F30)&gt;100000,12%,7%)))</f>
        <v>0.12</v>
      </c>
      <c r="G31" s="1943"/>
      <c r="H31" s="3254" t="s">
        <v>2987</v>
      </c>
      <c r="I31" s="1947"/>
      <c r="J31" s="1948"/>
      <c r="K31" s="1949"/>
      <c r="L31" s="1950"/>
      <c r="M31" s="1951"/>
    </row>
    <row r="32" spans="1:33" ht="18" customHeight="1">
      <c r="A32" s="1575" t="s">
        <v>1819</v>
      </c>
      <c r="B32" s="772" t="s">
        <v>1743</v>
      </c>
      <c r="C32" s="52">
        <f ca="1">ROUND(C6*F32/(1+'数据-取费表'!C42),1)</f>
        <v>103.5</v>
      </c>
      <c r="D32" s="3335"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87.7</v>
      </c>
      <c r="D33" s="798" t="s">
        <v>1668</v>
      </c>
      <c r="E33" s="772" t="s">
        <v>641</v>
      </c>
      <c r="F33" s="797">
        <f>IF(D33="按租金收入计税",'数据-取费表'!B51,'数据-取费表'!B50)</f>
        <v>1.2E-2</v>
      </c>
      <c r="G33" s="1943"/>
      <c r="H33" s="1958"/>
      <c r="I33" s="1958"/>
      <c r="J33" s="1958"/>
      <c r="K33" s="1959"/>
      <c r="L33" s="1958"/>
      <c r="M33" s="1958"/>
    </row>
    <row r="34" spans="1:18" ht="18" customHeight="1">
      <c r="A34" s="1578" t="s">
        <v>1821</v>
      </c>
      <c r="B34" s="337" t="s">
        <v>1748</v>
      </c>
      <c r="C34" s="53">
        <f>ROUND(F34*F35/10000,1)</f>
        <v>0.8</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5500.6480000000001</v>
      </c>
      <c r="G35" s="1943"/>
      <c r="H35" s="1946"/>
      <c r="I35" s="824" t="s">
        <v>1802</v>
      </c>
      <c r="J35" s="825">
        <f ca="1">ROUND(C13*J36,0)</f>
        <v>0</v>
      </c>
      <c r="K35" s="1959"/>
      <c r="L35" s="1958"/>
      <c r="M35" s="1958"/>
    </row>
    <row r="36" spans="1:18" ht="18" customHeight="1">
      <c r="A36" s="1576" t="s">
        <v>1877</v>
      </c>
      <c r="B36" s="772" t="s">
        <v>668</v>
      </c>
      <c r="C36" s="52">
        <f ca="1">ROUND(C29*F36,1)</f>
        <v>41.8</v>
      </c>
      <c r="D36" s="3335" t="s">
        <v>1791</v>
      </c>
      <c r="E36" s="772" t="s">
        <v>641</v>
      </c>
      <c r="F36" s="804">
        <f ca="1">INDIRECT("'数据-取费表'!Ak"&amp;$G$1)</f>
        <v>4.0000000000000001E-3</v>
      </c>
      <c r="G36" s="1943"/>
      <c r="H36" s="1958"/>
      <c r="I36" s="826" t="s">
        <v>1803</v>
      </c>
      <c r="J36" s="827">
        <f ca="1">INDIRECT("'数据-取费表'!j"&amp;$G$1)</f>
        <v>0</v>
      </c>
      <c r="K36" s="1962"/>
      <c r="L36" s="1958"/>
      <c r="M36" s="1958"/>
    </row>
    <row r="37" spans="1:18" ht="18" customHeight="1">
      <c r="A37" s="1576" t="s">
        <v>1878</v>
      </c>
      <c r="B37" s="772" t="s">
        <v>671</v>
      </c>
      <c r="C37" s="52">
        <f ca="1">ROUND(C13*F37,1)</f>
        <v>5.2</v>
      </c>
      <c r="D37" s="3335" t="s">
        <v>1759</v>
      </c>
      <c r="E37" s="772" t="s">
        <v>641</v>
      </c>
      <c r="F37" s="805">
        <f ca="1">INDIRECT("'数据-取费表'!Al"&amp;$G$1)</f>
        <v>5.0000000000000001E-4</v>
      </c>
      <c r="G37" s="1943"/>
      <c r="H37" s="1958"/>
      <c r="I37" s="828" t="s">
        <v>1804</v>
      </c>
      <c r="J37" s="829"/>
      <c r="K37" s="1962"/>
      <c r="L37" s="1958"/>
      <c r="M37" s="1958"/>
    </row>
    <row r="38" spans="1:18" ht="18" customHeight="1" thickBot="1">
      <c r="A38" s="2402" t="s">
        <v>1879</v>
      </c>
      <c r="B38" s="2397" t="s">
        <v>658</v>
      </c>
      <c r="C38" s="2395">
        <f ca="1">ROUND(C5*F38,1)</f>
        <v>9.9</v>
      </c>
      <c r="D38" s="2396" t="s">
        <v>1762</v>
      </c>
      <c r="E38" s="2397" t="s">
        <v>641</v>
      </c>
      <c r="F38" s="2393">
        <f ca="1">INDIRECT("'数据-取费表'!Am"&amp;$G$1)</f>
        <v>5.0000000000000001E-3</v>
      </c>
      <c r="G38" s="1943"/>
      <c r="H38" s="1958"/>
      <c r="I38" s="830" t="s">
        <v>1805</v>
      </c>
      <c r="J38" s="831"/>
      <c r="K38" s="1963"/>
      <c r="L38" s="1958"/>
      <c r="M38" s="1958"/>
    </row>
    <row r="39" spans="1:18" ht="24.6" customHeight="1" thickTop="1">
      <c r="A39" s="1742" t="s">
        <v>1764</v>
      </c>
      <c r="B39" s="2721" t="s">
        <v>2799</v>
      </c>
      <c r="C39" s="780">
        <f ca="1">C5-C30</f>
        <v>1729</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40555</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0.25700000000000001</v>
      </c>
      <c r="K42" s="1962"/>
      <c r="L42" s="1898"/>
      <c r="M42" s="1898"/>
    </row>
    <row r="43" spans="1:18" ht="18" customHeight="1" thickBot="1">
      <c r="A43" s="810" t="s">
        <v>1775</v>
      </c>
      <c r="B43" s="811" t="s">
        <v>1798</v>
      </c>
      <c r="C43" s="812">
        <f ca="1">ROUND(C40*10000/F43,0)</f>
        <v>26331</v>
      </c>
      <c r="D43" s="813" t="s">
        <v>1799</v>
      </c>
      <c r="E43" s="814" t="s">
        <v>1800</v>
      </c>
      <c r="F43" s="815">
        <f ca="1">INDIRECT("'数据-取费表'!k"&amp;$G$1)</f>
        <v>15401.814</v>
      </c>
      <c r="G43" s="1943"/>
      <c r="H43" s="1898"/>
      <c r="I43" s="834" t="s">
        <v>1810</v>
      </c>
      <c r="J43" s="835">
        <f ca="1">1-J42</f>
        <v>0.74299999999999999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-43745</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9"/>
      <c r="O48" s="2251" t="s">
        <v>2361</v>
      </c>
      <c r="P48" s="2252" t="s">
        <v>2387</v>
      </c>
      <c r="Q48" s="2253">
        <f ca="1">C40+J29</f>
        <v>40555</v>
      </c>
      <c r="R48" s="2252" t="s">
        <v>2362</v>
      </c>
    </row>
    <row r="49" spans="1:18" s="1940" customFormat="1" ht="18" customHeight="1" thickBot="1">
      <c r="A49" s="774"/>
      <c r="B49" s="775"/>
      <c r="C49" s="776"/>
      <c r="D49" s="777"/>
      <c r="E49" s="772" t="s">
        <v>630</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10438</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103740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3706" t="s">
        <v>2926</v>
      </c>
      <c r="L53" s="3707"/>
      <c r="M53" s="3259"/>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40555</v>
      </c>
      <c r="R54" s="2256" t="s">
        <v>2374</v>
      </c>
    </row>
    <row r="55" spans="1:18" s="1940" customFormat="1" ht="18" customHeight="1" thickTop="1" thickBot="1">
      <c r="A55" s="785">
        <v>2</v>
      </c>
      <c r="B55" s="786" t="s">
        <v>636</v>
      </c>
      <c r="C55" s="787">
        <f ca="1">C13</f>
        <v>10438</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2285</v>
      </c>
      <c r="C56" s="52">
        <f ca="1">C29</f>
        <v>10438</v>
      </c>
      <c r="D56" s="3335"/>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136</v>
      </c>
      <c r="D57" s="25" t="s">
        <v>644</v>
      </c>
      <c r="E57" s="3340"/>
      <c r="F57" s="55"/>
      <c r="I57" s="2817" t="s">
        <v>2340</v>
      </c>
      <c r="J57" s="2818" t="str">
        <f ca="1">IF(OR(M47="住宅",J51&lt;L48,J56="是"),"——",J51-L48)</f>
        <v>——</v>
      </c>
      <c r="K57" s="2797" t="s">
        <v>2345</v>
      </c>
      <c r="L57" s="1820" t="str">
        <f ca="1">IF(L48&lt;J51,"——",IF(L55="比较法",L49,IF(L55="基准地价",L50,L51)))</f>
        <v>——</v>
      </c>
      <c r="M57" s="3259"/>
      <c r="O57" s="2251" t="s">
        <v>2361</v>
      </c>
      <c r="P57" s="2252" t="s">
        <v>2387</v>
      </c>
      <c r="Q57" s="2253">
        <f ca="1">C40+J29</f>
        <v>40555</v>
      </c>
      <c r="R57" s="2252" t="s">
        <v>2362</v>
      </c>
    </row>
    <row r="58" spans="1:18" s="1940" customFormat="1" ht="28.5" customHeight="1" thickBot="1">
      <c r="A58" s="1576" t="s">
        <v>1812</v>
      </c>
      <c r="B58" s="772" t="s">
        <v>648</v>
      </c>
      <c r="C58" s="3017">
        <f ca="1">ROUND(IF(AND(项目基本情况!B11="自然人",项目基本情况!B10="北京市"),C48*F58/(1+'数据-取费表'!C42),C59+C60+C61),0)</f>
        <v>89</v>
      </c>
      <c r="D58" s="3336" t="s">
        <v>649</v>
      </c>
      <c r="E58" s="3335"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3335"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87.7</v>
      </c>
      <c r="D60" s="3335" t="str">
        <f>D33</f>
        <v>按房产原值计税</v>
      </c>
      <c r="E60" s="772" t="s">
        <v>641</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41.8</v>
      </c>
      <c r="D63" s="3335" t="s">
        <v>1791</v>
      </c>
      <c r="E63" s="772" t="s">
        <v>641</v>
      </c>
      <c r="F63" s="804">
        <f t="shared" ca="1" si="0"/>
        <v>4.0000000000000001E-3</v>
      </c>
      <c r="I63" s="2822" t="s">
        <v>2352</v>
      </c>
      <c r="J63" s="2823">
        <v>70</v>
      </c>
      <c r="K63" s="2823">
        <v>50</v>
      </c>
      <c r="L63" s="2823">
        <v>80</v>
      </c>
      <c r="M63" s="2825">
        <v>0.02</v>
      </c>
      <c r="O63" s="2251" t="s">
        <v>2373</v>
      </c>
      <c r="P63" s="2252" t="s">
        <v>2390</v>
      </c>
      <c r="Q63" s="2253">
        <f ca="1">Q57+Q58</f>
        <v>40555</v>
      </c>
      <c r="R63" s="2256" t="s">
        <v>2374</v>
      </c>
    </row>
    <row r="64" spans="1:18" s="1940" customFormat="1" ht="16.5" thickBot="1">
      <c r="A64" s="1576" t="s">
        <v>1878</v>
      </c>
      <c r="B64" s="772" t="s">
        <v>671</v>
      </c>
      <c r="C64" s="52">
        <f ca="1">ROUND(C55*F64,1)</f>
        <v>5.2</v>
      </c>
      <c r="D64" s="3335" t="s">
        <v>672</v>
      </c>
      <c r="E64" s="772" t="s">
        <v>641</v>
      </c>
      <c r="F64" s="805">
        <f t="shared" ca="1" si="0"/>
        <v>5.0000000000000001E-4</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35" t="s">
        <v>675</v>
      </c>
      <c r="E65" s="772" t="s">
        <v>641</v>
      </c>
      <c r="F65" s="782">
        <f t="shared" ca="1" si="0"/>
        <v>5.0000000000000001E-3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-136</v>
      </c>
      <c r="D66" s="3336" t="s">
        <v>692</v>
      </c>
      <c r="E66" s="3339"/>
      <c r="F66" s="807"/>
      <c r="K66" s="1966"/>
      <c r="O66" s="2251" t="s">
        <v>2361</v>
      </c>
      <c r="P66" s="2252" t="s">
        <v>2387</v>
      </c>
      <c r="Q66" s="2253">
        <f ca="1">C40+J29</f>
        <v>40555</v>
      </c>
      <c r="R66" s="2252" t="s">
        <v>2362</v>
      </c>
    </row>
    <row r="67" spans="1:18" s="1940" customFormat="1" ht="20.25" thickBot="1">
      <c r="A67" s="769" t="s">
        <v>1768</v>
      </c>
      <c r="B67" s="2110" t="s">
        <v>2286</v>
      </c>
      <c r="C67" s="771">
        <f ca="1">ROUND(C66*(1-((1+F69)/(1+F67))^F68)/(F67-F69),0)</f>
        <v>-3190</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103740</v>
      </c>
      <c r="R68" s="2259" t="s">
        <v>2398</v>
      </c>
    </row>
    <row r="69" spans="1:18" ht="20.25" thickBot="1">
      <c r="A69" s="778"/>
      <c r="B69" s="779"/>
      <c r="C69" s="780"/>
      <c r="D69" s="803"/>
      <c r="E69" s="772" t="s">
        <v>702</v>
      </c>
      <c r="F69" s="2224"/>
      <c r="O69" s="2254" t="s">
        <v>2366</v>
      </c>
      <c r="P69" s="2260" t="s">
        <v>2380</v>
      </c>
      <c r="Q69" s="2253">
        <f ca="1">ROUND(Q70-Q71*Q72,0)</f>
        <v>1729</v>
      </c>
      <c r="R69" s="2256"/>
    </row>
    <row r="70" spans="1:18" ht="15.75" thickBot="1">
      <c r="A70" s="810" t="s">
        <v>1775</v>
      </c>
      <c r="B70" s="811" t="s">
        <v>1798</v>
      </c>
      <c r="C70" s="812">
        <f ca="1">ROUND(C67*10000/F70,0)</f>
        <v>-2071</v>
      </c>
      <c r="D70" s="813" t="s">
        <v>1799</v>
      </c>
      <c r="E70" s="814" t="s">
        <v>1800</v>
      </c>
      <c r="F70" s="815">
        <f ca="1">F43</f>
        <v>15401.814</v>
      </c>
      <c r="O70" s="2254" t="s">
        <v>2381</v>
      </c>
      <c r="P70" s="2260" t="s">
        <v>2382</v>
      </c>
      <c r="Q70" s="2253">
        <f ca="1">C39</f>
        <v>1729</v>
      </c>
      <c r="R70" s="2252" t="s">
        <v>2362</v>
      </c>
    </row>
    <row r="71" spans="1:18" ht="15.75" thickBot="1">
      <c r="O71" s="2254" t="s">
        <v>2383</v>
      </c>
      <c r="P71" s="2260" t="s">
        <v>2384</v>
      </c>
      <c r="Q71" s="2253">
        <f ca="1">C13</f>
        <v>10438</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40555</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heetViews>
  <sheetFormatPr defaultColWidth="9" defaultRowHeight="13.5"/>
  <cols>
    <col min="1" max="16384" width="9" style="3370"/>
  </cols>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513</v>
      </c>
      <c r="B4" s="505"/>
      <c r="C4" s="3587" t="s">
        <v>514</v>
      </c>
      <c r="D4" s="3588"/>
      <c r="E4" s="3621" t="s">
        <v>515</v>
      </c>
      <c r="F4" s="3622"/>
      <c r="G4" s="3587" t="s">
        <v>516</v>
      </c>
      <c r="H4" s="3588"/>
      <c r="I4" s="3587" t="s">
        <v>517</v>
      </c>
      <c r="J4" s="3588"/>
      <c r="K4" s="506" t="s">
        <v>518</v>
      </c>
      <c r="L4" s="2013"/>
      <c r="M4" s="2014"/>
      <c r="N4" s="2014"/>
      <c r="O4" s="2014"/>
      <c r="P4" s="3589" t="s">
        <v>519</v>
      </c>
      <c r="Q4" s="3590"/>
      <c r="R4" s="3595" t="s">
        <v>515</v>
      </c>
      <c r="S4" s="3596"/>
      <c r="T4" s="3595" t="s">
        <v>516</v>
      </c>
      <c r="U4" s="3596"/>
      <c r="V4" s="3582" t="s">
        <v>517</v>
      </c>
      <c r="W4" s="3582"/>
      <c r="X4" s="1500"/>
      <c r="Y4" s="3595" t="s">
        <v>519</v>
      </c>
      <c r="Z4" s="3596"/>
      <c r="AA4" s="3584" t="s">
        <v>515</v>
      </c>
      <c r="AB4" s="3585" t="s">
        <v>516</v>
      </c>
      <c r="AC4" s="3584" t="s">
        <v>517</v>
      </c>
    </row>
    <row r="5" spans="1:29" ht="15">
      <c r="A5" s="507"/>
      <c r="B5" s="508"/>
      <c r="C5" s="3603" t="s">
        <v>2892</v>
      </c>
      <c r="D5" s="3604"/>
      <c r="E5" s="3623" t="s">
        <v>2893</v>
      </c>
      <c r="F5" s="3624"/>
      <c r="G5" s="3603" t="s">
        <v>2894</v>
      </c>
      <c r="H5" s="3604"/>
      <c r="I5" s="3603" t="s">
        <v>2895</v>
      </c>
      <c r="J5" s="3604"/>
      <c r="K5" s="506"/>
      <c r="L5" s="2013"/>
      <c r="M5" s="2014"/>
      <c r="N5" s="2014"/>
      <c r="O5" s="2014"/>
      <c r="P5" s="3591"/>
      <c r="Q5" s="3592"/>
      <c r="R5" s="3597"/>
      <c r="S5" s="3598"/>
      <c r="T5" s="3597"/>
      <c r="U5" s="3598"/>
      <c r="V5" s="3582"/>
      <c r="W5" s="3582"/>
      <c r="X5" s="1500"/>
      <c r="Y5" s="3597"/>
      <c r="Z5" s="3598"/>
      <c r="AA5" s="3585"/>
      <c r="AB5" s="3585"/>
      <c r="AC5" s="3585"/>
    </row>
    <row r="6" spans="1:29" ht="15.75" thickBot="1">
      <c r="A6" s="509"/>
      <c r="B6" s="510"/>
      <c r="C6" s="3601" t="s">
        <v>2896</v>
      </c>
      <c r="D6" s="3602"/>
      <c r="E6" s="3619" t="s">
        <v>2896</v>
      </c>
      <c r="F6" s="3620"/>
      <c r="G6" s="3601" t="s">
        <v>2896</v>
      </c>
      <c r="H6" s="3602"/>
      <c r="I6" s="3601" t="s">
        <v>2896</v>
      </c>
      <c r="J6" s="3602"/>
      <c r="K6" s="506" t="s">
        <v>520</v>
      </c>
      <c r="L6" s="2013"/>
      <c r="M6" s="2014"/>
      <c r="N6" s="2014"/>
      <c r="O6" s="2014"/>
      <c r="P6" s="3593"/>
      <c r="Q6" s="3594"/>
      <c r="R6" s="3597"/>
      <c r="S6" s="3598"/>
      <c r="T6" s="3599"/>
      <c r="U6" s="3600"/>
      <c r="V6" s="3582"/>
      <c r="W6" s="3582"/>
      <c r="X6" s="1500"/>
      <c r="Y6" s="3599"/>
      <c r="Z6" s="3600"/>
      <c r="AA6" s="3586"/>
      <c r="AB6" s="3586"/>
      <c r="AC6" s="3586"/>
    </row>
    <row r="7" spans="1:29" s="1201" customFormat="1" ht="15.75" thickBot="1">
      <c r="A7" s="2627"/>
      <c r="B7" s="2634" t="s">
        <v>521</v>
      </c>
      <c r="C7" s="511">
        <f>'数据-取费表'!B2</f>
        <v>44424</v>
      </c>
      <c r="D7" s="512">
        <v>100</v>
      </c>
      <c r="E7" s="513"/>
      <c r="F7" s="514">
        <f>SUMIF(52:52,YEAR(E7)&amp;"-"&amp;MONTH(E7),53:53)</f>
        <v>0</v>
      </c>
      <c r="G7" s="513"/>
      <c r="H7" s="512">
        <f>SUMIF(52:52,YEAR(G7)&amp;"-"&amp;MONTH(G7),53:53)</f>
        <v>0</v>
      </c>
      <c r="I7" s="513"/>
      <c r="J7" s="512">
        <f>SUMIF(52:52,YEAR(I7)&amp;"-"&amp;MONTH(I7),53:53)</f>
        <v>0</v>
      </c>
      <c r="K7" s="516"/>
      <c r="L7" s="2015"/>
      <c r="M7" s="2016"/>
      <c r="N7" s="2016"/>
      <c r="O7" s="2016"/>
      <c r="P7" s="3612" t="s">
        <v>522</v>
      </c>
      <c r="Q7" s="3614"/>
      <c r="R7" s="1501" t="s">
        <v>8</v>
      </c>
      <c r="S7" s="1502">
        <f t="shared" ref="S7:S15" si="0">F7</f>
        <v>0</v>
      </c>
      <c r="T7" s="1501" t="s">
        <v>8</v>
      </c>
      <c r="U7" s="1502">
        <f t="shared" ref="U7:U15" si="1">H7</f>
        <v>0</v>
      </c>
      <c r="V7" s="1501" t="s">
        <v>8</v>
      </c>
      <c r="W7" s="1502">
        <f t="shared" ref="W7:W15" si="2">J7</f>
        <v>0</v>
      </c>
      <c r="X7" s="1503"/>
      <c r="Y7" s="3612" t="s">
        <v>522</v>
      </c>
      <c r="Z7" s="3613"/>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3612" t="s">
        <v>525</v>
      </c>
      <c r="Q8" s="3613"/>
      <c r="R8" s="1501" t="s">
        <v>8</v>
      </c>
      <c r="S8" s="1502">
        <f t="shared" si="0"/>
        <v>0</v>
      </c>
      <c r="T8" s="1501" t="s">
        <v>8</v>
      </c>
      <c r="U8" s="1502">
        <f t="shared" si="1"/>
        <v>0</v>
      </c>
      <c r="V8" s="1501" t="s">
        <v>8</v>
      </c>
      <c r="W8" s="1502">
        <f t="shared" si="2"/>
        <v>0</v>
      </c>
      <c r="X8" s="1503"/>
      <c r="Y8" s="3612" t="s">
        <v>525</v>
      </c>
      <c r="Z8" s="3613"/>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581" t="s">
        <v>527</v>
      </c>
      <c r="Q9" s="1132" t="str">
        <f t="shared" ref="Q9:Q15" si="6">B9</f>
        <v>用途</v>
      </c>
      <c r="R9" s="1501" t="s">
        <v>8</v>
      </c>
      <c r="S9" s="1502">
        <f t="shared" si="0"/>
        <v>100</v>
      </c>
      <c r="T9" s="1501" t="s">
        <v>8</v>
      </c>
      <c r="U9" s="1502">
        <f t="shared" si="1"/>
        <v>100</v>
      </c>
      <c r="V9" s="1501" t="s">
        <v>8</v>
      </c>
      <c r="W9" s="1502">
        <f t="shared" si="2"/>
        <v>100</v>
      </c>
      <c r="X9" s="1503"/>
      <c r="Y9" s="3527"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581"/>
      <c r="Q10" s="1132" t="str">
        <f t="shared" si="6"/>
        <v>土地使用年限（年）</v>
      </c>
      <c r="R10" s="1501" t="s">
        <v>8</v>
      </c>
      <c r="S10" s="1502">
        <f t="shared" si="0"/>
        <v>100</v>
      </c>
      <c r="T10" s="1501" t="s">
        <v>8</v>
      </c>
      <c r="U10" s="1502">
        <f t="shared" si="1"/>
        <v>100</v>
      </c>
      <c r="V10" s="1501" t="s">
        <v>8</v>
      </c>
      <c r="W10" s="1502">
        <f t="shared" si="2"/>
        <v>100</v>
      </c>
      <c r="X10" s="1503"/>
      <c r="Y10" s="3527"/>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581"/>
      <c r="Q11" s="1132" t="str">
        <f t="shared" si="6"/>
        <v>容积率</v>
      </c>
      <c r="R11" s="1501" t="s">
        <v>8</v>
      </c>
      <c r="S11" s="1502" t="e">
        <f t="shared" si="0"/>
        <v>#N/A</v>
      </c>
      <c r="T11" s="1501" t="s">
        <v>8</v>
      </c>
      <c r="U11" s="1502" t="e">
        <f t="shared" si="1"/>
        <v>#N/A</v>
      </c>
      <c r="V11" s="1501" t="s">
        <v>8</v>
      </c>
      <c r="W11" s="1502" t="e">
        <f t="shared" si="2"/>
        <v>#N/A</v>
      </c>
      <c r="X11" s="1503"/>
      <c r="Y11" s="3527"/>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581"/>
      <c r="Q12" s="1132">
        <f t="shared" si="6"/>
        <v>111</v>
      </c>
      <c r="R12" s="1501" t="s">
        <v>8</v>
      </c>
      <c r="S12" s="1502">
        <f t="shared" si="0"/>
        <v>100</v>
      </c>
      <c r="T12" s="1501" t="s">
        <v>8</v>
      </c>
      <c r="U12" s="1502">
        <f t="shared" si="1"/>
        <v>100</v>
      </c>
      <c r="V12" s="1501" t="s">
        <v>8</v>
      </c>
      <c r="W12" s="1502">
        <f t="shared" si="2"/>
        <v>100</v>
      </c>
      <c r="X12" s="1503"/>
      <c r="Y12" s="3527"/>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581"/>
      <c r="Q13" s="1132">
        <f t="shared" si="6"/>
        <v>111</v>
      </c>
      <c r="R13" s="1501" t="s">
        <v>8</v>
      </c>
      <c r="S13" s="1502">
        <f t="shared" si="0"/>
        <v>100</v>
      </c>
      <c r="T13" s="1501" t="s">
        <v>8</v>
      </c>
      <c r="U13" s="1502">
        <f t="shared" si="1"/>
        <v>100</v>
      </c>
      <c r="V13" s="1501" t="s">
        <v>8</v>
      </c>
      <c r="W13" s="1502">
        <f t="shared" si="2"/>
        <v>100</v>
      </c>
      <c r="X13" s="1503"/>
      <c r="Y13" s="3527"/>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581"/>
      <c r="Q14" s="1132">
        <f t="shared" si="6"/>
        <v>111</v>
      </c>
      <c r="R14" s="1501" t="s">
        <v>8</v>
      </c>
      <c r="S14" s="1502">
        <f t="shared" si="0"/>
        <v>100</v>
      </c>
      <c r="T14" s="1501" t="s">
        <v>8</v>
      </c>
      <c r="U14" s="1502">
        <f t="shared" si="1"/>
        <v>100</v>
      </c>
      <c r="V14" s="1501" t="s">
        <v>8</v>
      </c>
      <c r="W14" s="1502">
        <f t="shared" si="2"/>
        <v>100</v>
      </c>
      <c r="X14" s="1503"/>
      <c r="Y14" s="3527"/>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3615" t="s">
        <v>532</v>
      </c>
      <c r="Q15" s="1505" t="str">
        <f t="shared" si="6"/>
        <v>产业集聚程度</v>
      </c>
      <c r="R15" s="1506" t="s">
        <v>8</v>
      </c>
      <c r="S15" s="1507">
        <f t="shared" si="0"/>
        <v>100</v>
      </c>
      <c r="T15" s="1506" t="s">
        <v>8</v>
      </c>
      <c r="U15" s="1507">
        <f t="shared" si="1"/>
        <v>100</v>
      </c>
      <c r="V15" s="1506" t="s">
        <v>8</v>
      </c>
      <c r="W15" s="1507">
        <f t="shared" si="2"/>
        <v>100</v>
      </c>
      <c r="X15" s="1500"/>
      <c r="Y15" s="3615"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3616"/>
      <c r="Q16" s="1505"/>
      <c r="R16" s="1506"/>
      <c r="S16" s="1507"/>
      <c r="T16" s="1506"/>
      <c r="U16" s="1507"/>
      <c r="V16" s="1506"/>
      <c r="W16" s="1507"/>
      <c r="X16" s="1500"/>
      <c r="Y16" s="3616"/>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3616"/>
      <c r="Q17" s="1505" t="str">
        <f>B17</f>
        <v>交通便捷度</v>
      </c>
      <c r="R17" s="1506" t="s">
        <v>8</v>
      </c>
      <c r="S17" s="1507">
        <f>F17</f>
        <v>100</v>
      </c>
      <c r="T17" s="1506" t="s">
        <v>8</v>
      </c>
      <c r="U17" s="1507">
        <f>H17</f>
        <v>100</v>
      </c>
      <c r="V17" s="1506" t="s">
        <v>8</v>
      </c>
      <c r="W17" s="1507">
        <f>J17</f>
        <v>100</v>
      </c>
      <c r="X17" s="1500"/>
      <c r="Y17" s="361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3616"/>
      <c r="Q18" s="1505"/>
      <c r="R18" s="1506"/>
      <c r="S18" s="1507"/>
      <c r="T18" s="1506"/>
      <c r="U18" s="1507"/>
      <c r="V18" s="1506"/>
      <c r="W18" s="1507"/>
      <c r="X18" s="1500"/>
      <c r="Y18" s="3616"/>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3616"/>
      <c r="Q19" s="1505" t="str">
        <f>B19</f>
        <v>公共配套设施</v>
      </c>
      <c r="R19" s="1506" t="s">
        <v>8</v>
      </c>
      <c r="S19" s="1507">
        <f>F19</f>
        <v>100</v>
      </c>
      <c r="T19" s="1506" t="s">
        <v>8</v>
      </c>
      <c r="U19" s="1507">
        <f>H19</f>
        <v>100</v>
      </c>
      <c r="V19" s="1506" t="s">
        <v>8</v>
      </c>
      <c r="W19" s="1507">
        <f>J19</f>
        <v>100</v>
      </c>
      <c r="X19" s="1500"/>
      <c r="Y19" s="3616"/>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3616"/>
      <c r="Q20" s="1505"/>
      <c r="R20" s="1506"/>
      <c r="S20" s="1507"/>
      <c r="T20" s="1506"/>
      <c r="U20" s="1507"/>
      <c r="V20" s="1506"/>
      <c r="W20" s="1507"/>
      <c r="X20" s="1500"/>
      <c r="Y20" s="3616"/>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3616"/>
      <c r="Q21" s="2427" t="str">
        <f>B21</f>
        <v>基础设施水平</v>
      </c>
      <c r="R21" s="1506" t="s">
        <v>8</v>
      </c>
      <c r="S21" s="1507">
        <f>F21</f>
        <v>100</v>
      </c>
      <c r="T21" s="1506" t="s">
        <v>8</v>
      </c>
      <c r="U21" s="1507">
        <f>H21</f>
        <v>100</v>
      </c>
      <c r="V21" s="1506" t="s">
        <v>8</v>
      </c>
      <c r="W21" s="1507">
        <f>J21</f>
        <v>100</v>
      </c>
      <c r="X21" s="2429"/>
      <c r="Y21" s="3616"/>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3616"/>
      <c r="Q22" s="2427"/>
      <c r="R22" s="1506"/>
      <c r="S22" s="1507"/>
      <c r="T22" s="1506"/>
      <c r="U22" s="1507"/>
      <c r="V22" s="1506"/>
      <c r="W22" s="1507"/>
      <c r="X22" s="2429"/>
      <c r="Y22" s="3616"/>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3616"/>
      <c r="Q23" s="1505" t="str">
        <f>B23</f>
        <v>环境质量</v>
      </c>
      <c r="R23" s="1506" t="s">
        <v>8</v>
      </c>
      <c r="S23" s="1507">
        <f>F23</f>
        <v>100</v>
      </c>
      <c r="T23" s="1506" t="s">
        <v>8</v>
      </c>
      <c r="U23" s="1507">
        <f>H23</f>
        <v>100</v>
      </c>
      <c r="V23" s="1506" t="s">
        <v>8</v>
      </c>
      <c r="W23" s="1507">
        <f>J23</f>
        <v>100</v>
      </c>
      <c r="X23" s="1500"/>
      <c r="Y23" s="3616"/>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3616"/>
      <c r="Q24" s="1505"/>
      <c r="R24" s="1506"/>
      <c r="S24" s="1507"/>
      <c r="T24" s="1506"/>
      <c r="U24" s="1507"/>
      <c r="V24" s="1506"/>
      <c r="W24" s="1507"/>
      <c r="X24" s="1500"/>
      <c r="Y24" s="3616"/>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3616"/>
      <c r="Q25" s="1505">
        <f>B25</f>
        <v>111</v>
      </c>
      <c r="R25" s="1506" t="s">
        <v>8</v>
      </c>
      <c r="S25" s="1507">
        <f>F25</f>
        <v>100</v>
      </c>
      <c r="T25" s="1506" t="s">
        <v>8</v>
      </c>
      <c r="U25" s="1507">
        <f>H25</f>
        <v>100</v>
      </c>
      <c r="V25" s="1506" t="s">
        <v>8</v>
      </c>
      <c r="W25" s="1507">
        <f>J25</f>
        <v>100</v>
      </c>
      <c r="X25" s="1500"/>
      <c r="Y25" s="3616"/>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3616"/>
      <c r="Q26" s="1505">
        <f t="shared" ref="Q26:Q40" si="11">B26</f>
        <v>111</v>
      </c>
      <c r="R26" s="1506" t="s">
        <v>8</v>
      </c>
      <c r="S26" s="1507">
        <f>F26</f>
        <v>100</v>
      </c>
      <c r="T26" s="1506" t="s">
        <v>8</v>
      </c>
      <c r="U26" s="1507">
        <f>H26</f>
        <v>100</v>
      </c>
      <c r="V26" s="1506" t="s">
        <v>8</v>
      </c>
      <c r="W26" s="1507">
        <f>J26</f>
        <v>100</v>
      </c>
      <c r="X26" s="1500"/>
      <c r="Y26" s="3616"/>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3616"/>
      <c r="Q27" s="1132">
        <f t="shared" si="11"/>
        <v>111</v>
      </c>
      <c r="R27" s="1501" t="s">
        <v>8</v>
      </c>
      <c r="S27" s="1502">
        <f>F27</f>
        <v>100</v>
      </c>
      <c r="T27" s="1501" t="s">
        <v>8</v>
      </c>
      <c r="U27" s="1502">
        <f>H27</f>
        <v>100</v>
      </c>
      <c r="V27" s="1501" t="s">
        <v>8</v>
      </c>
      <c r="W27" s="1502">
        <f>J27</f>
        <v>100</v>
      </c>
      <c r="X27" s="1503"/>
      <c r="Y27" s="3616"/>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3616"/>
      <c r="Q28" s="1505">
        <f t="shared" si="11"/>
        <v>111</v>
      </c>
      <c r="R28" s="1506" t="s">
        <v>8</v>
      </c>
      <c r="S28" s="1507">
        <f t="shared" ref="S28:S40" si="12">F28</f>
        <v>100</v>
      </c>
      <c r="T28" s="1506" t="s">
        <v>8</v>
      </c>
      <c r="U28" s="1507">
        <f t="shared" ref="U28:U40" si="13">H28</f>
        <v>100</v>
      </c>
      <c r="V28" s="1506" t="s">
        <v>8</v>
      </c>
      <c r="W28" s="1507">
        <f t="shared" ref="W28:W40" si="14">J28</f>
        <v>100</v>
      </c>
      <c r="X28" s="1500"/>
      <c r="Y28" s="3616"/>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3617" t="s">
        <v>542</v>
      </c>
      <c r="Q29" s="1505" t="str">
        <f t="shared" si="11"/>
        <v>建筑类型</v>
      </c>
      <c r="R29" s="1506" t="s">
        <v>8</v>
      </c>
      <c r="S29" s="1507">
        <f t="shared" si="12"/>
        <v>100</v>
      </c>
      <c r="T29" s="1506" t="s">
        <v>8</v>
      </c>
      <c r="U29" s="1507">
        <f t="shared" si="13"/>
        <v>100</v>
      </c>
      <c r="V29" s="1506" t="s">
        <v>8</v>
      </c>
      <c r="W29" s="1507">
        <f t="shared" si="14"/>
        <v>100</v>
      </c>
      <c r="X29" s="1500"/>
      <c r="Y29" s="3618"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3618"/>
      <c r="Q30" s="1534" t="str">
        <f t="shared" si="11"/>
        <v>项目建筑规模</v>
      </c>
      <c r="R30" s="1510" t="s">
        <v>8</v>
      </c>
      <c r="S30" s="1511" t="e">
        <f t="shared" si="12"/>
        <v>#N/A</v>
      </c>
      <c r="T30" s="1510" t="s">
        <v>8</v>
      </c>
      <c r="U30" s="1511" t="e">
        <f t="shared" si="13"/>
        <v>#N/A</v>
      </c>
      <c r="V30" s="1510" t="s">
        <v>8</v>
      </c>
      <c r="W30" s="1511" t="e">
        <f t="shared" si="14"/>
        <v>#N/A</v>
      </c>
      <c r="X30" s="1512"/>
      <c r="Y30" s="3618"/>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3618"/>
      <c r="Q31" s="1505" t="str">
        <f t="shared" si="11"/>
        <v>建筑结构</v>
      </c>
      <c r="R31" s="1506" t="s">
        <v>8</v>
      </c>
      <c r="S31" s="1507">
        <f t="shared" si="12"/>
        <v>100</v>
      </c>
      <c r="T31" s="1506" t="s">
        <v>8</v>
      </c>
      <c r="U31" s="1507">
        <f t="shared" si="13"/>
        <v>100</v>
      </c>
      <c r="V31" s="1506" t="s">
        <v>8</v>
      </c>
      <c r="W31" s="1507">
        <f t="shared" si="14"/>
        <v>100</v>
      </c>
      <c r="X31" s="1500"/>
      <c r="Y31" s="3618"/>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3618"/>
      <c r="Q32" s="1505" t="str">
        <f t="shared" si="11"/>
        <v>公共部分装修</v>
      </c>
      <c r="R32" s="1506" t="s">
        <v>8</v>
      </c>
      <c r="S32" s="1507">
        <f t="shared" si="12"/>
        <v>100</v>
      </c>
      <c r="T32" s="1506" t="s">
        <v>8</v>
      </c>
      <c r="U32" s="1507">
        <f t="shared" si="13"/>
        <v>100</v>
      </c>
      <c r="V32" s="1506" t="s">
        <v>8</v>
      </c>
      <c r="W32" s="1507">
        <f t="shared" si="14"/>
        <v>100</v>
      </c>
      <c r="X32" s="1500"/>
      <c r="Y32" s="3618"/>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3618"/>
      <c r="Q33" s="1505" t="str">
        <f t="shared" si="11"/>
        <v>成新度</v>
      </c>
      <c r="R33" s="1506" t="s">
        <v>8</v>
      </c>
      <c r="S33" s="1507" t="e">
        <f t="shared" si="12"/>
        <v>#N/A</v>
      </c>
      <c r="T33" s="1506" t="s">
        <v>8</v>
      </c>
      <c r="U33" s="1507" t="e">
        <f t="shared" si="13"/>
        <v>#N/A</v>
      </c>
      <c r="V33" s="1506" t="s">
        <v>8</v>
      </c>
      <c r="W33" s="1507" t="e">
        <f t="shared" si="14"/>
        <v>#N/A</v>
      </c>
      <c r="X33" s="1500"/>
      <c r="Y33" s="3618"/>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3618"/>
      <c r="Q34" s="1132" t="str">
        <f t="shared" si="11"/>
        <v>物业管理</v>
      </c>
      <c r="R34" s="1501" t="s">
        <v>8</v>
      </c>
      <c r="S34" s="1502">
        <f t="shared" si="12"/>
        <v>100</v>
      </c>
      <c r="T34" s="1501" t="s">
        <v>8</v>
      </c>
      <c r="U34" s="1502">
        <f t="shared" si="13"/>
        <v>100</v>
      </c>
      <c r="V34" s="1501" t="s">
        <v>8</v>
      </c>
      <c r="W34" s="1502">
        <f t="shared" si="14"/>
        <v>100</v>
      </c>
      <c r="X34" s="1503"/>
      <c r="Y34" s="3618"/>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3618" t="s">
        <v>542</v>
      </c>
      <c r="Q35" s="1505" t="str">
        <f t="shared" si="11"/>
        <v>市政基础设施</v>
      </c>
      <c r="R35" s="1506" t="s">
        <v>8</v>
      </c>
      <c r="S35" s="1507">
        <f t="shared" si="12"/>
        <v>100</v>
      </c>
      <c r="T35" s="1506" t="s">
        <v>8</v>
      </c>
      <c r="U35" s="1507">
        <f t="shared" si="13"/>
        <v>100</v>
      </c>
      <c r="V35" s="1506" t="s">
        <v>8</v>
      </c>
      <c r="W35" s="1507">
        <f t="shared" si="14"/>
        <v>100</v>
      </c>
      <c r="X35" s="1500"/>
      <c r="Y35" s="3618"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3618"/>
      <c r="Q36" s="1505" t="str">
        <f t="shared" si="11"/>
        <v>内部装修</v>
      </c>
      <c r="R36" s="1506" t="s">
        <v>8</v>
      </c>
      <c r="S36" s="1507">
        <f t="shared" si="12"/>
        <v>100</v>
      </c>
      <c r="T36" s="1506" t="s">
        <v>8</v>
      </c>
      <c r="U36" s="1507">
        <f t="shared" si="13"/>
        <v>100</v>
      </c>
      <c r="V36" s="1506" t="s">
        <v>8</v>
      </c>
      <c r="W36" s="1507">
        <f t="shared" si="14"/>
        <v>100</v>
      </c>
      <c r="X36" s="1500"/>
      <c r="Y36" s="3618"/>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3618"/>
      <c r="Q37" s="1505" t="str">
        <f t="shared" si="11"/>
        <v>内部装修状况</v>
      </c>
      <c r="R37" s="1506" t="s">
        <v>8</v>
      </c>
      <c r="S37" s="1507">
        <f t="shared" si="12"/>
        <v>100</v>
      </c>
      <c r="T37" s="1506" t="s">
        <v>8</v>
      </c>
      <c r="U37" s="1507">
        <f t="shared" si="13"/>
        <v>100</v>
      </c>
      <c r="V37" s="1506" t="s">
        <v>8</v>
      </c>
      <c r="W37" s="1507">
        <f t="shared" si="14"/>
        <v>100</v>
      </c>
      <c r="X37" s="1500"/>
      <c r="Y37" s="3618"/>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3618"/>
      <c r="Q38" s="1534">
        <f t="shared" si="11"/>
        <v>111</v>
      </c>
      <c r="R38" s="1510" t="s">
        <v>8</v>
      </c>
      <c r="S38" s="1511">
        <f t="shared" si="12"/>
        <v>100</v>
      </c>
      <c r="T38" s="1510" t="s">
        <v>8</v>
      </c>
      <c r="U38" s="1511">
        <f t="shared" si="13"/>
        <v>100</v>
      </c>
      <c r="V38" s="1510" t="s">
        <v>8</v>
      </c>
      <c r="W38" s="1511">
        <f t="shared" si="14"/>
        <v>100</v>
      </c>
      <c r="X38" s="1512"/>
      <c r="Y38" s="3618"/>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3618"/>
      <c r="Q39" s="1505">
        <f t="shared" si="11"/>
        <v>111</v>
      </c>
      <c r="R39" s="1506" t="s">
        <v>8</v>
      </c>
      <c r="S39" s="1507">
        <f t="shared" si="12"/>
        <v>100</v>
      </c>
      <c r="T39" s="1506" t="s">
        <v>8</v>
      </c>
      <c r="U39" s="1507">
        <f t="shared" si="13"/>
        <v>100</v>
      </c>
      <c r="V39" s="1506" t="s">
        <v>8</v>
      </c>
      <c r="W39" s="1507">
        <f t="shared" si="14"/>
        <v>100</v>
      </c>
      <c r="X39" s="1500"/>
      <c r="Y39" s="3618"/>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3698"/>
      <c r="Q40" s="1505">
        <f t="shared" si="11"/>
        <v>111</v>
      </c>
      <c r="R40" s="1506" t="s">
        <v>8</v>
      </c>
      <c r="S40" s="1507">
        <f t="shared" si="12"/>
        <v>100</v>
      </c>
      <c r="T40" s="1506" t="s">
        <v>8</v>
      </c>
      <c r="U40" s="1507">
        <f t="shared" si="13"/>
        <v>100</v>
      </c>
      <c r="V40" s="1506" t="s">
        <v>8</v>
      </c>
      <c r="W40" s="1507">
        <f t="shared" si="14"/>
        <v>100</v>
      </c>
      <c r="X40" s="1500"/>
      <c r="Y40" s="3698"/>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581" t="str">
        <f>A41</f>
        <v>成交单价（元/平方米）</v>
      </c>
      <c r="Q41" s="3581"/>
      <c r="R41" s="3697">
        <f>E41</f>
        <v>0</v>
      </c>
      <c r="S41" s="3697"/>
      <c r="T41" s="3697">
        <f>G41</f>
        <v>0</v>
      </c>
      <c r="U41" s="3697"/>
      <c r="V41" s="3697">
        <f>I41</f>
        <v>0</v>
      </c>
      <c r="W41" s="3697"/>
      <c r="X41" s="1495"/>
      <c r="Y41" s="1514"/>
      <c r="Z41" s="1495"/>
      <c r="AA41" s="1495"/>
      <c r="AB41" s="1495"/>
      <c r="AC41" s="1495"/>
    </row>
    <row r="42" spans="1:29" ht="15.75" thickBot="1">
      <c r="A42" s="607" t="s">
        <v>2738</v>
      </c>
      <c r="B42" s="875"/>
      <c r="C42" s="2474" t="e">
        <f>R43</f>
        <v>#DIV/0!</v>
      </c>
      <c r="D42" s="3012" t="s">
        <v>2963</v>
      </c>
      <c r="E42" s="2475" t="e">
        <f>R42</f>
        <v>#DIV/0!</v>
      </c>
      <c r="F42" s="3013"/>
      <c r="G42" s="2474" t="e">
        <f>T42</f>
        <v>#DIV/0!</v>
      </c>
      <c r="H42" s="3013"/>
      <c r="I42" s="2475" t="e">
        <f>V42</f>
        <v>#DIV/0!</v>
      </c>
      <c r="J42" s="3013"/>
      <c r="K42" s="3021">
        <f>F42+H42+J42</f>
        <v>0</v>
      </c>
      <c r="L42" s="2024"/>
      <c r="M42" s="2025"/>
      <c r="N42" s="2014"/>
      <c r="O42" s="2025"/>
      <c r="P42" s="3581" t="str">
        <f>A42</f>
        <v>比较价格（元/平方米）</v>
      </c>
      <c r="Q42" s="3581"/>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578" t="str">
        <f>A43</f>
        <v>估价对象XX用房的比较价格（楼面单价，元/平方米）</v>
      </c>
      <c r="Q43" s="3579"/>
      <c r="R43" s="3696" t="e">
        <f>IF(F1="售价",ROUND(IF(D42="简单平均",AVERAGE(R42:V42),R42*F42+T42*H42+V42*J42),0),ROUND(IF(D42="简单平均",AVERAGE(R42:V42),R42*F42+T42*H42+V42*J42),1))</f>
        <v>#DIV/0!</v>
      </c>
      <c r="S43" s="3696"/>
      <c r="T43" s="3696"/>
      <c r="U43" s="3696"/>
      <c r="V43" s="3696"/>
      <c r="W43" s="3696"/>
      <c r="X43" s="1495"/>
      <c r="Y43" s="1495"/>
      <c r="Z43" s="1495"/>
      <c r="AA43" s="1495"/>
      <c r="AB43" s="1495"/>
      <c r="AC43" s="1495"/>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2021-8</v>
      </c>
      <c r="D52" s="2519">
        <f>EDATE(C52,-1)</f>
        <v>44378</v>
      </c>
      <c r="E52" s="2519">
        <f t="shared" ref="E52:O52" si="16">EDATE(D52,-1)</f>
        <v>44348</v>
      </c>
      <c r="F52" s="2519">
        <f t="shared" si="16"/>
        <v>44317</v>
      </c>
      <c r="G52" s="2519">
        <f t="shared" si="16"/>
        <v>44287</v>
      </c>
      <c r="H52" s="2519">
        <f t="shared" si="16"/>
        <v>44256</v>
      </c>
      <c r="I52" s="2519">
        <f t="shared" si="16"/>
        <v>44228</v>
      </c>
      <c r="J52" s="2519">
        <f t="shared" si="16"/>
        <v>44197</v>
      </c>
      <c r="K52" s="2519">
        <f t="shared" si="16"/>
        <v>44166</v>
      </c>
      <c r="L52" s="2519">
        <f t="shared" si="16"/>
        <v>44136</v>
      </c>
      <c r="M52" s="2519">
        <f t="shared" si="16"/>
        <v>44105</v>
      </c>
      <c r="N52" s="2519">
        <f t="shared" si="16"/>
        <v>44075</v>
      </c>
      <c r="O52" s="2519">
        <f t="shared" si="16"/>
        <v>44044</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87" t="s">
        <v>790</v>
      </c>
      <c r="D4" s="3588"/>
      <c r="E4" s="3587" t="s">
        <v>791</v>
      </c>
      <c r="F4" s="3588"/>
      <c r="G4" s="3587" t="s">
        <v>792</v>
      </c>
      <c r="H4" s="3588"/>
      <c r="I4" s="3587" t="s">
        <v>793</v>
      </c>
      <c r="J4" s="3588"/>
      <c r="K4" s="506" t="s">
        <v>794</v>
      </c>
      <c r="L4" s="2013"/>
      <c r="M4" s="2014"/>
      <c r="N4" s="2014"/>
      <c r="O4" s="2014"/>
      <c r="P4" s="3589" t="s">
        <v>795</v>
      </c>
      <c r="Q4" s="3590"/>
      <c r="R4" s="3595" t="s">
        <v>791</v>
      </c>
      <c r="S4" s="3596"/>
      <c r="T4" s="3595" t="s">
        <v>792</v>
      </c>
      <c r="U4" s="3596"/>
      <c r="V4" s="3582" t="s">
        <v>793</v>
      </c>
      <c r="W4" s="3582"/>
      <c r="X4" s="1500"/>
      <c r="Y4" s="3595" t="s">
        <v>795</v>
      </c>
      <c r="Z4" s="3596"/>
      <c r="AA4" s="3584" t="s">
        <v>791</v>
      </c>
      <c r="AB4" s="3585" t="s">
        <v>792</v>
      </c>
      <c r="AC4" s="3584" t="s">
        <v>793</v>
      </c>
    </row>
    <row r="5" spans="1:29" ht="15">
      <c r="A5" s="507"/>
      <c r="B5" s="508"/>
      <c r="C5" s="3603" t="s">
        <v>2892</v>
      </c>
      <c r="D5" s="3604"/>
      <c r="E5" s="3603" t="s">
        <v>2893</v>
      </c>
      <c r="F5" s="3604"/>
      <c r="G5" s="3603" t="s">
        <v>2894</v>
      </c>
      <c r="H5" s="3604"/>
      <c r="I5" s="3603" t="s">
        <v>2895</v>
      </c>
      <c r="J5" s="3604"/>
      <c r="K5" s="506"/>
      <c r="L5" s="2013"/>
      <c r="M5" s="2014"/>
      <c r="N5" s="2014"/>
      <c r="O5" s="2014"/>
      <c r="P5" s="3591"/>
      <c r="Q5" s="3592"/>
      <c r="R5" s="3597"/>
      <c r="S5" s="3598"/>
      <c r="T5" s="3597"/>
      <c r="U5" s="3598"/>
      <c r="V5" s="3582"/>
      <c r="W5" s="3582"/>
      <c r="X5" s="1500"/>
      <c r="Y5" s="3597"/>
      <c r="Z5" s="3598"/>
      <c r="AA5" s="3585"/>
      <c r="AB5" s="3585"/>
      <c r="AC5" s="3585"/>
    </row>
    <row r="6" spans="1:29" ht="15.75" thickBot="1">
      <c r="A6" s="509"/>
      <c r="B6" s="510"/>
      <c r="C6" s="3601" t="s">
        <v>2896</v>
      </c>
      <c r="D6" s="3602"/>
      <c r="E6" s="3605" t="s">
        <v>2896</v>
      </c>
      <c r="F6" s="3606"/>
      <c r="G6" s="3601" t="s">
        <v>2896</v>
      </c>
      <c r="H6" s="3602"/>
      <c r="I6" s="3601" t="s">
        <v>2896</v>
      </c>
      <c r="J6" s="3602"/>
      <c r="K6" s="506" t="s">
        <v>520</v>
      </c>
      <c r="L6" s="2013"/>
      <c r="M6" s="2014"/>
      <c r="N6" s="2014"/>
      <c r="O6" s="2014"/>
      <c r="P6" s="3593"/>
      <c r="Q6" s="3594"/>
      <c r="R6" s="3597"/>
      <c r="S6" s="3598"/>
      <c r="T6" s="3599"/>
      <c r="U6" s="3600"/>
      <c r="V6" s="3582"/>
      <c r="W6" s="3582"/>
      <c r="X6" s="1500"/>
      <c r="Y6" s="3599"/>
      <c r="Z6" s="3600"/>
      <c r="AA6" s="3586"/>
      <c r="AB6" s="3586"/>
      <c r="AC6" s="3586"/>
    </row>
    <row r="7" spans="1:29" s="1201" customFormat="1" ht="15.75" thickBot="1">
      <c r="A7" s="2627"/>
      <c r="B7" s="2634" t="s">
        <v>521</v>
      </c>
      <c r="C7" s="511">
        <f>'数据-取费表'!B2</f>
        <v>44424</v>
      </c>
      <c r="D7" s="512">
        <v>100</v>
      </c>
      <c r="E7" s="513"/>
      <c r="F7" s="514">
        <f>SUMIF(48:48,YEAR(E7)&amp;"-"&amp;MONTH(E7),49:49)</f>
        <v>0</v>
      </c>
      <c r="G7" s="515"/>
      <c r="H7" s="512">
        <f>SUMIF(48:48,YEAR(G7)&amp;"-"&amp;MONTH(G7),49:49)</f>
        <v>0</v>
      </c>
      <c r="I7" s="515"/>
      <c r="J7" s="512">
        <f>SUMIF(48:48,YEAR(I7)&amp;"-"&amp;MONTH(I7),49:49)</f>
        <v>0</v>
      </c>
      <c r="K7" s="516"/>
      <c r="L7" s="2015"/>
      <c r="M7" s="2016"/>
      <c r="N7" s="2016"/>
      <c r="O7" s="2016"/>
      <c r="P7" s="3612" t="s">
        <v>522</v>
      </c>
      <c r="Q7" s="3614"/>
      <c r="R7" s="1501" t="s">
        <v>8</v>
      </c>
      <c r="S7" s="1502">
        <f t="shared" ref="S7:S14" si="0">F7</f>
        <v>0</v>
      </c>
      <c r="T7" s="1501" t="s">
        <v>8</v>
      </c>
      <c r="U7" s="1502">
        <f t="shared" ref="U7:U14" si="1">H7</f>
        <v>0</v>
      </c>
      <c r="V7" s="1501" t="s">
        <v>8</v>
      </c>
      <c r="W7" s="1502">
        <f t="shared" ref="W7:W14" si="2">J7</f>
        <v>0</v>
      </c>
      <c r="X7" s="1503"/>
      <c r="Y7" s="3612" t="s">
        <v>522</v>
      </c>
      <c r="Z7" s="3613"/>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3612" t="s">
        <v>525</v>
      </c>
      <c r="Q8" s="3613"/>
      <c r="R8" s="1501" t="s">
        <v>8</v>
      </c>
      <c r="S8" s="1502">
        <f t="shared" si="0"/>
        <v>0</v>
      </c>
      <c r="T8" s="1501" t="s">
        <v>8</v>
      </c>
      <c r="U8" s="1502">
        <f t="shared" si="1"/>
        <v>0</v>
      </c>
      <c r="V8" s="1501" t="s">
        <v>8</v>
      </c>
      <c r="W8" s="1502">
        <f t="shared" si="2"/>
        <v>0</v>
      </c>
      <c r="X8" s="1503"/>
      <c r="Y8" s="3612" t="s">
        <v>525</v>
      </c>
      <c r="Z8" s="3613"/>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581" t="s">
        <v>527</v>
      </c>
      <c r="Q9" s="1132" t="str">
        <f t="shared" ref="Q9:Q14" si="6">B9</f>
        <v>用途</v>
      </c>
      <c r="R9" s="1501" t="s">
        <v>8</v>
      </c>
      <c r="S9" s="1502">
        <f t="shared" si="0"/>
        <v>100</v>
      </c>
      <c r="T9" s="1501" t="s">
        <v>8</v>
      </c>
      <c r="U9" s="1502">
        <f t="shared" si="1"/>
        <v>100</v>
      </c>
      <c r="V9" s="1501" t="s">
        <v>8</v>
      </c>
      <c r="W9" s="1502">
        <f t="shared" si="2"/>
        <v>100</v>
      </c>
      <c r="X9" s="1503"/>
      <c r="Y9" s="3527"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581"/>
      <c r="Q10" s="1132" t="str">
        <f t="shared" si="6"/>
        <v>土地使用年限（年）</v>
      </c>
      <c r="R10" s="1501" t="s">
        <v>8</v>
      </c>
      <c r="S10" s="1502">
        <f t="shared" si="0"/>
        <v>100</v>
      </c>
      <c r="T10" s="1501" t="s">
        <v>8</v>
      </c>
      <c r="U10" s="1502">
        <f t="shared" si="1"/>
        <v>100</v>
      </c>
      <c r="V10" s="1501" t="s">
        <v>8</v>
      </c>
      <c r="W10" s="1502">
        <f t="shared" si="2"/>
        <v>100</v>
      </c>
      <c r="X10" s="1503"/>
      <c r="Y10" s="3527"/>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581"/>
      <c r="Q11" s="1132">
        <f t="shared" si="6"/>
        <v>111</v>
      </c>
      <c r="R11" s="1501" t="s">
        <v>8</v>
      </c>
      <c r="S11" s="1502">
        <f t="shared" si="0"/>
        <v>100</v>
      </c>
      <c r="T11" s="1501" t="s">
        <v>8</v>
      </c>
      <c r="U11" s="1502">
        <f t="shared" si="1"/>
        <v>100</v>
      </c>
      <c r="V11" s="1501" t="s">
        <v>8</v>
      </c>
      <c r="W11" s="1502">
        <f t="shared" si="2"/>
        <v>100</v>
      </c>
      <c r="X11" s="1503"/>
      <c r="Y11" s="3527"/>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581"/>
      <c r="Q12" s="1132">
        <f t="shared" si="6"/>
        <v>111</v>
      </c>
      <c r="R12" s="1501" t="s">
        <v>8</v>
      </c>
      <c r="S12" s="1502">
        <f t="shared" si="0"/>
        <v>100</v>
      </c>
      <c r="T12" s="1501" t="s">
        <v>8</v>
      </c>
      <c r="U12" s="1502">
        <f t="shared" si="1"/>
        <v>100</v>
      </c>
      <c r="V12" s="1501" t="s">
        <v>8</v>
      </c>
      <c r="W12" s="1502">
        <f t="shared" si="2"/>
        <v>100</v>
      </c>
      <c r="X12" s="1503"/>
      <c r="Y12" s="3527"/>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581"/>
      <c r="Q13" s="1132">
        <f t="shared" si="6"/>
        <v>111</v>
      </c>
      <c r="R13" s="1501" t="s">
        <v>8</v>
      </c>
      <c r="S13" s="1502">
        <f t="shared" si="0"/>
        <v>100</v>
      </c>
      <c r="T13" s="1501" t="s">
        <v>8</v>
      </c>
      <c r="U13" s="1502">
        <f t="shared" si="1"/>
        <v>100</v>
      </c>
      <c r="V13" s="1501" t="s">
        <v>8</v>
      </c>
      <c r="W13" s="1502">
        <f t="shared" si="2"/>
        <v>100</v>
      </c>
      <c r="X13" s="1503"/>
      <c r="Y13" s="3527"/>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3615" t="s">
        <v>532</v>
      </c>
      <c r="Q14" s="1505" t="str">
        <f t="shared" si="6"/>
        <v>交通便捷度</v>
      </c>
      <c r="R14" s="1506" t="s">
        <v>8</v>
      </c>
      <c r="S14" s="1507">
        <f t="shared" si="0"/>
        <v>100</v>
      </c>
      <c r="T14" s="1506" t="s">
        <v>8</v>
      </c>
      <c r="U14" s="1507">
        <f t="shared" si="1"/>
        <v>100</v>
      </c>
      <c r="V14" s="1506" t="s">
        <v>8</v>
      </c>
      <c r="W14" s="1507">
        <f t="shared" si="2"/>
        <v>100</v>
      </c>
      <c r="X14" s="1500"/>
      <c r="Y14" s="3615"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3616"/>
      <c r="Q15" s="1505"/>
      <c r="R15" s="1506"/>
      <c r="S15" s="1507"/>
      <c r="T15" s="1506"/>
      <c r="U15" s="1507"/>
      <c r="V15" s="1506"/>
      <c r="W15" s="1507"/>
      <c r="X15" s="1500"/>
      <c r="Y15" s="3616"/>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3616"/>
      <c r="Q16" s="1505" t="str">
        <f>B16</f>
        <v>公共配套设施</v>
      </c>
      <c r="R16" s="1506" t="s">
        <v>8</v>
      </c>
      <c r="S16" s="1507">
        <f>F16</f>
        <v>100</v>
      </c>
      <c r="T16" s="1506" t="s">
        <v>8</v>
      </c>
      <c r="U16" s="1507">
        <f>H16</f>
        <v>100</v>
      </c>
      <c r="V16" s="1506" t="s">
        <v>8</v>
      </c>
      <c r="W16" s="1507">
        <f>J16</f>
        <v>100</v>
      </c>
      <c r="X16" s="1500"/>
      <c r="Y16" s="3616"/>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3616"/>
      <c r="Q17" s="1505"/>
      <c r="R17" s="1506"/>
      <c r="S17" s="1507"/>
      <c r="T17" s="1506"/>
      <c r="U17" s="1507"/>
      <c r="V17" s="1506"/>
      <c r="W17" s="1507"/>
      <c r="X17" s="1500"/>
      <c r="Y17" s="3616"/>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3616"/>
      <c r="Q18" s="2427" t="str">
        <f>B18</f>
        <v>基础设施水平</v>
      </c>
      <c r="R18" s="1506" t="s">
        <v>8</v>
      </c>
      <c r="S18" s="1507">
        <f>F18</f>
        <v>100</v>
      </c>
      <c r="T18" s="1506" t="s">
        <v>8</v>
      </c>
      <c r="U18" s="1507">
        <f>H18</f>
        <v>100</v>
      </c>
      <c r="V18" s="1506" t="s">
        <v>8</v>
      </c>
      <c r="W18" s="1507">
        <f>J18</f>
        <v>100</v>
      </c>
      <c r="X18" s="2429"/>
      <c r="Y18" s="3616"/>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3616"/>
      <c r="Q19" s="2427"/>
      <c r="R19" s="1506"/>
      <c r="S19" s="1507"/>
      <c r="T19" s="1506"/>
      <c r="U19" s="1507"/>
      <c r="V19" s="1506"/>
      <c r="W19" s="1507"/>
      <c r="X19" s="2429"/>
      <c r="Y19" s="3616"/>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3616"/>
      <c r="Q20" s="1505" t="str">
        <f>B20</f>
        <v>自然及人文环境</v>
      </c>
      <c r="R20" s="1506" t="s">
        <v>8</v>
      </c>
      <c r="S20" s="1507">
        <f>F20</f>
        <v>100</v>
      </c>
      <c r="T20" s="1506" t="s">
        <v>8</v>
      </c>
      <c r="U20" s="1507">
        <f>H20</f>
        <v>100</v>
      </c>
      <c r="V20" s="1506" t="s">
        <v>8</v>
      </c>
      <c r="W20" s="1507">
        <f>J20</f>
        <v>100</v>
      </c>
      <c r="X20" s="1500"/>
      <c r="Y20" s="3616"/>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3616"/>
      <c r="Q21" s="1505"/>
      <c r="R21" s="1506"/>
      <c r="S21" s="1507"/>
      <c r="T21" s="1506"/>
      <c r="U21" s="1507"/>
      <c r="V21" s="1506"/>
      <c r="W21" s="1507"/>
      <c r="X21" s="1500"/>
      <c r="Y21" s="3616"/>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3616"/>
      <c r="Q22" s="1505" t="str">
        <f>B22</f>
        <v>楼层</v>
      </c>
      <c r="R22" s="1506" t="s">
        <v>8</v>
      </c>
      <c r="S22" s="1507">
        <f>F22</f>
        <v>100</v>
      </c>
      <c r="T22" s="1506" t="s">
        <v>8</v>
      </c>
      <c r="U22" s="1507">
        <f>H22</f>
        <v>100</v>
      </c>
      <c r="V22" s="1506" t="s">
        <v>8</v>
      </c>
      <c r="W22" s="1507">
        <f>J22</f>
        <v>100</v>
      </c>
      <c r="X22" s="1500"/>
      <c r="Y22" s="3616"/>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3616"/>
      <c r="Q23" s="1505">
        <f>B23</f>
        <v>111</v>
      </c>
      <c r="R23" s="1506" t="s">
        <v>8</v>
      </c>
      <c r="S23" s="1507">
        <f>F23</f>
        <v>100</v>
      </c>
      <c r="T23" s="1506" t="s">
        <v>8</v>
      </c>
      <c r="U23" s="1507">
        <f>H23</f>
        <v>100</v>
      </c>
      <c r="V23" s="1506" t="s">
        <v>8</v>
      </c>
      <c r="W23" s="1507">
        <f>J23</f>
        <v>100</v>
      </c>
      <c r="X23" s="1500"/>
      <c r="Y23" s="3616"/>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3616"/>
      <c r="Q24" s="1505">
        <f t="shared" ref="Q24:Q36" si="11">B24</f>
        <v>111</v>
      </c>
      <c r="R24" s="1506" t="s">
        <v>8</v>
      </c>
      <c r="S24" s="1507">
        <f>F24</f>
        <v>100</v>
      </c>
      <c r="T24" s="1506" t="s">
        <v>8</v>
      </c>
      <c r="U24" s="1507">
        <f>H24</f>
        <v>100</v>
      </c>
      <c r="V24" s="1506" t="s">
        <v>8</v>
      </c>
      <c r="W24" s="1507">
        <f>J24</f>
        <v>100</v>
      </c>
      <c r="X24" s="1500"/>
      <c r="Y24" s="3616"/>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3616"/>
      <c r="Q25" s="1132">
        <f t="shared" si="11"/>
        <v>111</v>
      </c>
      <c r="R25" s="1501" t="s">
        <v>8</v>
      </c>
      <c r="S25" s="1502">
        <f>F25</f>
        <v>100</v>
      </c>
      <c r="T25" s="1501" t="s">
        <v>8</v>
      </c>
      <c r="U25" s="1502">
        <f>H25</f>
        <v>100</v>
      </c>
      <c r="V25" s="1501" t="s">
        <v>8</v>
      </c>
      <c r="W25" s="1502">
        <f>J25</f>
        <v>100</v>
      </c>
      <c r="X25" s="1503"/>
      <c r="Y25" s="3616"/>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3617"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618"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3618"/>
      <c r="Q27" s="1534" t="str">
        <f t="shared" si="11"/>
        <v>项目停车位配比</v>
      </c>
      <c r="R27" s="1510" t="s">
        <v>8</v>
      </c>
      <c r="S27" s="1511">
        <f t="shared" si="12"/>
        <v>100</v>
      </c>
      <c r="T27" s="1510" t="s">
        <v>8</v>
      </c>
      <c r="U27" s="1511">
        <f t="shared" si="13"/>
        <v>100</v>
      </c>
      <c r="V27" s="1510" t="s">
        <v>8</v>
      </c>
      <c r="W27" s="1511">
        <f t="shared" si="14"/>
        <v>100</v>
      </c>
      <c r="X27" s="1512"/>
      <c r="Y27" s="3618"/>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3618"/>
      <c r="Q28" s="1505" t="str">
        <f t="shared" si="11"/>
        <v>公共部分装修</v>
      </c>
      <c r="R28" s="1506" t="s">
        <v>8</v>
      </c>
      <c r="S28" s="1507">
        <f t="shared" si="12"/>
        <v>100</v>
      </c>
      <c r="T28" s="1506" t="s">
        <v>8</v>
      </c>
      <c r="U28" s="1507">
        <f t="shared" si="13"/>
        <v>100</v>
      </c>
      <c r="V28" s="1506" t="s">
        <v>8</v>
      </c>
      <c r="W28" s="1507">
        <f t="shared" si="14"/>
        <v>100</v>
      </c>
      <c r="X28" s="1500"/>
      <c r="Y28" s="3618"/>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3618"/>
      <c r="Q29" s="1505" t="str">
        <f t="shared" si="11"/>
        <v>成新率</v>
      </c>
      <c r="R29" s="1506" t="s">
        <v>8</v>
      </c>
      <c r="S29" s="1507" t="e">
        <f t="shared" si="12"/>
        <v>#N/A</v>
      </c>
      <c r="T29" s="1506" t="s">
        <v>8</v>
      </c>
      <c r="U29" s="1507" t="e">
        <f t="shared" si="13"/>
        <v>#N/A</v>
      </c>
      <c r="V29" s="1506" t="s">
        <v>8</v>
      </c>
      <c r="W29" s="1507" t="e">
        <f t="shared" si="14"/>
        <v>#N/A</v>
      </c>
      <c r="X29" s="1500"/>
      <c r="Y29" s="3618"/>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3618"/>
      <c r="Q30" s="1505" t="str">
        <f t="shared" si="11"/>
        <v>物业等级</v>
      </c>
      <c r="R30" s="1506" t="s">
        <v>8</v>
      </c>
      <c r="S30" s="1507">
        <f t="shared" si="12"/>
        <v>100</v>
      </c>
      <c r="T30" s="1506" t="s">
        <v>8</v>
      </c>
      <c r="U30" s="1507">
        <f t="shared" si="13"/>
        <v>100</v>
      </c>
      <c r="V30" s="1506" t="s">
        <v>8</v>
      </c>
      <c r="W30" s="1507">
        <f t="shared" si="14"/>
        <v>100</v>
      </c>
      <c r="X30" s="1500"/>
      <c r="Y30" s="3618"/>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3618"/>
      <c r="Q31" s="1132" t="str">
        <f t="shared" si="11"/>
        <v>停车位面积</v>
      </c>
      <c r="R31" s="1501" t="s">
        <v>8</v>
      </c>
      <c r="S31" s="1502" t="e">
        <f t="shared" si="12"/>
        <v>#N/A</v>
      </c>
      <c r="T31" s="1501" t="s">
        <v>8</v>
      </c>
      <c r="U31" s="1502" t="e">
        <f t="shared" si="13"/>
        <v>#N/A</v>
      </c>
      <c r="V31" s="1501" t="s">
        <v>8</v>
      </c>
      <c r="W31" s="1502" t="e">
        <f t="shared" si="14"/>
        <v>#N/A</v>
      </c>
      <c r="X31" s="1503"/>
      <c r="Y31" s="3618"/>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3618" t="s">
        <v>542</v>
      </c>
      <c r="Q32" s="1505" t="str">
        <f t="shared" si="11"/>
        <v>车位类型</v>
      </c>
      <c r="R32" s="1506" t="s">
        <v>8</v>
      </c>
      <c r="S32" s="1507">
        <f t="shared" si="12"/>
        <v>100</v>
      </c>
      <c r="T32" s="1506" t="s">
        <v>8</v>
      </c>
      <c r="U32" s="1507">
        <f t="shared" si="13"/>
        <v>100</v>
      </c>
      <c r="V32" s="1506" t="s">
        <v>8</v>
      </c>
      <c r="W32" s="1507">
        <f t="shared" si="14"/>
        <v>100</v>
      </c>
      <c r="X32" s="1500"/>
      <c r="Y32" s="3618"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3618"/>
      <c r="Q33" s="1505" t="str">
        <f t="shared" si="11"/>
        <v>是否直接入户</v>
      </c>
      <c r="R33" s="1506" t="s">
        <v>8</v>
      </c>
      <c r="S33" s="1507">
        <f t="shared" si="12"/>
        <v>100</v>
      </c>
      <c r="T33" s="1506" t="s">
        <v>8</v>
      </c>
      <c r="U33" s="1507">
        <f t="shared" si="13"/>
        <v>100</v>
      </c>
      <c r="V33" s="1506" t="s">
        <v>8</v>
      </c>
      <c r="W33" s="1507">
        <f t="shared" si="14"/>
        <v>100</v>
      </c>
      <c r="X33" s="1500"/>
      <c r="Y33" s="3618"/>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3618"/>
      <c r="Q34" s="1505">
        <f t="shared" si="11"/>
        <v>111</v>
      </c>
      <c r="R34" s="1506" t="s">
        <v>8</v>
      </c>
      <c r="S34" s="1507">
        <f t="shared" si="12"/>
        <v>100</v>
      </c>
      <c r="T34" s="1506" t="s">
        <v>8</v>
      </c>
      <c r="U34" s="1507">
        <f t="shared" si="13"/>
        <v>100</v>
      </c>
      <c r="V34" s="1506" t="s">
        <v>8</v>
      </c>
      <c r="W34" s="1507">
        <f t="shared" si="14"/>
        <v>100</v>
      </c>
      <c r="X34" s="1500"/>
      <c r="Y34" s="3618"/>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3618"/>
      <c r="Q35" s="1534">
        <f t="shared" si="11"/>
        <v>111</v>
      </c>
      <c r="R35" s="1510" t="s">
        <v>8</v>
      </c>
      <c r="S35" s="1511">
        <f t="shared" si="12"/>
        <v>100</v>
      </c>
      <c r="T35" s="1510" t="s">
        <v>8</v>
      </c>
      <c r="U35" s="1511">
        <f t="shared" si="13"/>
        <v>100</v>
      </c>
      <c r="V35" s="1510" t="s">
        <v>8</v>
      </c>
      <c r="W35" s="1511">
        <f t="shared" si="14"/>
        <v>100</v>
      </c>
      <c r="X35" s="1512"/>
      <c r="Y35" s="3618"/>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3618"/>
      <c r="Q36" s="1505">
        <f t="shared" si="11"/>
        <v>111</v>
      </c>
      <c r="R36" s="1506" t="s">
        <v>8</v>
      </c>
      <c r="S36" s="1507">
        <f t="shared" si="12"/>
        <v>100</v>
      </c>
      <c r="T36" s="1506" t="s">
        <v>8</v>
      </c>
      <c r="U36" s="1507">
        <f t="shared" si="13"/>
        <v>100</v>
      </c>
      <c r="V36" s="1506" t="s">
        <v>8</v>
      </c>
      <c r="W36" s="1507">
        <f t="shared" si="14"/>
        <v>100</v>
      </c>
      <c r="X36" s="1500"/>
      <c r="Y36" s="3618"/>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581" t="str">
        <f>A37</f>
        <v>成交单价</v>
      </c>
      <c r="Q37" s="3581"/>
      <c r="R37" s="3697">
        <f>E37</f>
        <v>0</v>
      </c>
      <c r="S37" s="3697"/>
      <c r="T37" s="3697">
        <f>G37</f>
        <v>0</v>
      </c>
      <c r="U37" s="3697"/>
      <c r="V37" s="3697">
        <f>I37</f>
        <v>0</v>
      </c>
      <c r="W37" s="3697"/>
      <c r="X37" s="1495"/>
      <c r="Y37" s="1514"/>
      <c r="Z37" s="1495"/>
      <c r="AA37" s="1495"/>
      <c r="AB37" s="1495"/>
      <c r="AC37" s="1495"/>
    </row>
    <row r="38" spans="1:29" ht="15.75" thickBot="1">
      <c r="A38" s="607" t="s">
        <v>2738</v>
      </c>
      <c r="B38" s="875"/>
      <c r="C38" s="2474" t="e">
        <f>R39</f>
        <v>#DIV/0!</v>
      </c>
      <c r="D38" s="3012" t="s">
        <v>2963</v>
      </c>
      <c r="E38" s="2475" t="e">
        <f>R38</f>
        <v>#DIV/0!</v>
      </c>
      <c r="F38" s="3013"/>
      <c r="G38" s="2474" t="e">
        <f>T38</f>
        <v>#DIV/0!</v>
      </c>
      <c r="H38" s="3013"/>
      <c r="I38" s="2475" t="e">
        <f>V38</f>
        <v>#DIV/0!</v>
      </c>
      <c r="J38" s="3013"/>
      <c r="K38" s="3021">
        <f>F38+H38+J38</f>
        <v>0</v>
      </c>
      <c r="L38" s="2024"/>
      <c r="M38" s="2025"/>
      <c r="N38" s="2025"/>
      <c r="O38" s="2025"/>
      <c r="P38" s="3581" t="str">
        <f>A38</f>
        <v>比较价格（元/平方米）</v>
      </c>
      <c r="Q38" s="3581"/>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578" t="str">
        <f>A39</f>
        <v>估价对象XX用房的比较价格（楼面单价，元/平方米）</v>
      </c>
      <c r="Q39" s="3579"/>
      <c r="R39" s="3696" t="e">
        <f>IF(F1="售价",ROUND(IF(D38="简单平均",AVERAGE(R38:W38),R38*F38+T38*H38+V38*J38),0),ROUND(IF(D38="简单平均",AVERAGE(R38:V38),R38*F38+T38*H38+V38*J38),1))</f>
        <v>#DIV/0!</v>
      </c>
      <c r="S39" s="3696"/>
      <c r="T39" s="3696"/>
      <c r="U39" s="3696"/>
      <c r="V39" s="3696"/>
      <c r="W39" s="3696"/>
      <c r="X39" s="1495"/>
      <c r="Y39" s="1495"/>
      <c r="Z39" s="1495"/>
      <c r="AA39" s="1495"/>
      <c r="AB39" s="1495"/>
      <c r="AC39" s="1495"/>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2021-8</v>
      </c>
      <c r="D48" s="2519">
        <f>EDATE(C48,-1)</f>
        <v>44378</v>
      </c>
      <c r="E48" s="2519">
        <f t="shared" ref="E48:O48" si="16">EDATE(D48,-1)</f>
        <v>44348</v>
      </c>
      <c r="F48" s="2519">
        <f t="shared" si="16"/>
        <v>44317</v>
      </c>
      <c r="G48" s="2519">
        <f t="shared" si="16"/>
        <v>44287</v>
      </c>
      <c r="H48" s="2519">
        <f t="shared" si="16"/>
        <v>44256</v>
      </c>
      <c r="I48" s="2519">
        <f t="shared" si="16"/>
        <v>44228</v>
      </c>
      <c r="J48" s="2519">
        <f t="shared" si="16"/>
        <v>44197</v>
      </c>
      <c r="K48" s="2519">
        <f t="shared" si="16"/>
        <v>44166</v>
      </c>
      <c r="L48" s="2519">
        <f t="shared" si="16"/>
        <v>44136</v>
      </c>
      <c r="M48" s="2519">
        <f t="shared" si="16"/>
        <v>44105</v>
      </c>
      <c r="N48" s="2519">
        <f t="shared" si="16"/>
        <v>44075</v>
      </c>
      <c r="O48" s="2519">
        <f t="shared" si="16"/>
        <v>44044</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87" t="s">
        <v>790</v>
      </c>
      <c r="D4" s="3588"/>
      <c r="E4" s="3621" t="s">
        <v>791</v>
      </c>
      <c r="F4" s="3622"/>
      <c r="G4" s="3587" t="s">
        <v>792</v>
      </c>
      <c r="H4" s="3588"/>
      <c r="I4" s="3587" t="s">
        <v>793</v>
      </c>
      <c r="J4" s="3588"/>
      <c r="K4" s="506" t="s">
        <v>794</v>
      </c>
      <c r="L4" s="2013"/>
      <c r="M4" s="2014"/>
      <c r="N4" s="2014"/>
      <c r="O4" s="2014"/>
      <c r="P4" s="3589" t="s">
        <v>795</v>
      </c>
      <c r="Q4" s="3590"/>
      <c r="R4" s="3595" t="s">
        <v>791</v>
      </c>
      <c r="S4" s="3596"/>
      <c r="T4" s="3595" t="s">
        <v>792</v>
      </c>
      <c r="U4" s="3596"/>
      <c r="V4" s="3582" t="s">
        <v>793</v>
      </c>
      <c r="W4" s="3582"/>
      <c r="X4" s="1500"/>
      <c r="Y4" s="3595" t="s">
        <v>795</v>
      </c>
      <c r="Z4" s="3596"/>
      <c r="AA4" s="3584" t="s">
        <v>791</v>
      </c>
      <c r="AB4" s="3585" t="s">
        <v>792</v>
      </c>
      <c r="AC4" s="3584" t="s">
        <v>793</v>
      </c>
    </row>
    <row r="5" spans="1:29" ht="15">
      <c r="A5" s="507"/>
      <c r="B5" s="508"/>
      <c r="C5" s="3603" t="s">
        <v>2892</v>
      </c>
      <c r="D5" s="3604"/>
      <c r="E5" s="3623" t="s">
        <v>2893</v>
      </c>
      <c r="F5" s="3624"/>
      <c r="G5" s="3603" t="s">
        <v>2894</v>
      </c>
      <c r="H5" s="3604"/>
      <c r="I5" s="3603" t="s">
        <v>2895</v>
      </c>
      <c r="J5" s="3604"/>
      <c r="K5" s="506"/>
      <c r="L5" s="2013"/>
      <c r="M5" s="2014"/>
      <c r="N5" s="2014"/>
      <c r="O5" s="2014"/>
      <c r="P5" s="3591"/>
      <c r="Q5" s="3592"/>
      <c r="R5" s="3597"/>
      <c r="S5" s="3598"/>
      <c r="T5" s="3597"/>
      <c r="U5" s="3598"/>
      <c r="V5" s="3582"/>
      <c r="W5" s="3582"/>
      <c r="X5" s="1500"/>
      <c r="Y5" s="3597"/>
      <c r="Z5" s="3598"/>
      <c r="AA5" s="3585"/>
      <c r="AB5" s="3585"/>
      <c r="AC5" s="3585"/>
    </row>
    <row r="6" spans="1:29" ht="15.75" thickBot="1">
      <c r="A6" s="509"/>
      <c r="B6" s="510"/>
      <c r="C6" s="3601" t="s">
        <v>2896</v>
      </c>
      <c r="D6" s="3602"/>
      <c r="E6" s="3619" t="s">
        <v>2896</v>
      </c>
      <c r="F6" s="3620"/>
      <c r="G6" s="3601" t="s">
        <v>2896</v>
      </c>
      <c r="H6" s="3602"/>
      <c r="I6" s="3601" t="s">
        <v>2896</v>
      </c>
      <c r="J6" s="3602"/>
      <c r="K6" s="506" t="s">
        <v>520</v>
      </c>
      <c r="L6" s="2013"/>
      <c r="M6" s="2014"/>
      <c r="N6" s="2014"/>
      <c r="O6" s="2014"/>
      <c r="P6" s="3593"/>
      <c r="Q6" s="3594"/>
      <c r="R6" s="3597"/>
      <c r="S6" s="3598"/>
      <c r="T6" s="3599"/>
      <c r="U6" s="3600"/>
      <c r="V6" s="3582"/>
      <c r="W6" s="3582"/>
      <c r="X6" s="1500"/>
      <c r="Y6" s="3599"/>
      <c r="Z6" s="3600"/>
      <c r="AA6" s="3586"/>
      <c r="AB6" s="3586"/>
      <c r="AC6" s="3586"/>
    </row>
    <row r="7" spans="1:29" s="1201" customFormat="1" ht="15.75" thickBot="1">
      <c r="A7" s="2627"/>
      <c r="B7" s="2634" t="s">
        <v>521</v>
      </c>
      <c r="C7" s="511">
        <f>'数据-取费表'!B2</f>
        <v>44424</v>
      </c>
      <c r="D7" s="512">
        <v>100</v>
      </c>
      <c r="E7" s="513"/>
      <c r="F7" s="514">
        <f>SUMIF(46:46,YEAR(E7)&amp;"-"&amp;MONTH(E7),47:47)</f>
        <v>0</v>
      </c>
      <c r="G7" s="515"/>
      <c r="H7" s="512">
        <f>SUMIF(46:46,YEAR(G7)&amp;"-"&amp;MONTH(G7),47:47)</f>
        <v>0</v>
      </c>
      <c r="I7" s="515"/>
      <c r="J7" s="512">
        <f>SUMIF(46:46,YEAR(I7)&amp;"-"&amp;MONTH(I7),47:47)</f>
        <v>0</v>
      </c>
      <c r="K7" s="516"/>
      <c r="L7" s="2015"/>
      <c r="M7" s="2016"/>
      <c r="N7" s="2016"/>
      <c r="O7" s="2016"/>
      <c r="P7" s="3612" t="s">
        <v>522</v>
      </c>
      <c r="Q7" s="3614"/>
      <c r="R7" s="1501" t="s">
        <v>8</v>
      </c>
      <c r="S7" s="1502">
        <f t="shared" ref="S7:S14" si="0">F7</f>
        <v>0</v>
      </c>
      <c r="T7" s="1501" t="s">
        <v>8</v>
      </c>
      <c r="U7" s="1502">
        <f t="shared" ref="U7:U14" si="1">H7</f>
        <v>0</v>
      </c>
      <c r="V7" s="1501" t="s">
        <v>8</v>
      </c>
      <c r="W7" s="1502">
        <f t="shared" ref="W7:W14" si="2">J7</f>
        <v>0</v>
      </c>
      <c r="X7" s="1503"/>
      <c r="Y7" s="3612" t="s">
        <v>522</v>
      </c>
      <c r="Z7" s="3613"/>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3612" t="s">
        <v>525</v>
      </c>
      <c r="Q8" s="3613"/>
      <c r="R8" s="1501" t="s">
        <v>8</v>
      </c>
      <c r="S8" s="1502">
        <f t="shared" si="0"/>
        <v>0</v>
      </c>
      <c r="T8" s="1501" t="s">
        <v>8</v>
      </c>
      <c r="U8" s="1502">
        <f t="shared" si="1"/>
        <v>0</v>
      </c>
      <c r="V8" s="1501" t="s">
        <v>8</v>
      </c>
      <c r="W8" s="1502">
        <f t="shared" si="2"/>
        <v>0</v>
      </c>
      <c r="X8" s="1503"/>
      <c r="Y8" s="3612" t="s">
        <v>525</v>
      </c>
      <c r="Z8" s="3613"/>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581" t="s">
        <v>527</v>
      </c>
      <c r="Q9" s="1132" t="str">
        <f t="shared" ref="Q9:Q14" si="6">B9</f>
        <v>用途</v>
      </c>
      <c r="R9" s="1501" t="s">
        <v>8</v>
      </c>
      <c r="S9" s="1502">
        <f t="shared" si="0"/>
        <v>100</v>
      </c>
      <c r="T9" s="1501" t="s">
        <v>8</v>
      </c>
      <c r="U9" s="1502">
        <f t="shared" si="1"/>
        <v>100</v>
      </c>
      <c r="V9" s="1501" t="s">
        <v>8</v>
      </c>
      <c r="W9" s="1502">
        <f t="shared" si="2"/>
        <v>100</v>
      </c>
      <c r="X9" s="1503"/>
      <c r="Y9" s="3527"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581"/>
      <c r="Q10" s="1132" t="str">
        <f t="shared" si="6"/>
        <v>土地使用年限（年）</v>
      </c>
      <c r="R10" s="1501" t="s">
        <v>8</v>
      </c>
      <c r="S10" s="1502">
        <f t="shared" si="0"/>
        <v>100</v>
      </c>
      <c r="T10" s="1501" t="s">
        <v>8</v>
      </c>
      <c r="U10" s="1502">
        <f t="shared" si="1"/>
        <v>100</v>
      </c>
      <c r="V10" s="1501" t="s">
        <v>8</v>
      </c>
      <c r="W10" s="1502">
        <f t="shared" si="2"/>
        <v>100</v>
      </c>
      <c r="X10" s="1503"/>
      <c r="Y10" s="3527"/>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581"/>
      <c r="Q11" s="1132">
        <f t="shared" si="6"/>
        <v>111</v>
      </c>
      <c r="R11" s="1501" t="s">
        <v>8</v>
      </c>
      <c r="S11" s="1502">
        <f t="shared" si="0"/>
        <v>100</v>
      </c>
      <c r="T11" s="1501" t="s">
        <v>8</v>
      </c>
      <c r="U11" s="1502">
        <f t="shared" si="1"/>
        <v>100</v>
      </c>
      <c r="V11" s="1501" t="s">
        <v>8</v>
      </c>
      <c r="W11" s="1502">
        <f t="shared" si="2"/>
        <v>100</v>
      </c>
      <c r="X11" s="1503"/>
      <c r="Y11" s="3527"/>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581"/>
      <c r="Q12" s="1132">
        <f t="shared" si="6"/>
        <v>111</v>
      </c>
      <c r="R12" s="1501" t="s">
        <v>8</v>
      </c>
      <c r="S12" s="1502">
        <f t="shared" si="0"/>
        <v>100</v>
      </c>
      <c r="T12" s="1501" t="s">
        <v>8</v>
      </c>
      <c r="U12" s="1502">
        <f t="shared" si="1"/>
        <v>100</v>
      </c>
      <c r="V12" s="1501" t="s">
        <v>8</v>
      </c>
      <c r="W12" s="1502">
        <f t="shared" si="2"/>
        <v>100</v>
      </c>
      <c r="X12" s="1503"/>
      <c r="Y12" s="3527"/>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581"/>
      <c r="Q13" s="1132">
        <f t="shared" si="6"/>
        <v>111</v>
      </c>
      <c r="R13" s="1501" t="s">
        <v>8</v>
      </c>
      <c r="S13" s="1502">
        <f t="shared" si="0"/>
        <v>100</v>
      </c>
      <c r="T13" s="1501" t="s">
        <v>8</v>
      </c>
      <c r="U13" s="1502">
        <f t="shared" si="1"/>
        <v>100</v>
      </c>
      <c r="V13" s="1501" t="s">
        <v>8</v>
      </c>
      <c r="W13" s="1502">
        <f t="shared" si="2"/>
        <v>100</v>
      </c>
      <c r="X13" s="1503"/>
      <c r="Y13" s="3527"/>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3615" t="s">
        <v>532</v>
      </c>
      <c r="Q14" s="1505" t="str">
        <f t="shared" si="6"/>
        <v>交通便捷度</v>
      </c>
      <c r="R14" s="1506" t="s">
        <v>8</v>
      </c>
      <c r="S14" s="1507">
        <f t="shared" si="0"/>
        <v>100</v>
      </c>
      <c r="T14" s="1506" t="s">
        <v>8</v>
      </c>
      <c r="U14" s="1507">
        <f t="shared" si="1"/>
        <v>100</v>
      </c>
      <c r="V14" s="1506" t="s">
        <v>8</v>
      </c>
      <c r="W14" s="1507">
        <f t="shared" si="2"/>
        <v>100</v>
      </c>
      <c r="X14" s="1500"/>
      <c r="Y14" s="3615"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3616"/>
      <c r="Q15" s="1505"/>
      <c r="R15" s="1506"/>
      <c r="S15" s="1507"/>
      <c r="T15" s="1506"/>
      <c r="U15" s="1507"/>
      <c r="V15" s="1506"/>
      <c r="W15" s="1507"/>
      <c r="X15" s="1500"/>
      <c r="Y15" s="3616"/>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3616"/>
      <c r="Q16" s="1505" t="str">
        <f>B16</f>
        <v>公共配套设施</v>
      </c>
      <c r="R16" s="1506" t="s">
        <v>8</v>
      </c>
      <c r="S16" s="1507">
        <f>F16</f>
        <v>100</v>
      </c>
      <c r="T16" s="1506" t="s">
        <v>8</v>
      </c>
      <c r="U16" s="1507">
        <f>H16</f>
        <v>100</v>
      </c>
      <c r="V16" s="1506" t="s">
        <v>8</v>
      </c>
      <c r="W16" s="1507">
        <f>J16</f>
        <v>100</v>
      </c>
      <c r="X16" s="1500"/>
      <c r="Y16" s="3616"/>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3616"/>
      <c r="Q17" s="1505"/>
      <c r="R17" s="1506"/>
      <c r="S17" s="1507"/>
      <c r="T17" s="1506"/>
      <c r="U17" s="1507"/>
      <c r="V17" s="1506"/>
      <c r="W17" s="1507"/>
      <c r="X17" s="1500"/>
      <c r="Y17" s="3616"/>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3616"/>
      <c r="Q18" s="2427" t="str">
        <f>B18</f>
        <v>基础设施水平</v>
      </c>
      <c r="R18" s="1506" t="s">
        <v>8</v>
      </c>
      <c r="S18" s="1507">
        <f>F18</f>
        <v>100</v>
      </c>
      <c r="T18" s="1506" t="s">
        <v>8</v>
      </c>
      <c r="U18" s="1507">
        <f>H18</f>
        <v>100</v>
      </c>
      <c r="V18" s="1506" t="s">
        <v>8</v>
      </c>
      <c r="W18" s="1507">
        <f>J18</f>
        <v>100</v>
      </c>
      <c r="X18" s="2429"/>
      <c r="Y18" s="3616"/>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3616"/>
      <c r="Q19" s="2427"/>
      <c r="R19" s="1506"/>
      <c r="S19" s="1507"/>
      <c r="T19" s="1506"/>
      <c r="U19" s="1507"/>
      <c r="V19" s="1506"/>
      <c r="W19" s="1507"/>
      <c r="X19" s="2429"/>
      <c r="Y19" s="3616"/>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3616"/>
      <c r="Q20" s="1505" t="str">
        <f>B20</f>
        <v>自然及人文环境</v>
      </c>
      <c r="R20" s="1506" t="s">
        <v>8</v>
      </c>
      <c r="S20" s="1507">
        <f>F20</f>
        <v>100</v>
      </c>
      <c r="T20" s="1506" t="s">
        <v>8</v>
      </c>
      <c r="U20" s="1507">
        <f>H20</f>
        <v>100</v>
      </c>
      <c r="V20" s="1506" t="s">
        <v>8</v>
      </c>
      <c r="W20" s="1507">
        <f>J20</f>
        <v>100</v>
      </c>
      <c r="X20" s="1500"/>
      <c r="Y20" s="3616"/>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3616"/>
      <c r="Q21" s="1505"/>
      <c r="R21" s="1506"/>
      <c r="S21" s="1507"/>
      <c r="T21" s="1506"/>
      <c r="U21" s="1507"/>
      <c r="V21" s="1506"/>
      <c r="W21" s="1507"/>
      <c r="X21" s="1500"/>
      <c r="Y21" s="3616"/>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3616"/>
      <c r="Q22" s="1505" t="str">
        <f>B22</f>
        <v>楼层</v>
      </c>
      <c r="R22" s="1506" t="s">
        <v>8</v>
      </c>
      <c r="S22" s="1507">
        <f>F22</f>
        <v>100</v>
      </c>
      <c r="T22" s="1506" t="s">
        <v>8</v>
      </c>
      <c r="U22" s="1507">
        <f>H22</f>
        <v>100</v>
      </c>
      <c r="V22" s="1506" t="s">
        <v>8</v>
      </c>
      <c r="W22" s="1507">
        <f>J22</f>
        <v>100</v>
      </c>
      <c r="X22" s="1500"/>
      <c r="Y22" s="3616"/>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3616"/>
      <c r="Q23" s="1505">
        <f>B23</f>
        <v>111</v>
      </c>
      <c r="R23" s="1506" t="s">
        <v>8</v>
      </c>
      <c r="S23" s="1507">
        <f>F23</f>
        <v>100</v>
      </c>
      <c r="T23" s="1506" t="s">
        <v>8</v>
      </c>
      <c r="U23" s="1507">
        <f>H23</f>
        <v>100</v>
      </c>
      <c r="V23" s="1506" t="s">
        <v>8</v>
      </c>
      <c r="W23" s="1507">
        <f>J23</f>
        <v>100</v>
      </c>
      <c r="X23" s="1500"/>
      <c r="Y23" s="3616"/>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3616"/>
      <c r="Q24" s="1505">
        <f t="shared" ref="Q24:Q34" si="11">B24</f>
        <v>111</v>
      </c>
      <c r="R24" s="1506" t="s">
        <v>8</v>
      </c>
      <c r="S24" s="1507">
        <f>F24</f>
        <v>100</v>
      </c>
      <c r="T24" s="1506" t="s">
        <v>8</v>
      </c>
      <c r="U24" s="1507">
        <f>H24</f>
        <v>100</v>
      </c>
      <c r="V24" s="1506" t="s">
        <v>8</v>
      </c>
      <c r="W24" s="1507">
        <f>J24</f>
        <v>100</v>
      </c>
      <c r="X24" s="1500"/>
      <c r="Y24" s="3616"/>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3616"/>
      <c r="Q25" s="1132">
        <f t="shared" si="11"/>
        <v>111</v>
      </c>
      <c r="R25" s="1501" t="s">
        <v>8</v>
      </c>
      <c r="S25" s="1502">
        <f>F25</f>
        <v>100</v>
      </c>
      <c r="T25" s="1501" t="s">
        <v>8</v>
      </c>
      <c r="U25" s="1502">
        <f>H25</f>
        <v>100</v>
      </c>
      <c r="V25" s="1501" t="s">
        <v>8</v>
      </c>
      <c r="W25" s="1502">
        <f>J25</f>
        <v>100</v>
      </c>
      <c r="X25" s="1503"/>
      <c r="Y25" s="3616"/>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3617"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618"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3618"/>
      <c r="Q27" s="1534" t="str">
        <f t="shared" si="11"/>
        <v>成新率</v>
      </c>
      <c r="R27" s="1510" t="s">
        <v>8</v>
      </c>
      <c r="S27" s="1511" t="e">
        <f t="shared" si="12"/>
        <v>#N/A</v>
      </c>
      <c r="T27" s="1510" t="s">
        <v>8</v>
      </c>
      <c r="U27" s="1511" t="e">
        <f t="shared" si="13"/>
        <v>#N/A</v>
      </c>
      <c r="V27" s="1510" t="s">
        <v>8</v>
      </c>
      <c r="W27" s="1511" t="e">
        <f t="shared" si="14"/>
        <v>#N/A</v>
      </c>
      <c r="X27" s="1512"/>
      <c r="Y27" s="3618"/>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3618"/>
      <c r="Q28" s="1505" t="str">
        <f t="shared" si="11"/>
        <v>物业等级</v>
      </c>
      <c r="R28" s="1506" t="s">
        <v>8</v>
      </c>
      <c r="S28" s="1507">
        <f t="shared" si="12"/>
        <v>100</v>
      </c>
      <c r="T28" s="1506" t="s">
        <v>8</v>
      </c>
      <c r="U28" s="1507">
        <f t="shared" si="13"/>
        <v>100</v>
      </c>
      <c r="V28" s="1506" t="s">
        <v>8</v>
      </c>
      <c r="W28" s="1507">
        <f t="shared" si="14"/>
        <v>100</v>
      </c>
      <c r="X28" s="1500"/>
      <c r="Y28" s="3618"/>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3618"/>
      <c r="Q29" s="1505" t="str">
        <f t="shared" si="11"/>
        <v>有无电梯</v>
      </c>
      <c r="R29" s="1506" t="s">
        <v>8</v>
      </c>
      <c r="S29" s="1507">
        <f t="shared" si="12"/>
        <v>100</v>
      </c>
      <c r="T29" s="1506" t="s">
        <v>8</v>
      </c>
      <c r="U29" s="1507">
        <f t="shared" si="13"/>
        <v>100</v>
      </c>
      <c r="V29" s="1506" t="s">
        <v>8</v>
      </c>
      <c r="W29" s="1507">
        <f t="shared" si="14"/>
        <v>100</v>
      </c>
      <c r="X29" s="1500"/>
      <c r="Y29" s="3618"/>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3618"/>
      <c r="Q30" s="1505" t="str">
        <f t="shared" si="11"/>
        <v>建筑面积</v>
      </c>
      <c r="R30" s="1506" t="s">
        <v>8</v>
      </c>
      <c r="S30" s="1507" t="e">
        <f t="shared" si="12"/>
        <v>#N/A</v>
      </c>
      <c r="T30" s="1506" t="s">
        <v>8</v>
      </c>
      <c r="U30" s="1507" t="e">
        <f t="shared" si="13"/>
        <v>#N/A</v>
      </c>
      <c r="V30" s="1506" t="s">
        <v>8</v>
      </c>
      <c r="W30" s="1507" t="e">
        <f t="shared" si="14"/>
        <v>#N/A</v>
      </c>
      <c r="X30" s="1500"/>
      <c r="Y30" s="3618"/>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3618"/>
      <c r="Q31" s="1132" t="str">
        <f t="shared" si="11"/>
        <v>是否封闭</v>
      </c>
      <c r="R31" s="1501" t="s">
        <v>8</v>
      </c>
      <c r="S31" s="1502">
        <f t="shared" si="12"/>
        <v>100</v>
      </c>
      <c r="T31" s="1501" t="s">
        <v>8</v>
      </c>
      <c r="U31" s="1502">
        <f t="shared" si="13"/>
        <v>100</v>
      </c>
      <c r="V31" s="1501" t="s">
        <v>8</v>
      </c>
      <c r="W31" s="1502">
        <f t="shared" si="14"/>
        <v>100</v>
      </c>
      <c r="X31" s="1503"/>
      <c r="Y31" s="3618"/>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3618" t="s">
        <v>542</v>
      </c>
      <c r="Q32" s="1505">
        <f t="shared" si="11"/>
        <v>111</v>
      </c>
      <c r="R32" s="1506" t="s">
        <v>8</v>
      </c>
      <c r="S32" s="1507">
        <f t="shared" si="12"/>
        <v>100</v>
      </c>
      <c r="T32" s="1506" t="s">
        <v>8</v>
      </c>
      <c r="U32" s="1507">
        <f t="shared" si="13"/>
        <v>100</v>
      </c>
      <c r="V32" s="1506" t="s">
        <v>8</v>
      </c>
      <c r="W32" s="1507">
        <f t="shared" si="14"/>
        <v>100</v>
      </c>
      <c r="X32" s="1500"/>
      <c r="Y32" s="3618"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3618"/>
      <c r="Q33" s="1505">
        <f t="shared" si="11"/>
        <v>111</v>
      </c>
      <c r="R33" s="1506" t="s">
        <v>8</v>
      </c>
      <c r="S33" s="1507">
        <f t="shared" si="12"/>
        <v>100</v>
      </c>
      <c r="T33" s="1506" t="s">
        <v>8</v>
      </c>
      <c r="U33" s="1507">
        <f t="shared" si="13"/>
        <v>100</v>
      </c>
      <c r="V33" s="1506" t="s">
        <v>8</v>
      </c>
      <c r="W33" s="1507">
        <f t="shared" si="14"/>
        <v>100</v>
      </c>
      <c r="X33" s="1500"/>
      <c r="Y33" s="3618"/>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3618"/>
      <c r="Q34" s="1505">
        <f t="shared" si="11"/>
        <v>111</v>
      </c>
      <c r="R34" s="1506" t="s">
        <v>8</v>
      </c>
      <c r="S34" s="1507">
        <f t="shared" si="12"/>
        <v>100</v>
      </c>
      <c r="T34" s="1506" t="s">
        <v>8</v>
      </c>
      <c r="U34" s="1507">
        <f t="shared" si="13"/>
        <v>100</v>
      </c>
      <c r="V34" s="1506" t="s">
        <v>8</v>
      </c>
      <c r="W34" s="1507">
        <f t="shared" si="14"/>
        <v>100</v>
      </c>
      <c r="X34" s="1500"/>
      <c r="Y34" s="3618"/>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581" t="str">
        <f>A35</f>
        <v>成交单价（元/平方米）</v>
      </c>
      <c r="Q35" s="3581"/>
      <c r="R35" s="3697">
        <f>E35</f>
        <v>0</v>
      </c>
      <c r="S35" s="3697"/>
      <c r="T35" s="3697">
        <f>G35</f>
        <v>0</v>
      </c>
      <c r="U35" s="3697"/>
      <c r="V35" s="3697">
        <f>I35</f>
        <v>0</v>
      </c>
      <c r="W35" s="3697"/>
      <c r="X35" s="1495"/>
      <c r="Y35" s="1514"/>
      <c r="Z35" s="1495"/>
      <c r="AA35" s="1495"/>
      <c r="AB35" s="1495"/>
      <c r="AC35" s="1495"/>
    </row>
    <row r="36" spans="1:29" ht="15.75" thickBot="1">
      <c r="A36" s="607" t="s">
        <v>2738</v>
      </c>
      <c r="B36" s="875"/>
      <c r="C36" s="2474" t="e">
        <f>R37</f>
        <v>#DIV/0!</v>
      </c>
      <c r="D36" s="3012" t="s">
        <v>2964</v>
      </c>
      <c r="E36" s="2475" t="e">
        <f>R36</f>
        <v>#DIV/0!</v>
      </c>
      <c r="F36" s="3013"/>
      <c r="G36" s="2474" t="e">
        <f>T36</f>
        <v>#DIV/0!</v>
      </c>
      <c r="H36" s="3013"/>
      <c r="I36" s="2475" t="e">
        <f>V36</f>
        <v>#DIV/0!</v>
      </c>
      <c r="J36" s="3013"/>
      <c r="K36" s="3021">
        <f>F36+H36+J36</f>
        <v>0</v>
      </c>
      <c r="L36" s="2024"/>
      <c r="M36" s="2025"/>
      <c r="N36" s="2014"/>
      <c r="O36" s="2025"/>
      <c r="P36" s="3581" t="str">
        <f>A36</f>
        <v>比较价格（元/平方米）</v>
      </c>
      <c r="Q36" s="3581"/>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578" t="str">
        <f>A37</f>
        <v>估价对象XX用房的比较价格（楼面单价，元/平方米）</v>
      </c>
      <c r="Q37" s="3579"/>
      <c r="R37" s="3696" t="e">
        <f>IF(F1="售价",ROUND(IF(D36="简单平均",AVERAGE(R36:W36),R36*F36+T36*H36+V36*J36),0),ROUND(IF(D36="简单平均",AVERAGE(R36:V36),R36*F36+T36*H36+V36*J36),1))</f>
        <v>#DIV/0!</v>
      </c>
      <c r="S37" s="3696"/>
      <c r="T37" s="3696"/>
      <c r="U37" s="3696"/>
      <c r="V37" s="3696"/>
      <c r="W37" s="3696"/>
      <c r="X37" s="1495"/>
      <c r="Y37" s="1495"/>
      <c r="Z37" s="1495"/>
      <c r="AA37" s="1495"/>
      <c r="AB37" s="1495"/>
      <c r="AC37" s="1495"/>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2021-8</v>
      </c>
      <c r="D46" s="2519">
        <f>EDATE(C46,-1)</f>
        <v>44378</v>
      </c>
      <c r="E46" s="2519">
        <f t="shared" ref="E46:O46" si="16">EDATE(D46,-1)</f>
        <v>44348</v>
      </c>
      <c r="F46" s="2519">
        <f t="shared" si="16"/>
        <v>44317</v>
      </c>
      <c r="G46" s="2519">
        <f t="shared" si="16"/>
        <v>44287</v>
      </c>
      <c r="H46" s="2519">
        <f t="shared" si="16"/>
        <v>44256</v>
      </c>
      <c r="I46" s="2519">
        <f t="shared" si="16"/>
        <v>44228</v>
      </c>
      <c r="J46" s="2519">
        <f t="shared" si="16"/>
        <v>44197</v>
      </c>
      <c r="K46" s="2519">
        <f t="shared" si="16"/>
        <v>44166</v>
      </c>
      <c r="L46" s="2519">
        <f t="shared" si="16"/>
        <v>44136</v>
      </c>
      <c r="M46" s="2519">
        <f t="shared" si="16"/>
        <v>44105</v>
      </c>
      <c r="N46" s="2519">
        <f t="shared" si="16"/>
        <v>44075</v>
      </c>
      <c r="O46" s="2519">
        <f t="shared" si="16"/>
        <v>44044</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2" t="s">
        <v>2024</v>
      </c>
      <c r="B1" s="3402"/>
      <c r="C1" s="3402"/>
      <c r="D1" s="3402"/>
      <c r="E1" s="3402"/>
      <c r="F1" s="3402"/>
      <c r="G1" s="3402"/>
      <c r="H1" s="3402"/>
      <c r="I1" s="3402"/>
      <c r="J1" s="3402"/>
      <c r="K1" s="3402"/>
      <c r="L1" s="3402"/>
      <c r="M1" s="3402"/>
      <c r="N1" s="3402"/>
      <c r="O1" s="3402"/>
      <c r="P1" s="3402"/>
      <c r="Q1" s="3402"/>
      <c r="R1" s="3402"/>
    </row>
    <row r="2" spans="1:18">
      <c r="A2" s="1720" t="s">
        <v>2026</v>
      </c>
      <c r="B2" s="1720"/>
      <c r="C2" s="1720"/>
      <c r="D2" s="1720"/>
      <c r="E2" s="1720"/>
      <c r="F2" s="1720"/>
      <c r="G2" s="1720"/>
      <c r="H2" s="1720"/>
      <c r="I2" s="1721"/>
      <c r="J2" s="1721"/>
      <c r="K2" s="1722" t="str">
        <f>"估价期日："&amp;TEXT(项目基本情况!D3,"yyyy年m月d日;;")</f>
        <v>估价期日：2021年8月16日</v>
      </c>
      <c r="L2" s="1720"/>
      <c r="M2" s="1720"/>
      <c r="N2" s="1720"/>
      <c r="O2" s="1720"/>
      <c r="P2" s="1720"/>
      <c r="Q2" s="1720"/>
      <c r="R2" s="1722" t="str">
        <f>"估价期日的国有建设用地使用权性质："&amp;项目基本情况!B16</f>
        <v>估价期日的国有建设用地使用权性质：</v>
      </c>
    </row>
    <row r="3" spans="1:18" ht="23.25" customHeight="1">
      <c r="A3" s="3403" t="s">
        <v>2015</v>
      </c>
      <c r="B3" s="3403" t="s">
        <v>2709</v>
      </c>
      <c r="C3" s="3404" t="s">
        <v>2016</v>
      </c>
      <c r="D3" s="3403" t="s">
        <v>2713</v>
      </c>
      <c r="E3" s="3406" t="s">
        <v>2017</v>
      </c>
      <c r="F3" s="3406"/>
      <c r="G3" s="3406"/>
      <c r="H3" s="3406" t="s">
        <v>2018</v>
      </c>
      <c r="I3" s="3406"/>
      <c r="J3" s="3406"/>
      <c r="K3" s="3404" t="s">
        <v>2019</v>
      </c>
      <c r="L3" s="3404" t="s">
        <v>2020</v>
      </c>
      <c r="M3" s="3403" t="s">
        <v>2710</v>
      </c>
      <c r="N3" s="3405" t="str">
        <f>"（分摊）"&amp;项目基本情况!B16&amp;"国有建设用地使用权面积/㎡"</f>
        <v>（分摊）国有建设用地使用权面积/㎡</v>
      </c>
      <c r="O3" s="3403" t="s">
        <v>2049</v>
      </c>
      <c r="P3" s="3404" t="s">
        <v>2029</v>
      </c>
      <c r="Q3" s="3404" t="s">
        <v>2050</v>
      </c>
      <c r="R3" s="3404" t="s">
        <v>2021</v>
      </c>
    </row>
    <row r="4" spans="1:18" ht="36.75" customHeight="1">
      <c r="A4" s="3403"/>
      <c r="B4" s="3403"/>
      <c r="C4" s="3404"/>
      <c r="D4" s="3403"/>
      <c r="E4" s="2489" t="s">
        <v>2028</v>
      </c>
      <c r="F4" s="2489" t="s">
        <v>2722</v>
      </c>
      <c r="G4" s="2489" t="s">
        <v>2022</v>
      </c>
      <c r="H4" s="2489" t="s">
        <v>2023</v>
      </c>
      <c r="I4" s="2489" t="s">
        <v>2723</v>
      </c>
      <c r="J4" s="2489" t="s">
        <v>2022</v>
      </c>
      <c r="K4" s="3404"/>
      <c r="L4" s="3404"/>
      <c r="M4" s="3403"/>
      <c r="N4" s="3405"/>
      <c r="O4" s="3403"/>
      <c r="P4" s="3404"/>
      <c r="Q4" s="3404"/>
      <c r="R4" s="3404"/>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5500.65</v>
      </c>
      <c r="O5" s="1723">
        <f>项目基本情况!C21</f>
        <v>30803.628000000001</v>
      </c>
      <c r="P5" s="1723">
        <f ca="1">结果表!E42</f>
        <v>36576</v>
      </c>
      <c r="Q5" s="1723">
        <f ca="1">结果表!D42</f>
        <v>6531</v>
      </c>
      <c r="R5" s="1724">
        <f ca="1">结果表!C42</f>
        <v>20119</v>
      </c>
    </row>
    <row r="6" spans="1:18">
      <c r="A6" s="3407" t="str">
        <f>IF(项目基本情况!B9="市场价格","——","抵押价格")</f>
        <v>抵押价格</v>
      </c>
      <c r="B6" s="3408"/>
      <c r="C6" s="3408"/>
      <c r="D6" s="3408"/>
      <c r="E6" s="3408"/>
      <c r="F6" s="3408"/>
      <c r="G6" s="3408"/>
      <c r="H6" s="3408"/>
      <c r="I6" s="3408"/>
      <c r="J6" s="3408"/>
      <c r="K6" s="3408"/>
      <c r="L6" s="3408"/>
      <c r="M6" s="3408"/>
      <c r="N6" s="3408"/>
      <c r="O6" s="3408"/>
      <c r="P6" s="3408"/>
      <c r="Q6" s="3409"/>
      <c r="R6" s="1725" t="str">
        <f>结果表!O39</f>
        <v>——</v>
      </c>
    </row>
    <row r="7" spans="1:18">
      <c r="A7" s="3407" t="str">
        <f>IF(项目基本情况!B9="市场价格","——",IF(项目基本情况!E8="已注销及未注销","抵押担保权已注销时的抵押价格","——"))</f>
        <v>——</v>
      </c>
      <c r="B7" s="3408"/>
      <c r="C7" s="3408"/>
      <c r="D7" s="3408"/>
      <c r="E7" s="3408"/>
      <c r="F7" s="3408"/>
      <c r="G7" s="3408"/>
      <c r="H7" s="3408"/>
      <c r="I7" s="3408"/>
      <c r="J7" s="3408"/>
      <c r="K7" s="3408"/>
      <c r="L7" s="3408"/>
      <c r="M7" s="3408"/>
      <c r="N7" s="3408"/>
      <c r="O7" s="3408"/>
      <c r="P7" s="3408"/>
      <c r="Q7" s="3409"/>
      <c r="R7" s="1725" t="str">
        <f>结果表!O40</f>
        <v>——</v>
      </c>
    </row>
    <row r="8" spans="1:18">
      <c r="A8" s="3407">
        <f>IF(项目基本情况!B9="市场价格","——",项目基本情况!E9)</f>
        <v>0</v>
      </c>
      <c r="B8" s="3408"/>
      <c r="C8" s="3408"/>
      <c r="D8" s="3408"/>
      <c r="E8" s="3408"/>
      <c r="F8" s="3408"/>
      <c r="G8" s="3408"/>
      <c r="H8" s="3408"/>
      <c r="I8" s="3408"/>
      <c r="J8" s="3408"/>
      <c r="K8" s="3408"/>
      <c r="L8" s="3408"/>
      <c r="M8" s="3408"/>
      <c r="N8" s="3408"/>
      <c r="O8" s="3408"/>
      <c r="P8" s="3408"/>
      <c r="Q8" s="3409"/>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3711" t="s">
        <v>2289</v>
      </c>
      <c r="D1" s="3712"/>
      <c r="E1" s="3712"/>
      <c r="F1" s="3712"/>
      <c r="G1" s="3712"/>
      <c r="H1" s="3712"/>
      <c r="I1" s="3712"/>
      <c r="J1" s="3712"/>
      <c r="K1" s="3712"/>
      <c r="L1" s="3712"/>
      <c r="M1" s="3712"/>
      <c r="N1" s="3712"/>
      <c r="O1" s="3712"/>
      <c r="P1" s="3712"/>
      <c r="Q1" s="3712"/>
      <c r="R1" s="3712"/>
      <c r="S1" s="3713"/>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3708" t="s">
        <v>20</v>
      </c>
      <c r="D22" s="3709"/>
      <c r="E22" s="3709"/>
      <c r="F22" s="3709"/>
      <c r="G22" s="3709"/>
      <c r="H22" s="3709"/>
      <c r="I22" s="3709"/>
      <c r="J22" s="3709"/>
      <c r="K22" s="3709"/>
      <c r="L22" s="3709"/>
      <c r="M22" s="3709"/>
      <c r="N22" s="3709"/>
      <c r="O22" s="3709"/>
      <c r="P22" s="3709"/>
      <c r="Q22" s="3710"/>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74">
        <v>1</v>
      </c>
      <c r="D24" s="3275"/>
      <c r="E24" s="3274">
        <v>1</v>
      </c>
      <c r="F24" s="3275"/>
      <c r="G24" s="3274">
        <v>1</v>
      </c>
      <c r="H24" s="3275"/>
      <c r="I24" s="3274">
        <v>1</v>
      </c>
      <c r="J24" s="3275"/>
      <c r="K24" s="3274">
        <v>1</v>
      </c>
      <c r="L24" s="3275"/>
      <c r="M24" s="3274">
        <v>1</v>
      </c>
      <c r="N24" s="3275"/>
      <c r="O24" s="3274">
        <v>1</v>
      </c>
      <c r="P24" s="3275"/>
      <c r="Q24" s="3274">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44424</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1.5</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411" t="s">
        <v>2051</v>
      </c>
      <c r="B1" s="3411"/>
      <c r="C1" s="3411"/>
      <c r="D1" s="3411"/>
    </row>
    <row r="2" spans="1:4" ht="47.25" customHeight="1">
      <c r="A2" s="3412" t="str">
        <f>"1.权利限制："&amp;项目基本情况!L24&amp;"未设定租赁等其他他项权利。"</f>
        <v>1.权利限制：根据估价对象《不动产权证书》原件、《国有土地使用权》复印件，截至估价期日，估价对象抵押权未见登记。未设定租赁等其他他项权利。</v>
      </c>
      <c r="B2" s="3412"/>
      <c r="C2" s="3412"/>
      <c r="D2" s="3412"/>
    </row>
    <row r="3" spans="1:4" ht="48" customHeight="1">
      <c r="A3" s="34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1"/>
      <c r="C3" s="3411"/>
      <c r="D3" s="3411"/>
    </row>
    <row r="4" spans="1:4" ht="36.75" customHeight="1">
      <c r="A4" s="3411" t="str">
        <f>"3.估价规划限制条件：详见"&amp;项目基本情况!E21&amp;"。"</f>
        <v>3.估价规划限制条件：详见《建设工程规划许可证》[]、《出让合同》[]。</v>
      </c>
      <c r="B4" s="3411"/>
      <c r="C4" s="3411"/>
      <c r="D4" s="3411"/>
    </row>
    <row r="5" spans="1:4">
      <c r="A5" s="3410" t="s">
        <v>2052</v>
      </c>
      <c r="B5" s="3410"/>
      <c r="C5" s="3410"/>
      <c r="D5" s="3410"/>
    </row>
    <row r="6" spans="1:4">
      <c r="A6" s="3411" t="s">
        <v>2030</v>
      </c>
      <c r="B6" s="3411"/>
      <c r="C6" s="3411"/>
      <c r="D6" s="3411"/>
    </row>
    <row r="7" spans="1:4" ht="33" customHeight="1">
      <c r="A7" s="3411" t="s">
        <v>2553</v>
      </c>
      <c r="B7" s="3411"/>
      <c r="C7" s="3411"/>
      <c r="D7" s="3411"/>
    </row>
    <row r="8" spans="1:4" ht="32.25" customHeight="1">
      <c r="A8" s="34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11"/>
      <c r="C8" s="3411"/>
      <c r="D8" s="3411"/>
    </row>
    <row r="9" spans="1:4" ht="33.75" customHeight="1">
      <c r="A9" s="3411" t="str">
        <f>IF(项目基本情况!B8="抵押","3.抵押双方在办理抵押登记手续时，应使用本公司出具的正式《土地估价报告》，特提请报告使用者注意。","——")</f>
        <v>——</v>
      </c>
      <c r="B9" s="3411"/>
      <c r="C9" s="3411"/>
      <c r="D9" s="3411"/>
    </row>
    <row r="10" spans="1:4">
      <c r="A10" s="3411" t="str">
        <f>IF(项目基本情况!B8="抵押","4.估价师所知悉的法定优先受偿款情况为：","——")</f>
        <v>——</v>
      </c>
      <c r="B10" s="3411"/>
      <c r="C10" s="3411"/>
      <c r="D10" s="3411"/>
    </row>
    <row r="11" spans="1:4" ht="37.5" customHeight="1">
      <c r="A11" s="3413" t="str">
        <f>IF(项目基本情况!B8="抵押","（1）"&amp;CONCATENATE(项目基本情况!L24,项目基本情况!L25,项目基本情况!L26),"——")</f>
        <v>——</v>
      </c>
      <c r="B11" s="3413"/>
      <c r="C11" s="3413"/>
      <c r="D11" s="3413"/>
    </row>
    <row r="12" spans="1:4" ht="168" customHeight="1">
      <c r="A12" s="3410" t="s">
        <v>2054</v>
      </c>
      <c r="B12" s="3410"/>
      <c r="C12" s="3410"/>
      <c r="D12" s="3410"/>
    </row>
    <row r="13" spans="1:4">
      <c r="A13" s="3414" t="s">
        <v>2724</v>
      </c>
      <c r="B13" s="3414"/>
      <c r="C13" s="3414"/>
      <c r="D13" s="3414"/>
    </row>
    <row r="14" spans="1:4">
      <c r="A14" s="3413" t="str">
        <f>IF(项目基本情况!B8="抵押","综上，"&amp;结果表!K47,"——")</f>
        <v>——</v>
      </c>
      <c r="B14" s="3413"/>
      <c r="C14" s="3413"/>
      <c r="D14" s="3413"/>
    </row>
    <row r="15" spans="1:4" ht="58.5" customHeight="1">
      <c r="A15" s="34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1"/>
      <c r="C15" s="3411"/>
      <c r="D15" s="3411"/>
    </row>
    <row r="16" spans="1:4" ht="70.5" customHeight="1">
      <c r="A16" s="34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1"/>
      <c r="C16" s="3411"/>
      <c r="D16" s="3411"/>
    </row>
    <row r="17" spans="1:4">
      <c r="A17" s="3411" t="s">
        <v>2680</v>
      </c>
      <c r="B17" s="3411"/>
      <c r="C17" s="3411"/>
      <c r="D17" s="3411"/>
    </row>
    <row r="18" spans="1:4">
      <c r="A18" s="3411" t="s">
        <v>2672</v>
      </c>
      <c r="B18" s="3411"/>
      <c r="C18" s="3411"/>
      <c r="D18" s="3411"/>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411" t="s">
        <v>2677</v>
      </c>
      <c r="B23" s="3411"/>
      <c r="C23" s="3411"/>
      <c r="D23" s="3411"/>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422" t="s">
        <v>53</v>
      </c>
      <c r="B15" s="3423" t="s">
        <v>836</v>
      </c>
      <c r="C15" s="3419"/>
    </row>
    <row r="16" spans="1:7" ht="14.25">
      <c r="A16" s="3422"/>
      <c r="B16" s="3420" t="s">
        <v>54</v>
      </c>
      <c r="C16" s="1153" t="s">
        <v>53</v>
      </c>
    </row>
    <row r="17" spans="1:3" ht="14.25">
      <c r="A17" s="3422"/>
      <c r="B17" s="3420"/>
      <c r="C17" s="1153" t="s">
        <v>55</v>
      </c>
    </row>
    <row r="18" spans="1:3" ht="14.25">
      <c r="A18" s="3422"/>
      <c r="B18" s="3420"/>
      <c r="C18" s="1153" t="s">
        <v>56</v>
      </c>
    </row>
    <row r="19" spans="1:3" ht="14.25">
      <c r="A19" s="3422"/>
      <c r="B19" s="3418" t="s">
        <v>57</v>
      </c>
      <c r="C19" s="3419"/>
    </row>
    <row r="20" spans="1:3" ht="14.25">
      <c r="A20" s="1154" t="s">
        <v>58</v>
      </c>
      <c r="B20" s="1155"/>
      <c r="C20" s="1156"/>
    </row>
    <row r="21" spans="1:3" ht="14.25">
      <c r="A21" s="3421" t="s">
        <v>59</v>
      </c>
      <c r="B21" s="3418" t="s">
        <v>60</v>
      </c>
      <c r="C21" s="3419"/>
    </row>
    <row r="22" spans="1:3" ht="14.25">
      <c r="A22" s="3421"/>
      <c r="B22" s="3418" t="s">
        <v>61</v>
      </c>
      <c r="C22" s="3419"/>
    </row>
    <row r="23" spans="1:3" ht="14.25">
      <c r="A23" s="3421"/>
      <c r="B23" s="3418" t="s">
        <v>62</v>
      </c>
      <c r="C23" s="3419"/>
    </row>
    <row r="24" spans="1:3" ht="14.25">
      <c r="A24" s="3421"/>
      <c r="B24" s="3424" t="s">
        <v>63</v>
      </c>
      <c r="C24" s="1157" t="s">
        <v>827</v>
      </c>
    </row>
    <row r="25" spans="1:3" ht="14.25">
      <c r="A25" s="3421"/>
      <c r="B25" s="3425"/>
      <c r="C25" s="1157" t="s">
        <v>828</v>
      </c>
    </row>
    <row r="26" spans="1:3" ht="14.25">
      <c r="A26" s="3421"/>
      <c r="B26" s="3425"/>
      <c r="C26" s="1157" t="s">
        <v>829</v>
      </c>
    </row>
    <row r="27" spans="1:3" ht="14.25">
      <c r="A27" s="3421"/>
      <c r="B27" s="3425"/>
      <c r="C27" s="1157" t="s">
        <v>830</v>
      </c>
    </row>
    <row r="28" spans="1:3" ht="14.25">
      <c r="A28" s="3421"/>
      <c r="B28" s="3425"/>
      <c r="C28" s="1157" t="s">
        <v>831</v>
      </c>
    </row>
    <row r="29" spans="1:3" ht="14.25">
      <c r="A29" s="3421"/>
      <c r="B29" s="3425"/>
      <c r="C29" s="1157" t="s">
        <v>832</v>
      </c>
    </row>
    <row r="30" spans="1:3" ht="14.25">
      <c r="A30" s="3421"/>
      <c r="B30" s="3425"/>
      <c r="C30" s="1157" t="s">
        <v>833</v>
      </c>
    </row>
    <row r="31" spans="1:3" ht="14.25">
      <c r="A31" s="3421"/>
      <c r="B31" s="3425"/>
      <c r="C31" s="1157" t="s">
        <v>834</v>
      </c>
    </row>
    <row r="32" spans="1:3" ht="14.25">
      <c r="A32" s="3421"/>
      <c r="B32" s="3425"/>
      <c r="C32" s="1157" t="s">
        <v>1634</v>
      </c>
    </row>
    <row r="33" spans="1:3" ht="14.25">
      <c r="A33" s="3421"/>
      <c r="B33" s="3415" t="s">
        <v>1640</v>
      </c>
      <c r="C33" s="1157" t="s">
        <v>1635</v>
      </c>
    </row>
    <row r="34" spans="1:3" ht="14.25">
      <c r="A34" s="3421"/>
      <c r="B34" s="3416"/>
      <c r="C34" s="1162" t="s">
        <v>1636</v>
      </c>
    </row>
    <row r="35" spans="1:3" ht="14.25">
      <c r="A35" s="3421"/>
      <c r="B35" s="3416"/>
      <c r="C35" s="1163" t="s">
        <v>1637</v>
      </c>
    </row>
    <row r="36" spans="1:3" ht="14.25">
      <c r="A36" s="3421"/>
      <c r="B36" s="3416"/>
      <c r="C36" s="1163" t="s">
        <v>1638</v>
      </c>
    </row>
    <row r="37" spans="1:3" ht="14.25">
      <c r="A37" s="3421"/>
      <c r="B37" s="3417"/>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1895</v>
      </c>
      <c r="B2" s="3025">
        <f ca="1">TODAY()</f>
        <v>44428</v>
      </c>
      <c r="C2" s="3026" t="s">
        <v>1896</v>
      </c>
      <c r="D2" s="3026"/>
      <c r="E2" s="3023"/>
      <c r="F2" s="3023"/>
      <c r="G2" s="3023"/>
    </row>
    <row r="3" spans="1:7" ht="20.25" customHeight="1">
      <c r="A3" s="3047" t="s">
        <v>1897</v>
      </c>
      <c r="B3" s="3028" t="s">
        <v>1898</v>
      </c>
      <c r="C3" s="3029" t="s">
        <v>1899</v>
      </c>
      <c r="D3" s="3048" t="s">
        <v>1900</v>
      </c>
      <c r="E3" s="3028" t="s">
        <v>1901</v>
      </c>
      <c r="F3" s="3028" t="s">
        <v>1899</v>
      </c>
      <c r="G3" s="3023"/>
    </row>
    <row r="4" spans="1:7" ht="20.25" customHeight="1">
      <c r="A4" s="3028" t="s">
        <v>1902</v>
      </c>
      <c r="B4" s="3028">
        <f ca="1">IF(C4&lt;B2,"已过期",1119970066)</f>
        <v>1119970066</v>
      </c>
      <c r="C4" s="3031">
        <v>44876</v>
      </c>
      <c r="D4" s="3039" t="s">
        <v>1902</v>
      </c>
      <c r="E4" s="3028">
        <f ca="1">IF(F4&lt;B2,"已过期",96010014)</f>
        <v>96010014</v>
      </c>
      <c r="F4" s="3030">
        <v>47118</v>
      </c>
      <c r="G4" s="3023"/>
    </row>
    <row r="5" spans="1:7" ht="20.25" customHeight="1">
      <c r="A5" s="3028" t="s">
        <v>1903</v>
      </c>
      <c r="B5" s="3028">
        <f ca="1">IF(C5&lt;B2,"已过期",1119970111)</f>
        <v>1119970111</v>
      </c>
      <c r="C5" s="3031">
        <v>44876</v>
      </c>
      <c r="D5" s="3039" t="s">
        <v>1903</v>
      </c>
      <c r="E5" s="3028">
        <f ca="1">IF(F5&lt;B2,"已过期",94010078)</f>
        <v>94010078</v>
      </c>
      <c r="F5" s="3030">
        <v>46387</v>
      </c>
      <c r="G5" s="3023"/>
    </row>
    <row r="6" spans="1:7" ht="20.25" customHeight="1">
      <c r="A6" s="3028" t="s">
        <v>1904</v>
      </c>
      <c r="B6" s="3028" t="str">
        <f ca="1">IF(C6&lt;B2,"已过期",1120050019)</f>
        <v>已过期</v>
      </c>
      <c r="C6" s="3031">
        <v>44395</v>
      </c>
      <c r="D6" s="3039" t="s">
        <v>1904</v>
      </c>
      <c r="E6" s="3028">
        <f ca="1">IF(F6&lt;B2,"已过期",2002110030)</f>
        <v>2002110030</v>
      </c>
      <c r="F6" s="3030">
        <v>46387</v>
      </c>
      <c r="G6" s="3023"/>
    </row>
    <row r="7" spans="1:7" ht="20.25" customHeight="1">
      <c r="A7" s="3028" t="s">
        <v>1905</v>
      </c>
      <c r="B7" s="3028">
        <f ca="1">IF(C7&lt;B2,"已过期",1120000080)</f>
        <v>1120000080</v>
      </c>
      <c r="C7" s="3031">
        <v>44876</v>
      </c>
      <c r="D7" s="3039" t="s">
        <v>1905</v>
      </c>
      <c r="E7" s="3028">
        <f ca="1">IF(F7&lt;B2,"已过期",2000110082)</f>
        <v>2000110082</v>
      </c>
      <c r="F7" s="3030">
        <v>46387</v>
      </c>
      <c r="G7" s="3023"/>
    </row>
    <row r="8" spans="1:7" ht="20.25" customHeight="1">
      <c r="A8" s="3028" t="s">
        <v>1906</v>
      </c>
      <c r="B8" s="3028">
        <f ca="1">IF(C8&lt;B2,"已过期",1419970001)</f>
        <v>1419970001</v>
      </c>
      <c r="C8" s="3031">
        <v>44899</v>
      </c>
      <c r="D8" s="3039" t="s">
        <v>1906</v>
      </c>
      <c r="E8" s="3028">
        <f ca="1">IF(F8&lt;B2,"已过期",2002110125)</f>
        <v>2002110125</v>
      </c>
      <c r="F8" s="3030">
        <v>47118</v>
      </c>
      <c r="G8" s="3023"/>
    </row>
    <row r="9" spans="1:7" ht="20.25" customHeight="1">
      <c r="A9" s="3028" t="s">
        <v>1907</v>
      </c>
      <c r="B9" s="3028">
        <f ca="1">IF(C9&lt;B2,"已过期",1120060040)</f>
        <v>1120060040</v>
      </c>
      <c r="C9" s="3031">
        <v>44554</v>
      </c>
      <c r="D9" s="3039" t="s">
        <v>1907</v>
      </c>
      <c r="E9" s="3028">
        <f ca="1">IF(F9&lt;B2,"已过期",2004110096)</f>
        <v>2004110096</v>
      </c>
      <c r="F9" s="3030">
        <v>47118</v>
      </c>
      <c r="G9" s="3023"/>
    </row>
    <row r="10" spans="1:7" ht="20.25" customHeight="1">
      <c r="A10" s="3028" t="s">
        <v>1908</v>
      </c>
      <c r="B10" s="3028">
        <f ca="1">IF(C10&lt;B2,"已过期",1120100036)</f>
        <v>1120100036</v>
      </c>
      <c r="C10" s="3031">
        <v>44675</v>
      </c>
      <c r="D10" s="3039" t="s">
        <v>1908</v>
      </c>
      <c r="E10" s="3028">
        <f ca="1">IF(F10&lt;B2,"已过期",2010110070)</f>
        <v>2010110070</v>
      </c>
      <c r="F10" s="3030">
        <v>47907</v>
      </c>
      <c r="G10" s="3023"/>
    </row>
    <row r="11" spans="1:7" ht="20.25" customHeight="1">
      <c r="A11" s="3028" t="s">
        <v>1909</v>
      </c>
      <c r="B11" s="3028">
        <f ca="1">IF(C11&lt;B2,"已过期",1120070131)</f>
        <v>1120070131</v>
      </c>
      <c r="C11" s="3031">
        <v>44849</v>
      </c>
      <c r="D11" s="3039" t="s">
        <v>1909</v>
      </c>
      <c r="E11" s="3028">
        <f ca="1">IF(F11&lt;B2,"已过期",2014110011)</f>
        <v>2014110011</v>
      </c>
      <c r="F11" s="3030">
        <v>49302</v>
      </c>
      <c r="G11" s="3023"/>
    </row>
    <row r="12" spans="1:7" ht="20.25" customHeight="1">
      <c r="A12" s="3028" t="s">
        <v>2940</v>
      </c>
      <c r="B12" s="3028">
        <f ca="1">IF(C12&lt;B2,"已过期",1120040230)</f>
        <v>1120040230</v>
      </c>
      <c r="C12" s="3031">
        <v>44864</v>
      </c>
      <c r="D12" s="3039" t="s">
        <v>2941</v>
      </c>
      <c r="E12" s="3028">
        <f ca="1">IF(F12&lt;B2,"已过期",98030020)</f>
        <v>98030020</v>
      </c>
      <c r="F12" s="3030">
        <v>47118</v>
      </c>
      <c r="G12" s="3023"/>
    </row>
    <row r="13" spans="1:7" ht="20.25" customHeight="1">
      <c r="A13" s="3028"/>
      <c r="B13" s="3028"/>
      <c r="C13" s="3031"/>
      <c r="D13" s="3039" t="s">
        <v>1910</v>
      </c>
      <c r="E13" s="3028">
        <f ca="1">IF(F13&lt;B2,"已过期",2011110090)</f>
        <v>2011110090</v>
      </c>
      <c r="F13" s="3030">
        <v>48302</v>
      </c>
      <c r="G13" s="3023"/>
    </row>
    <row r="14" spans="1:7" ht="20.25" customHeight="1">
      <c r="A14" s="3028" t="s">
        <v>1911</v>
      </c>
      <c r="B14" s="3028" t="str">
        <f ca="1">IF(C14&lt;B2,"已过期",1120020033)</f>
        <v>已过期</v>
      </c>
      <c r="C14" s="3031">
        <v>44339</v>
      </c>
      <c r="D14" s="3039" t="s">
        <v>1911</v>
      </c>
      <c r="E14" s="3028">
        <f ca="1">IF(F14&lt;B2,"已过期",2000110137)</f>
        <v>2000110137</v>
      </c>
      <c r="F14" s="3030">
        <v>46387</v>
      </c>
      <c r="G14" s="3023"/>
    </row>
    <row r="15" spans="1:7" ht="20.25" customHeight="1">
      <c r="A15" s="3028" t="s">
        <v>2952</v>
      </c>
      <c r="B15" s="3028" t="str">
        <f ca="1">IF(C14&lt;B2,"已过期",1119980106)</f>
        <v>已过期</v>
      </c>
      <c r="C15" s="3031">
        <v>44969</v>
      </c>
      <c r="D15" s="3039"/>
      <c r="E15" s="3028"/>
      <c r="F15" s="3028"/>
      <c r="G15" s="3023"/>
    </row>
    <row r="16" spans="1:7" s="2829" customFormat="1" ht="20.25" customHeight="1">
      <c r="A16" s="3027" t="s">
        <v>2039</v>
      </c>
      <c r="B16" s="3027" t="s">
        <v>2039</v>
      </c>
      <c r="C16" s="3031"/>
      <c r="D16" s="3040" t="s">
        <v>2039</v>
      </c>
      <c r="E16" s="3028" t="s">
        <v>2039</v>
      </c>
      <c r="F16" s="3030"/>
      <c r="G16" s="3032"/>
    </row>
    <row r="17" spans="1:7" ht="20.25" customHeight="1">
      <c r="A17" s="3429" t="s">
        <v>1912</v>
      </c>
      <c r="B17" s="3430"/>
      <c r="C17" s="3430"/>
      <c r="D17" s="3430"/>
      <c r="E17" s="3430"/>
      <c r="F17" s="3430"/>
      <c r="G17" s="3032"/>
    </row>
    <row r="18" spans="1:7" ht="20.25" customHeight="1">
      <c r="A18" s="3426" t="s">
        <v>1913</v>
      </c>
      <c r="B18" s="3426"/>
      <c r="C18" s="3427"/>
      <c r="D18" s="3428" t="s">
        <v>1914</v>
      </c>
      <c r="E18" s="3426"/>
      <c r="F18" s="3426"/>
      <c r="G18" s="3032"/>
    </row>
    <row r="19" spans="1:7" s="2827" customFormat="1" ht="20.25" customHeight="1">
      <c r="A19" s="3033" t="s">
        <v>1915</v>
      </c>
      <c r="B19" s="3034" t="s">
        <v>1916</v>
      </c>
      <c r="C19" s="3041" t="s">
        <v>1917</v>
      </c>
      <c r="D19" s="3039" t="s">
        <v>1915</v>
      </c>
      <c r="E19" s="3034" t="s">
        <v>1916</v>
      </c>
      <c r="F19" s="3034" t="s">
        <v>1917</v>
      </c>
      <c r="G19" s="3024"/>
    </row>
    <row r="20" spans="1:7" s="2827" customFormat="1" ht="20.25" customHeight="1">
      <c r="A20" s="3035" t="s">
        <v>1918</v>
      </c>
      <c r="B20" s="3035" t="s">
        <v>1919</v>
      </c>
      <c r="C20" s="3042">
        <v>44820</v>
      </c>
      <c r="D20" s="3044" t="s">
        <v>1920</v>
      </c>
      <c r="E20" s="3035" t="s">
        <v>1921</v>
      </c>
      <c r="F20" s="3036">
        <v>44377</v>
      </c>
      <c r="G20" s="3024"/>
    </row>
    <row r="21" spans="1:7" s="2827" customFormat="1" ht="20.25" customHeight="1">
      <c r="A21" s="3035"/>
      <c r="B21" s="3035"/>
      <c r="C21" s="3043"/>
      <c r="D21" s="3044" t="s">
        <v>1922</v>
      </c>
      <c r="E21" s="3035" t="s">
        <v>2951</v>
      </c>
      <c r="F21" s="3036">
        <v>44012</v>
      </c>
      <c r="G21" s="3024"/>
    </row>
    <row r="22" spans="1:7" ht="20.25" customHeight="1">
      <c r="A22" s="3023"/>
      <c r="B22" s="3023"/>
      <c r="C22" s="3037"/>
      <c r="D22" s="3045"/>
      <c r="E22" s="3046"/>
      <c r="F22" s="3038" t="s">
        <v>2965</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40" priority="149">
      <formula>AND($C5-TODAY()&lt;30,TODAY()&lt;$C5)</formula>
    </cfRule>
  </conditionalFormatting>
  <conditionalFormatting sqref="C20">
    <cfRule type="expression" dxfId="239" priority="148">
      <formula>AND($C20-TODAY()&lt;30,TODAY()&lt;$C20)</formula>
    </cfRule>
  </conditionalFormatting>
  <conditionalFormatting sqref="C20 F4 C5 C13">
    <cfRule type="cellIs" dxfId="238" priority="150" stopIfTrue="1" operator="lessThan">
      <formula>$B$2</formula>
    </cfRule>
  </conditionalFormatting>
  <conditionalFormatting sqref="F5 F7 F9">
    <cfRule type="cellIs" dxfId="237" priority="144" stopIfTrue="1" operator="lessThan">
      <formula>$B$2</formula>
    </cfRule>
  </conditionalFormatting>
  <conditionalFormatting sqref="C16:D16">
    <cfRule type="expression" dxfId="236" priority="142">
      <formula>AND($C16-TODAY()&lt;30,TODAY()&lt;$C16)</formula>
    </cfRule>
  </conditionalFormatting>
  <conditionalFormatting sqref="F6 F8 F10 C16:D16">
    <cfRule type="cellIs" dxfId="235" priority="143" stopIfTrue="1" operator="lessThan">
      <formula>$B$2</formula>
    </cfRule>
  </conditionalFormatting>
  <conditionalFormatting sqref="F14">
    <cfRule type="cellIs" dxfId="234" priority="114" stopIfTrue="1" operator="lessThan">
      <formula>$B$2</formula>
    </cfRule>
  </conditionalFormatting>
  <conditionalFormatting sqref="F13">
    <cfRule type="cellIs" dxfId="233" priority="113" stopIfTrue="1" operator="lessThan">
      <formula>$B$2</formula>
    </cfRule>
  </conditionalFormatting>
  <conditionalFormatting sqref="B4:B11 E4:E11 E13:E15 B13:B15">
    <cfRule type="cellIs" dxfId="232" priority="111" stopIfTrue="1" operator="equal">
      <formula>"已过期"</formula>
    </cfRule>
  </conditionalFormatting>
  <conditionalFormatting sqref="F20">
    <cfRule type="cellIs" dxfId="231" priority="108" stopIfTrue="1" operator="lessThan">
      <formula>$B$2</formula>
    </cfRule>
  </conditionalFormatting>
  <conditionalFormatting sqref="F20">
    <cfRule type="expression" dxfId="230" priority="152">
      <formula>AND($E20-TODAY()&lt;30,TODAY()&lt;$E20)</formula>
    </cfRule>
  </conditionalFormatting>
  <conditionalFormatting sqref="C6">
    <cfRule type="expression" dxfId="229" priority="82">
      <formula>AND($C6-TODAY()&lt;30,TODAY()&lt;$C6)</formula>
    </cfRule>
  </conditionalFormatting>
  <conditionalFormatting sqref="C6">
    <cfRule type="cellIs" dxfId="228" priority="83" stopIfTrue="1" operator="lessThan">
      <formula>$B$2</formula>
    </cfRule>
  </conditionalFormatting>
  <conditionalFormatting sqref="C11 C15">
    <cfRule type="expression" dxfId="227" priority="80">
      <formula>AND($C11-TODAY()&lt;30,TODAY()&lt;$C11)</formula>
    </cfRule>
  </conditionalFormatting>
  <conditionalFormatting sqref="C11 C15">
    <cfRule type="cellIs" dxfId="226" priority="81" stopIfTrue="1" operator="lessThan">
      <formula>$B$2</formula>
    </cfRule>
  </conditionalFormatting>
  <conditionalFormatting sqref="F11">
    <cfRule type="cellIs" dxfId="225" priority="79" stopIfTrue="1" operator="lessThan">
      <formula>$B$2</formula>
    </cfRule>
  </conditionalFormatting>
  <conditionalFormatting sqref="C14">
    <cfRule type="expression" dxfId="224" priority="60">
      <formula>AND($C14-TODAY()&lt;30,TODAY()&lt;$C14)</formula>
    </cfRule>
  </conditionalFormatting>
  <conditionalFormatting sqref="C14">
    <cfRule type="cellIs" dxfId="223" priority="61" stopIfTrue="1" operator="lessThan">
      <formula>$B$2</formula>
    </cfRule>
  </conditionalFormatting>
  <conditionalFormatting sqref="C12">
    <cfRule type="cellIs" dxfId="222" priority="54" stopIfTrue="1" operator="lessThan">
      <formula>$B$2</formula>
    </cfRule>
  </conditionalFormatting>
  <conditionalFormatting sqref="C12">
    <cfRule type="expression" dxfId="221" priority="51">
      <formula>AND($C12-TODAY()&lt;30,TODAY()&lt;$C12)</formula>
    </cfRule>
  </conditionalFormatting>
  <conditionalFormatting sqref="C12">
    <cfRule type="cellIs" dxfId="220" priority="52" stopIfTrue="1" operator="lessThan">
      <formula>$B$2</formula>
    </cfRule>
  </conditionalFormatting>
  <conditionalFormatting sqref="B12">
    <cfRule type="cellIs" dxfId="219" priority="48" stopIfTrue="1" operator="equal">
      <formula>"已过期"</formula>
    </cfRule>
  </conditionalFormatting>
  <conditionalFormatting sqref="E12">
    <cfRule type="cellIs" dxfId="218" priority="38" stopIfTrue="1" operator="equal">
      <formula>"已过期"</formula>
    </cfRule>
  </conditionalFormatting>
  <conditionalFormatting sqref="F12">
    <cfRule type="cellIs" dxfId="217" priority="37" stopIfTrue="1" operator="lessThan">
      <formula>$B$2</formula>
    </cfRule>
  </conditionalFormatting>
  <conditionalFormatting sqref="C9:C10">
    <cfRule type="expression" dxfId="216" priority="33">
      <formula>AND($C9-TODAY()&lt;30,TODAY()&lt;$C9)</formula>
    </cfRule>
  </conditionalFormatting>
  <conditionalFormatting sqref="C9:C10">
    <cfRule type="cellIs" dxfId="215" priority="34" stopIfTrue="1" operator="lessThan">
      <formula>$B$2</formula>
    </cfRule>
  </conditionalFormatting>
  <conditionalFormatting sqref="F21">
    <cfRule type="cellIs" dxfId="214" priority="13" stopIfTrue="1" operator="lessThan">
      <formula>$B$2</formula>
    </cfRule>
  </conditionalFormatting>
  <conditionalFormatting sqref="F21">
    <cfRule type="expression" dxfId="213" priority="14">
      <formula>AND($E21-TODAY()&lt;30,TODAY()&lt;$E21)</formula>
    </cfRule>
  </conditionalFormatting>
  <conditionalFormatting sqref="C7:C8">
    <cfRule type="expression" dxfId="212" priority="5">
      <formula>AND($C7-TODAY()&lt;30,TODAY()&lt;$C7)</formula>
    </cfRule>
  </conditionalFormatting>
  <conditionalFormatting sqref="C7:C8">
    <cfRule type="cellIs" dxfId="211" priority="6" stopIfTrue="1" operator="lessThan">
      <formula>$B$2</formula>
    </cfRule>
  </conditionalFormatting>
  <conditionalFormatting sqref="C7:C8">
    <cfRule type="expression" dxfId="210" priority="3">
      <formula>AND($C7-TODAY()&lt;30,TODAY()&lt;$C7)</formula>
    </cfRule>
  </conditionalFormatting>
  <conditionalFormatting sqref="C7:C8">
    <cfRule type="cellIs" dxfId="209" priority="4" stopIfTrue="1" operator="lessThan">
      <formula>$B$2</formula>
    </cfRule>
  </conditionalFormatting>
  <conditionalFormatting sqref="C4">
    <cfRule type="expression" dxfId="208" priority="1">
      <formula>AND($C4-TODAY()&lt;30,TODAY()&lt;$C4)</formula>
    </cfRule>
  </conditionalFormatting>
  <conditionalFormatting sqref="C4">
    <cfRule type="cellIs" dxfId="20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3077</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3079</v>
      </c>
      <c r="C25" s="1491"/>
    </row>
    <row r="26" spans="1:3">
      <c r="A26" s="8" t="s">
        <v>125</v>
      </c>
      <c r="B26" s="8" t="s">
        <v>1629</v>
      </c>
      <c r="C26" s="1491"/>
    </row>
    <row r="27" spans="1:3">
      <c r="A27" s="8" t="s">
        <v>1629</v>
      </c>
      <c r="B27" s="8" t="s">
        <v>1629</v>
      </c>
      <c r="C27" s="1491"/>
    </row>
    <row r="28" spans="1:3">
      <c r="A28" s="8" t="s">
        <v>1629</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3"/>
    </row>
    <row r="52" spans="1:5">
      <c r="A52" s="1681" t="s">
        <v>1972</v>
      </c>
      <c r="B52" s="1684" t="s">
        <v>1973</v>
      </c>
      <c r="C52" s="1682" t="s">
        <v>1974</v>
      </c>
      <c r="D52" s="1682" t="s">
        <v>1975</v>
      </c>
      <c r="E52" s="1683"/>
    </row>
    <row r="53" spans="1:5">
      <c r="A53" s="3431"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431"/>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3"/>
      <c r="E54" s="1683"/>
    </row>
    <row r="55" spans="1:5">
      <c r="A55" s="3431"/>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3"/>
      <c r="E55" s="1683"/>
    </row>
    <row r="56" spans="1:5">
      <c r="A56" s="3431"/>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3"/>
      <c r="E56" s="1683"/>
    </row>
    <row r="57" spans="1:5">
      <c r="A57" s="3431"/>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159</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不动产收益法办公</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2021-08-20T02:03:37Z</dcterms:modified>
</cp:coreProperties>
</file>