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480" yWindow="345" windowWidth="17280" windowHeight="88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2" i="68" l="1"/>
  <c r="M13" i="3"/>
  <c r="F23" i="69"/>
  <c r="F20" i="77"/>
  <c r="F24" i="69"/>
  <c r="F21" i="77"/>
  <c r="C19" i="72"/>
  <c r="F35" i="77"/>
  <c r="F35" i="15"/>
  <c r="E5" i="33"/>
  <c r="D29" i="72"/>
  <c r="E5" i="34"/>
  <c r="G5" i="33"/>
  <c r="E89" i="33"/>
  <c r="F89" i="33"/>
  <c r="G89" i="33"/>
  <c r="D89" i="33"/>
  <c r="Q73" i="77"/>
  <c r="Q60" i="77"/>
  <c r="D60" i="77"/>
  <c r="Q59" i="77"/>
  <c r="K59" i="77"/>
  <c r="P75" i="77"/>
  <c r="Q52" i="77"/>
  <c r="J50" i="77"/>
  <c r="M47" i="77"/>
  <c r="F33" i="77"/>
  <c r="F60" i="77"/>
  <c r="F23" i="77"/>
  <c r="D24" i="77"/>
  <c r="M19" i="77"/>
  <c r="F18" i="77"/>
  <c r="F17" i="77"/>
  <c r="F15" i="77"/>
  <c r="D22" i="77"/>
  <c r="P62" i="77"/>
  <c r="D23" i="77"/>
  <c r="J51" i="77"/>
  <c r="E11" i="68"/>
  <c r="E12" i="68"/>
  <c r="M14" i="3"/>
  <c r="K15" i="3"/>
  <c r="M15" i="3"/>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M86" i="72"/>
  <c r="N86" i="72"/>
  <c r="K86" i="72"/>
  <c r="J86" i="72"/>
  <c r="D86" i="72"/>
  <c r="M85" i="72"/>
  <c r="N85" i="72"/>
  <c r="K85" i="72"/>
  <c r="J85" i="72"/>
  <c r="D85" i="72"/>
  <c r="M84" i="72"/>
  <c r="N84" i="72"/>
  <c r="K84" i="72"/>
  <c r="J84" i="72"/>
  <c r="D84" i="72"/>
  <c r="M83" i="72"/>
  <c r="N83" i="72"/>
  <c r="K83" i="72"/>
  <c r="J83" i="72"/>
  <c r="D83" i="72"/>
  <c r="B83" i="72"/>
  <c r="N82" i="72"/>
  <c r="M82" i="72"/>
  <c r="K82" i="72"/>
  <c r="J82" i="72"/>
  <c r="D82" i="72"/>
  <c r="B82" i="72"/>
  <c r="M81" i="72"/>
  <c r="N81" i="72"/>
  <c r="K81" i="72"/>
  <c r="J81" i="72"/>
  <c r="D81" i="72"/>
  <c r="M80" i="72"/>
  <c r="N80" i="72"/>
  <c r="K80" i="72"/>
  <c r="J80" i="72"/>
  <c r="F80" i="72"/>
  <c r="H87" i="72"/>
  <c r="D80" i="72"/>
  <c r="E80" i="72"/>
  <c r="B78" i="72"/>
  <c r="N77" i="72"/>
  <c r="M77" i="72"/>
  <c r="K77" i="72"/>
  <c r="J77" i="72"/>
  <c r="D77" i="72"/>
  <c r="M76" i="72"/>
  <c r="N76" i="72"/>
  <c r="K76" i="72"/>
  <c r="J76" i="72"/>
  <c r="D76" i="72"/>
  <c r="M75" i="72"/>
  <c r="N75" i="72"/>
  <c r="K75" i="72"/>
  <c r="J75" i="72"/>
  <c r="D75" i="72"/>
  <c r="M74" i="72"/>
  <c r="N74" i="72"/>
  <c r="K74" i="72"/>
  <c r="J74" i="72"/>
  <c r="D74" i="72"/>
  <c r="M73" i="72"/>
  <c r="N73" i="72"/>
  <c r="K73" i="72"/>
  <c r="J73" i="72"/>
  <c r="D73" i="72"/>
  <c r="M72" i="72"/>
  <c r="N72" i="72"/>
  <c r="K72" i="72"/>
  <c r="J72" i="72"/>
  <c r="D72" i="72"/>
  <c r="N71" i="72"/>
  <c r="M71" i="72"/>
  <c r="K71" i="72"/>
  <c r="J71" i="72"/>
  <c r="D71" i="72"/>
  <c r="B71" i="72"/>
  <c r="M70" i="72"/>
  <c r="N70" i="72"/>
  <c r="K70" i="72"/>
  <c r="J70" i="72"/>
  <c r="D70" i="72"/>
  <c r="M69" i="72"/>
  <c r="N69" i="72"/>
  <c r="K69" i="72"/>
  <c r="J69" i="72"/>
  <c r="F69" i="72"/>
  <c r="H75" i="72"/>
  <c r="D69" i="72"/>
  <c r="E69" i="72"/>
  <c r="B67" i="72"/>
  <c r="B60" i="72"/>
  <c r="N55" i="72"/>
  <c r="M55" i="72"/>
  <c r="K55" i="72"/>
  <c r="J55" i="72"/>
  <c r="D55" i="72"/>
  <c r="M54" i="72"/>
  <c r="N54" i="72"/>
  <c r="K54" i="72"/>
  <c r="J54" i="72"/>
  <c r="D54" i="72"/>
  <c r="M53" i="72"/>
  <c r="N53" i="72"/>
  <c r="K53" i="72"/>
  <c r="J53" i="72"/>
  <c r="D53" i="72"/>
  <c r="M52" i="72"/>
  <c r="N52" i="72"/>
  <c r="K52" i="72"/>
  <c r="J52" i="72"/>
  <c r="D52" i="72"/>
  <c r="M51" i="72"/>
  <c r="N51" i="72"/>
  <c r="K51" i="72"/>
  <c r="J51" i="72"/>
  <c r="D51" i="72"/>
  <c r="M50" i="72"/>
  <c r="N50" i="72"/>
  <c r="K50" i="72"/>
  <c r="J50" i="72"/>
  <c r="D50" i="72"/>
  <c r="M49" i="72"/>
  <c r="N49" i="72"/>
  <c r="K49" i="72"/>
  <c r="J49" i="72"/>
  <c r="D49" i="72"/>
  <c r="B49" i="72"/>
  <c r="M48" i="72"/>
  <c r="N48" i="72"/>
  <c r="K48" i="72"/>
  <c r="J48" i="72"/>
  <c r="D48" i="72"/>
  <c r="M47" i="72"/>
  <c r="N47" i="72"/>
  <c r="K47" i="72"/>
  <c r="J47" i="72"/>
  <c r="F47" i="72"/>
  <c r="H54" i="72"/>
  <c r="D47" i="72"/>
  <c r="H39" i="72"/>
  <c r="H38" i="72"/>
  <c r="H37" i="72"/>
  <c r="H36" i="72"/>
  <c r="H35" i="72"/>
  <c r="H34" i="72"/>
  <c r="H33" i="72"/>
  <c r="J20" i="72"/>
  <c r="I19" i="72"/>
  <c r="C18" i="72"/>
  <c r="E4" i="68"/>
  <c r="F15" i="72"/>
  <c r="E15" i="72"/>
  <c r="D15" i="72"/>
  <c r="C15" i="72"/>
  <c r="Y12" i="72"/>
  <c r="Y10" i="72"/>
  <c r="C10" i="72"/>
  <c r="C11" i="72"/>
  <c r="E8" i="72"/>
  <c r="AJ9" i="72"/>
  <c r="AJ12" i="72"/>
  <c r="AI9" i="72"/>
  <c r="AI10" i="72"/>
  <c r="AH9" i="72"/>
  <c r="AH12" i="72"/>
  <c r="AG9" i="72"/>
  <c r="AG10" i="72"/>
  <c r="AF9" i="72"/>
  <c r="AF12" i="72"/>
  <c r="AE9" i="72"/>
  <c r="AE10" i="72"/>
  <c r="AD9" i="72"/>
  <c r="AD12" i="72"/>
  <c r="AC9" i="72"/>
  <c r="AC10" i="72"/>
  <c r="AB9" i="72"/>
  <c r="AB12" i="72"/>
  <c r="AA9" i="72"/>
  <c r="AA10" i="72"/>
  <c r="Z9" i="72"/>
  <c r="Z12" i="72"/>
  <c r="C9" i="72"/>
  <c r="A7" i="72"/>
  <c r="I2" i="72"/>
  <c r="M9" i="72"/>
  <c r="G2" i="72"/>
  <c r="D1" i="72"/>
  <c r="F113" i="71"/>
  <c r="L108" i="71"/>
  <c r="H100" i="71"/>
  <c r="N99" i="71"/>
  <c r="N108" i="71"/>
  <c r="M99" i="71"/>
  <c r="L99" i="71"/>
  <c r="L100" i="71"/>
  <c r="K99" i="71"/>
  <c r="J99" i="71"/>
  <c r="J108" i="71"/>
  <c r="I99" i="71"/>
  <c r="H99" i="71"/>
  <c r="H108" i="71"/>
  <c r="G99" i="71"/>
  <c r="F99" i="71"/>
  <c r="F108" i="71"/>
  <c r="E99" i="71"/>
  <c r="D99" i="71"/>
  <c r="D100" i="71"/>
  <c r="C99" i="71"/>
  <c r="M87" i="71"/>
  <c r="N87" i="71"/>
  <c r="K87" i="71"/>
  <c r="J87" i="71"/>
  <c r="D87" i="71"/>
  <c r="M86" i="71"/>
  <c r="N86" i="71"/>
  <c r="K86" i="71"/>
  <c r="J86" i="71"/>
  <c r="D86" i="71"/>
  <c r="M85" i="71"/>
  <c r="N85" i="71"/>
  <c r="K85" i="71"/>
  <c r="J85" i="71"/>
  <c r="D85" i="71"/>
  <c r="M84" i="71"/>
  <c r="N84" i="71"/>
  <c r="K84" i="71"/>
  <c r="J84" i="71"/>
  <c r="D84" i="71"/>
  <c r="M83" i="71"/>
  <c r="N83" i="71"/>
  <c r="K83" i="71"/>
  <c r="J83" i="71"/>
  <c r="D83" i="71"/>
  <c r="B83" i="71"/>
  <c r="M82" i="71"/>
  <c r="N82" i="71"/>
  <c r="K82" i="71"/>
  <c r="J82" i="71"/>
  <c r="D82" i="71"/>
  <c r="B82" i="71"/>
  <c r="M81" i="71"/>
  <c r="N81" i="71"/>
  <c r="K81" i="71"/>
  <c r="J81" i="71"/>
  <c r="D81" i="71"/>
  <c r="N80" i="71"/>
  <c r="M80" i="71"/>
  <c r="K80" i="71"/>
  <c r="J80" i="71"/>
  <c r="F80" i="71"/>
  <c r="H86" i="71"/>
  <c r="D80" i="71"/>
  <c r="M77" i="71"/>
  <c r="N77" i="71"/>
  <c r="K77" i="71"/>
  <c r="J77" i="71"/>
  <c r="D77" i="71"/>
  <c r="M76" i="71"/>
  <c r="N76" i="71"/>
  <c r="K76" i="71"/>
  <c r="J76" i="71"/>
  <c r="D76" i="71"/>
  <c r="M75" i="71"/>
  <c r="N75" i="71"/>
  <c r="K75" i="71"/>
  <c r="J75" i="71"/>
  <c r="D75" i="71"/>
  <c r="N74" i="71"/>
  <c r="M74" i="71"/>
  <c r="K74" i="71"/>
  <c r="J74" i="71"/>
  <c r="D74" i="71"/>
  <c r="M73" i="71"/>
  <c r="N73" i="71"/>
  <c r="K73" i="71"/>
  <c r="J73" i="71"/>
  <c r="D73" i="71"/>
  <c r="M72" i="71"/>
  <c r="N72" i="71"/>
  <c r="K72" i="71"/>
  <c r="J72" i="71"/>
  <c r="D72" i="71"/>
  <c r="M71" i="71"/>
  <c r="N71" i="71"/>
  <c r="K71" i="71"/>
  <c r="J71" i="71"/>
  <c r="D71" i="71"/>
  <c r="B71" i="71"/>
  <c r="M70" i="71"/>
  <c r="N70" i="71"/>
  <c r="K70" i="71"/>
  <c r="J70" i="71"/>
  <c r="D70" i="71"/>
  <c r="M69" i="71"/>
  <c r="N69" i="71"/>
  <c r="K69" i="71"/>
  <c r="J69" i="71"/>
  <c r="F69" i="71"/>
  <c r="H75" i="71"/>
  <c r="D69" i="71"/>
  <c r="M66" i="71"/>
  <c r="N66" i="71"/>
  <c r="K66" i="71"/>
  <c r="J66" i="71"/>
  <c r="D66" i="71"/>
  <c r="N65" i="71"/>
  <c r="M65" i="71"/>
  <c r="K65" i="71"/>
  <c r="J65" i="71"/>
  <c r="D65" i="71"/>
  <c r="M64" i="71"/>
  <c r="N64" i="71"/>
  <c r="K64" i="71"/>
  <c r="J64" i="71"/>
  <c r="D64" i="71"/>
  <c r="M63" i="71"/>
  <c r="N63" i="71"/>
  <c r="K63" i="71"/>
  <c r="J63" i="71"/>
  <c r="D63" i="71"/>
  <c r="M62" i="71"/>
  <c r="N62" i="71"/>
  <c r="K62" i="71"/>
  <c r="J62" i="71"/>
  <c r="D62" i="71"/>
  <c r="M61" i="71"/>
  <c r="N61" i="71"/>
  <c r="K61" i="71"/>
  <c r="J61" i="71"/>
  <c r="D61" i="71"/>
  <c r="M60" i="71"/>
  <c r="N60" i="71"/>
  <c r="K60" i="71"/>
  <c r="J60" i="71"/>
  <c r="D60" i="71"/>
  <c r="B60" i="71"/>
  <c r="N59" i="71"/>
  <c r="M59" i="71"/>
  <c r="K59" i="71"/>
  <c r="J59" i="71"/>
  <c r="D59" i="71"/>
  <c r="M58" i="71"/>
  <c r="N58" i="71"/>
  <c r="K58" i="71"/>
  <c r="J58" i="71"/>
  <c r="F58" i="71"/>
  <c r="H65" i="71"/>
  <c r="D58" i="71"/>
  <c r="B49" i="71"/>
  <c r="H39" i="71"/>
  <c r="H38" i="71"/>
  <c r="H37" i="71"/>
  <c r="H36" i="71"/>
  <c r="H35" i="71"/>
  <c r="H34" i="71"/>
  <c r="H33" i="71"/>
  <c r="J20" i="71"/>
  <c r="I19" i="71"/>
  <c r="C18" i="71"/>
  <c r="E3" i="68"/>
  <c r="F15" i="71"/>
  <c r="E15" i="71"/>
  <c r="D15" i="71"/>
  <c r="C15" i="71"/>
  <c r="C12" i="71"/>
  <c r="AB12" i="71"/>
  <c r="Y12" i="71"/>
  <c r="Y10" i="71"/>
  <c r="C10" i="71"/>
  <c r="C11" i="71"/>
  <c r="AJ9" i="71"/>
  <c r="AJ10" i="71"/>
  <c r="AI9" i="71"/>
  <c r="AI12" i="71"/>
  <c r="AH9" i="71"/>
  <c r="AH10" i="71"/>
  <c r="AG9" i="71"/>
  <c r="AG12" i="71"/>
  <c r="AF9" i="71"/>
  <c r="AF10" i="71"/>
  <c r="AE9" i="71"/>
  <c r="AE12" i="71"/>
  <c r="AD9" i="71"/>
  <c r="AD10" i="71"/>
  <c r="AC9" i="71"/>
  <c r="AC12" i="71"/>
  <c r="AB9" i="71"/>
  <c r="AB10" i="71"/>
  <c r="AA9" i="71"/>
  <c r="AA12" i="71"/>
  <c r="Z9" i="71"/>
  <c r="Z10" i="71"/>
  <c r="C9" i="71"/>
  <c r="A7" i="71"/>
  <c r="I2" i="71"/>
  <c r="M12" i="71"/>
  <c r="G2" i="71"/>
  <c r="N17" i="71"/>
  <c r="D1" i="71"/>
  <c r="F25" i="70"/>
  <c r="C25" i="70"/>
  <c r="E22" i="70"/>
  <c r="E21" i="70"/>
  <c r="F17" i="70"/>
  <c r="E16" i="70"/>
  <c r="F15" i="70"/>
  <c r="F14" i="70"/>
  <c r="K9" i="70"/>
  <c r="J9" i="70"/>
  <c r="I9" i="70"/>
  <c r="H9" i="70"/>
  <c r="G9" i="70"/>
  <c r="F9" i="70"/>
  <c r="E9" i="70"/>
  <c r="D9" i="70"/>
  <c r="F25" i="69"/>
  <c r="C25" i="69"/>
  <c r="E22" i="69"/>
  <c r="E21" i="69"/>
  <c r="F17" i="69"/>
  <c r="E16" i="69"/>
  <c r="F15" i="69"/>
  <c r="F14" i="69"/>
  <c r="K9" i="69"/>
  <c r="J9" i="69"/>
  <c r="I9" i="69"/>
  <c r="H9" i="69"/>
  <c r="G9" i="69"/>
  <c r="F9" i="69"/>
  <c r="E9" i="69"/>
  <c r="D9" i="69"/>
  <c r="K7" i="68"/>
  <c r="Z12" i="71"/>
  <c r="AH12" i="71"/>
  <c r="N1" i="72"/>
  <c r="E47" i="72"/>
  <c r="B45" i="72"/>
  <c r="E9" i="72"/>
  <c r="D108" i="71"/>
  <c r="E10" i="72"/>
  <c r="E58" i="71"/>
  <c r="B56" i="71"/>
  <c r="E11" i="72"/>
  <c r="E69" i="71"/>
  <c r="B67" i="71"/>
  <c r="AA12" i="72"/>
  <c r="AE12" i="72"/>
  <c r="AD12" i="71"/>
  <c r="AF12" i="71"/>
  <c r="E80" i="71"/>
  <c r="B78" i="7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c r="B3" i="68"/>
  <c r="C7" i="72"/>
  <c r="C6" i="72"/>
  <c r="B4" i="68"/>
  <c r="H65" i="72"/>
  <c r="G65" i="72"/>
  <c r="H64" i="72"/>
  <c r="G64" i="72"/>
  <c r="H60" i="72"/>
  <c r="G60" i="72"/>
  <c r="H66" i="72"/>
  <c r="G66" i="72"/>
  <c r="H61" i="72"/>
  <c r="G61" i="72"/>
  <c r="H58" i="72"/>
  <c r="G58" i="72"/>
  <c r="H59" i="72"/>
  <c r="G59" i="72"/>
  <c r="H63" i="72"/>
  <c r="G63" i="72"/>
  <c r="H62" i="72"/>
  <c r="G62" i="72"/>
  <c r="G17" i="72"/>
  <c r="H54" i="71"/>
  <c r="G54" i="71"/>
  <c r="H49" i="71"/>
  <c r="G49" i="71"/>
  <c r="H53" i="71"/>
  <c r="G53" i="71"/>
  <c r="H48" i="71"/>
  <c r="G48" i="71"/>
  <c r="H52" i="71"/>
  <c r="G52" i="71"/>
  <c r="H47" i="71"/>
  <c r="G47" i="71"/>
  <c r="H50" i="71"/>
  <c r="G50" i="71"/>
  <c r="H55" i="71"/>
  <c r="G55" i="71"/>
  <c r="H51" i="71"/>
  <c r="G51" i="71"/>
  <c r="G17" i="71"/>
  <c r="C7" i="71"/>
  <c r="C3" i="68"/>
  <c r="AH5" i="59"/>
  <c r="AG5" i="59"/>
  <c r="AE5" i="59"/>
  <c r="AF5" i="59"/>
  <c r="AD5" i="59"/>
  <c r="Q5" i="59"/>
  <c r="P5" i="59"/>
  <c r="O5" i="59"/>
  <c r="N5" i="59"/>
  <c r="K52" i="71"/>
  <c r="J52" i="71"/>
  <c r="M52" i="71"/>
  <c r="K55" i="71"/>
  <c r="J55" i="71"/>
  <c r="D55" i="71"/>
  <c r="M55" i="71"/>
  <c r="N55" i="71"/>
  <c r="M47" i="71"/>
  <c r="N47" i="71"/>
  <c r="K47" i="71"/>
  <c r="M48" i="71"/>
  <c r="N48" i="71"/>
  <c r="K48" i="71"/>
  <c r="M49" i="71"/>
  <c r="N49" i="71"/>
  <c r="K49" i="71"/>
  <c r="K63" i="72"/>
  <c r="J63" i="72"/>
  <c r="M63" i="72"/>
  <c r="M58" i="72"/>
  <c r="N58" i="72"/>
  <c r="K58" i="72"/>
  <c r="K66" i="72"/>
  <c r="J66" i="72"/>
  <c r="D66" i="72"/>
  <c r="M66" i="72"/>
  <c r="N66" i="72"/>
  <c r="K64" i="72"/>
  <c r="M64" i="72"/>
  <c r="N64" i="72"/>
  <c r="M51" i="71"/>
  <c r="N51" i="71"/>
  <c r="K51" i="71"/>
  <c r="M50" i="71"/>
  <c r="N50" i="71"/>
  <c r="K50" i="71"/>
  <c r="K53" i="71"/>
  <c r="M53" i="71"/>
  <c r="N53" i="71"/>
  <c r="K54" i="71"/>
  <c r="M54" i="71"/>
  <c r="N54" i="71"/>
  <c r="K62" i="72"/>
  <c r="M62" i="72"/>
  <c r="N62" i="72"/>
  <c r="M59" i="72"/>
  <c r="N59" i="72"/>
  <c r="K59" i="72"/>
  <c r="M61" i="72"/>
  <c r="N61" i="72"/>
  <c r="K61" i="72"/>
  <c r="M60" i="72"/>
  <c r="N60" i="72"/>
  <c r="K60" i="72"/>
  <c r="K65" i="72"/>
  <c r="M65" i="72"/>
  <c r="N65" i="72"/>
  <c r="AH6" i="59"/>
  <c r="AG6" i="59"/>
  <c r="AE6" i="59"/>
  <c r="AF6" i="59"/>
  <c r="AD6" i="59"/>
  <c r="Q6" i="59"/>
  <c r="P6" i="59"/>
  <c r="O6" i="59"/>
  <c r="N6" i="59"/>
  <c r="J60" i="72"/>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7" i="59"/>
  <c r="AG7" i="59"/>
  <c r="AE7" i="59"/>
  <c r="AF7" i="59"/>
  <c r="AD7" i="59"/>
  <c r="Q7" i="59"/>
  <c r="P7" i="59"/>
  <c r="O7" i="59"/>
  <c r="N7" i="59"/>
  <c r="E47" i="71"/>
  <c r="B45" i="71"/>
  <c r="C24" i="71"/>
  <c r="I3" i="68"/>
  <c r="E58" i="72"/>
  <c r="B56" i="72"/>
  <c r="C24" i="72"/>
  <c r="I4" i="68"/>
  <c r="F25" i="12"/>
  <c r="C25" i="12"/>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E14" i="59"/>
  <c r="AF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J50" i="15"/>
  <c r="J51" i="15"/>
  <c r="D19" i="59"/>
  <c r="AH17" i="59"/>
  <c r="AG17" i="59"/>
  <c r="AE17" i="59"/>
  <c r="AF17" i="59"/>
  <c r="AD17" i="59"/>
  <c r="AE18" i="59"/>
  <c r="AF18" i="59"/>
  <c r="AG18" i="59"/>
  <c r="AH18" i="59"/>
  <c r="AD18" i="59"/>
  <c r="Q18" i="59"/>
  <c r="P18" i="59"/>
  <c r="O18" i="59"/>
  <c r="N18" i="59"/>
  <c r="N19" i="59"/>
  <c r="Q19" i="59"/>
  <c r="P19" i="59"/>
  <c r="O19" i="59"/>
  <c r="K59" i="15"/>
  <c r="P75" i="15"/>
  <c r="Q74" i="44"/>
  <c r="Q61" i="44"/>
  <c r="Q60" i="44"/>
  <c r="Q53" i="44"/>
  <c r="J51" i="44"/>
  <c r="J52" i="44"/>
  <c r="M48" i="44"/>
  <c r="A16" i="55"/>
  <c r="A15" i="55"/>
  <c r="B66" i="63"/>
  <c r="A14" i="55"/>
  <c r="A11" i="55"/>
  <c r="A10" i="55"/>
  <c r="B61" i="63"/>
  <c r="A9" i="55"/>
  <c r="B60" i="63"/>
  <c r="A8" i="55"/>
  <c r="B59" i="63"/>
  <c r="A6" i="54"/>
  <c r="A8" i="54"/>
  <c r="A7" i="54"/>
  <c r="B51" i="63"/>
  <c r="A27" i="51"/>
  <c r="B20" i="63"/>
  <c r="Q20" i="59"/>
  <c r="O20" i="59"/>
  <c r="N21" i="59"/>
  <c r="O21" i="59"/>
  <c r="P21" i="59"/>
  <c r="Q21" i="59"/>
  <c r="N20" i="59"/>
  <c r="P20" i="59"/>
  <c r="K75" i="9"/>
  <c r="K6" i="4"/>
  <c r="L76" i="9"/>
  <c r="K76" i="9"/>
  <c r="B22" i="31"/>
  <c r="E15" i="66"/>
  <c r="F15" i="66"/>
  <c r="E16" i="66"/>
  <c r="F16" i="66"/>
  <c r="E17" i="66"/>
  <c r="F17" i="66"/>
  <c r="E18" i="66"/>
  <c r="F18" i="66"/>
  <c r="E19" i="66"/>
  <c r="F19" i="66"/>
  <c r="E20" i="66"/>
  <c r="F20" i="66"/>
  <c r="E21" i="66"/>
  <c r="F21" i="66"/>
  <c r="E22" i="66"/>
  <c r="F22" i="66"/>
  <c r="E23" i="66"/>
  <c r="F23" i="66"/>
  <c r="B3" i="66"/>
  <c r="B18" i="59"/>
  <c r="B17" i="59"/>
  <c r="B16" i="59"/>
  <c r="E18" i="59"/>
  <c r="U18" i="59"/>
  <c r="E17" i="59"/>
  <c r="E16" i="59"/>
  <c r="E15" i="59"/>
  <c r="E14"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18" i="59"/>
  <c r="C17" i="59"/>
  <c r="C3" i="65"/>
  <c r="C1" i="65"/>
  <c r="N1" i="65"/>
  <c r="D18" i="59"/>
  <c r="B76" i="63"/>
  <c r="M5" i="54"/>
  <c r="B41" i="63"/>
  <c r="A23" i="51"/>
  <c r="B17" i="63"/>
  <c r="Y12" i="46"/>
  <c r="AA9" i="46"/>
  <c r="AA12" i="46"/>
  <c r="AB9" i="46"/>
  <c r="AB10" i="46"/>
  <c r="AC9" i="46"/>
  <c r="AD9" i="46"/>
  <c r="AD10" i="46"/>
  <c r="AE9" i="46"/>
  <c r="AF9" i="46"/>
  <c r="AF10" i="46"/>
  <c r="AG9" i="46"/>
  <c r="AG10" i="46"/>
  <c r="AH9" i="46"/>
  <c r="AH10" i="46"/>
  <c r="AI9" i="46"/>
  <c r="AI10" i="46"/>
  <c r="AJ9" i="46"/>
  <c r="AJ10" i="46"/>
  <c r="Z9" i="46"/>
  <c r="Z10" i="46"/>
  <c r="AE10" i="46"/>
  <c r="AC10" i="46"/>
  <c r="Y10" i="46"/>
  <c r="Z12" i="46"/>
  <c r="AG12" i="46"/>
  <c r="AE12" i="46"/>
  <c r="AC12" i="46"/>
  <c r="B73" i="63"/>
  <c r="A21" i="64"/>
  <c r="B75" i="63"/>
  <c r="A27" i="64"/>
  <c r="A15" i="64"/>
  <c r="A14" i="64"/>
  <c r="A11" i="64"/>
  <c r="A3" i="64"/>
  <c r="A45" i="9"/>
  <c r="K40" i="9"/>
  <c r="A44" i="9"/>
  <c r="C57" i="10"/>
  <c r="A28" i="51"/>
  <c r="B21" i="63"/>
  <c r="C56" i="10"/>
  <c r="A26" i="51"/>
  <c r="B19" i="63"/>
  <c r="C55" i="10"/>
  <c r="C54" i="10"/>
  <c r="B49" i="63"/>
  <c r="B44" i="63"/>
  <c r="B40" i="63"/>
  <c r="B30" i="63"/>
  <c r="B27" i="63"/>
  <c r="B25" i="63"/>
  <c r="A11" i="51"/>
  <c r="B10" i="63"/>
  <c r="K39" i="9"/>
  <c r="B58" i="63"/>
  <c r="B53"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I19" i="46"/>
  <c r="Q22" i="59"/>
  <c r="F22" i="59"/>
  <c r="P22" i="59"/>
  <c r="O22" i="59"/>
  <c r="N22" i="59"/>
  <c r="D83" i="59"/>
  <c r="F82" i="59"/>
  <c r="F81" i="59"/>
  <c r="F80" i="59"/>
  <c r="E82" i="59"/>
  <c r="E81" i="59"/>
  <c r="E80" i="59"/>
  <c r="C82" i="59"/>
  <c r="D82" i="59"/>
  <c r="B82" i="59"/>
  <c r="B81" i="59"/>
  <c r="B80" i="59"/>
  <c r="D79" i="59"/>
  <c r="F78" i="59"/>
  <c r="F77" i="59"/>
  <c r="F76" i="59"/>
  <c r="E78" i="59"/>
  <c r="E77" i="59"/>
  <c r="E76" i="59"/>
  <c r="C78" i="59"/>
  <c r="D78" i="59"/>
  <c r="B78" i="59"/>
  <c r="B77" i="59"/>
  <c r="B76" i="59"/>
  <c r="D75" i="59"/>
  <c r="Q74" i="59"/>
  <c r="P74" i="59"/>
  <c r="O74" i="59"/>
  <c r="N74" i="59"/>
  <c r="F74" i="59"/>
  <c r="V74" i="59"/>
  <c r="E74" i="59"/>
  <c r="U74" i="59"/>
  <c r="C74" i="59"/>
  <c r="T74" i="59"/>
  <c r="B74" i="59"/>
  <c r="B73" i="59"/>
  <c r="B72" i="59"/>
  <c r="S74" i="59"/>
  <c r="Q73" i="59"/>
  <c r="P73" i="59"/>
  <c r="O73" i="59"/>
  <c r="N73" i="59"/>
  <c r="Q72" i="59"/>
  <c r="P72" i="59"/>
  <c r="O72" i="59"/>
  <c r="N72" i="59"/>
  <c r="Q71" i="59"/>
  <c r="P71" i="59"/>
  <c r="O71" i="59"/>
  <c r="N71" i="59"/>
  <c r="D71" i="59"/>
  <c r="Q70" i="59"/>
  <c r="P70" i="59"/>
  <c r="O70" i="59"/>
  <c r="N70" i="59"/>
  <c r="F70" i="59"/>
  <c r="V70" i="59"/>
  <c r="E70" i="59"/>
  <c r="U70" i="59"/>
  <c r="C70" i="59"/>
  <c r="T70" i="59"/>
  <c r="B70" i="59"/>
  <c r="Q69" i="59"/>
  <c r="P69" i="59"/>
  <c r="O69" i="59"/>
  <c r="N69" i="59"/>
  <c r="F69" i="59"/>
  <c r="F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E62" i="59"/>
  <c r="E61" i="59"/>
  <c r="C62" i="59"/>
  <c r="T62" i="59"/>
  <c r="B62" i="59"/>
  <c r="N62" i="59"/>
  <c r="B61" i="59"/>
  <c r="N61" i="59"/>
  <c r="D59" i="59"/>
  <c r="Q58" i="59"/>
  <c r="P58" i="59"/>
  <c r="O58" i="59"/>
  <c r="N58" i="59"/>
  <c r="Q57" i="59"/>
  <c r="P57" i="59"/>
  <c r="O57" i="59"/>
  <c r="N57" i="59"/>
  <c r="Q56" i="59"/>
  <c r="P56" i="59"/>
  <c r="O56" i="59"/>
  <c r="N56" i="59"/>
  <c r="Q55" i="59"/>
  <c r="F56" i="59"/>
  <c r="F57"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D51" i="59"/>
  <c r="Q50" i="59"/>
  <c r="P50" i="59"/>
  <c r="O50" i="59"/>
  <c r="N50" i="59"/>
  <c r="Q49" i="59"/>
  <c r="P49" i="59"/>
  <c r="O49" i="59"/>
  <c r="N49" i="59"/>
  <c r="Q48" i="59"/>
  <c r="P48" i="59"/>
  <c r="O48" i="59"/>
  <c r="N48" i="59"/>
  <c r="Q47" i="59"/>
  <c r="F48" i="59"/>
  <c r="F49"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C45"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C41" i="59"/>
  <c r="D41"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D35" i="59"/>
  <c r="Q34" i="59"/>
  <c r="P34" i="59"/>
  <c r="O34" i="59"/>
  <c r="N34" i="59"/>
  <c r="Q33" i="59"/>
  <c r="AB33" i="59"/>
  <c r="P33" i="59"/>
  <c r="AA33" i="59"/>
  <c r="O33" i="59"/>
  <c r="N33" i="59"/>
  <c r="X33" i="59"/>
  <c r="Q32" i="59"/>
  <c r="P32" i="59"/>
  <c r="O32" i="59"/>
  <c r="N32" i="59"/>
  <c r="X32" i="59"/>
  <c r="Q31" i="59"/>
  <c r="F32" i="59"/>
  <c r="P31" i="59"/>
  <c r="E32" i="59"/>
  <c r="O31" i="59"/>
  <c r="C32" i="59"/>
  <c r="N31" i="59"/>
  <c r="B32" i="59"/>
  <c r="D31" i="59"/>
  <c r="Q30" i="59"/>
  <c r="P30" i="59"/>
  <c r="O30" i="59"/>
  <c r="N30" i="59"/>
  <c r="X30" i="59"/>
  <c r="Q29" i="59"/>
  <c r="P29" i="59"/>
  <c r="O29" i="59"/>
  <c r="N29" i="59"/>
  <c r="Q28" i="59"/>
  <c r="P28" i="59"/>
  <c r="O28" i="59"/>
  <c r="N28" i="59"/>
  <c r="X28" i="59"/>
  <c r="Q27" i="59"/>
  <c r="F28" i="59"/>
  <c r="F29" i="59"/>
  <c r="F30" i="59"/>
  <c r="V30" i="59"/>
  <c r="P27" i="59"/>
  <c r="O27" i="59"/>
  <c r="C28" i="59"/>
  <c r="D28" i="59"/>
  <c r="N27" i="59"/>
  <c r="B28" i="59"/>
  <c r="B29" i="59"/>
  <c r="B30" i="59"/>
  <c r="S30" i="59"/>
  <c r="D27" i="59"/>
  <c r="Q26" i="59"/>
  <c r="P26" i="59"/>
  <c r="O26" i="59"/>
  <c r="N26" i="59"/>
  <c r="Q25" i="59"/>
  <c r="P25" i="59"/>
  <c r="O25" i="59"/>
  <c r="N25" i="59"/>
  <c r="Q24" i="59"/>
  <c r="P24" i="59"/>
  <c r="O24" i="59"/>
  <c r="N24" i="59"/>
  <c r="Q23" i="59"/>
  <c r="F24" i="59"/>
  <c r="F25" i="59"/>
  <c r="F26" i="59"/>
  <c r="V26" i="59"/>
  <c r="P23" i="59"/>
  <c r="O23" i="59"/>
  <c r="C24" i="59"/>
  <c r="N23" i="59"/>
  <c r="B24" i="59"/>
  <c r="B25" i="59"/>
  <c r="B26" i="59"/>
  <c r="S26" i="59"/>
  <c r="D23" i="59"/>
  <c r="E24" i="59"/>
  <c r="E25" i="59"/>
  <c r="E26" i="59"/>
  <c r="U26" i="59"/>
  <c r="S62" i="59"/>
  <c r="F33" i="59"/>
  <c r="F58" i="59"/>
  <c r="V58" i="59"/>
  <c r="D44" i="59"/>
  <c r="B60" i="59"/>
  <c r="N60" i="59"/>
  <c r="O62" i="59"/>
  <c r="C61" i="59"/>
  <c r="D61" i="59"/>
  <c r="P62" i="59"/>
  <c r="U62" i="59"/>
  <c r="E65" i="59"/>
  <c r="E64" i="59"/>
  <c r="C69" i="59"/>
  <c r="E69" i="59"/>
  <c r="E68" i="59"/>
  <c r="D70" i="59"/>
  <c r="C73" i="59"/>
  <c r="E73" i="59"/>
  <c r="E72" i="59"/>
  <c r="D74" i="59"/>
  <c r="C77" i="59"/>
  <c r="D77" i="59"/>
  <c r="C81" i="59"/>
  <c r="D81" i="59"/>
  <c r="U16" i="4"/>
  <c r="S16" i="4"/>
  <c r="Q16" i="4"/>
  <c r="O16" i="4"/>
  <c r="M16" i="4"/>
  <c r="K16" i="4"/>
  <c r="D73" i="59"/>
  <c r="C72" i="59"/>
  <c r="D72" i="59"/>
  <c r="C60" i="59"/>
  <c r="O60" i="59"/>
  <c r="N59" i="59"/>
  <c r="D60" i="59"/>
  <c r="O27" i="6"/>
  <c r="N27" i="6"/>
  <c r="P26" i="6"/>
  <c r="L26" i="6"/>
  <c r="P25" i="6"/>
  <c r="L25" i="6"/>
  <c r="P24" i="6"/>
  <c r="L24" i="6"/>
  <c r="P23" i="6"/>
  <c r="L23" i="6"/>
  <c r="P22" i="6"/>
  <c r="L22" i="6"/>
  <c r="P21" i="6"/>
  <c r="L21" i="6"/>
  <c r="P20" i="6"/>
  <c r="P19" i="6"/>
  <c r="Q18" i="36"/>
  <c r="Z18" i="36"/>
  <c r="C18" i="36"/>
  <c r="D66" i="36"/>
  <c r="F18" i="36"/>
  <c r="S18" i="36"/>
  <c r="Z18" i="35"/>
  <c r="Q18" i="35"/>
  <c r="F18" i="35"/>
  <c r="AA18" i="35"/>
  <c r="C18" i="35"/>
  <c r="D68" i="35"/>
  <c r="E68" i="35"/>
  <c r="F68" i="35"/>
  <c r="G68" i="35"/>
  <c r="Q21" i="37"/>
  <c r="Z21" i="37"/>
  <c r="F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S21" i="21"/>
  <c r="AA21" i="21"/>
  <c r="C21" i="21"/>
  <c r="Q27" i="40"/>
  <c r="Z27" i="40"/>
  <c r="D96" i="40"/>
  <c r="E96" i="40"/>
  <c r="F96" i="40"/>
  <c r="F27" i="40"/>
  <c r="AA27" i="40"/>
  <c r="Q31" i="39"/>
  <c r="Z31" i="39"/>
  <c r="D105" i="39"/>
  <c r="E105" i="39"/>
  <c r="F105" i="39"/>
  <c r="F31" i="39"/>
  <c r="G20" i="20"/>
  <c r="B85" i="46"/>
  <c r="C22" i="20"/>
  <c r="B65" i="46"/>
  <c r="C27" i="40"/>
  <c r="C31" i="39"/>
  <c r="B54" i="46"/>
  <c r="B74" i="46"/>
  <c r="E66" i="36"/>
  <c r="H18" i="35"/>
  <c r="J18" i="35"/>
  <c r="H21" i="37"/>
  <c r="J21" i="37"/>
  <c r="E84" i="34"/>
  <c r="F84" i="34"/>
  <c r="G84" i="34"/>
  <c r="J21" i="34"/>
  <c r="H21" i="34"/>
  <c r="F21" i="33"/>
  <c r="H21" i="33"/>
  <c r="J21" i="33"/>
  <c r="H21" i="21"/>
  <c r="J21" i="21"/>
  <c r="H27" i="40"/>
  <c r="H31" i="39"/>
  <c r="F23" i="15"/>
  <c r="D22" i="15"/>
  <c r="G17" i="11"/>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c r="F12" i="1"/>
  <c r="AP12" i="1"/>
  <c r="F13" i="1"/>
  <c r="AP13" i="1"/>
  <c r="D11" i="1"/>
  <c r="D12" i="1"/>
  <c r="D13" i="1"/>
  <c r="D6" i="1"/>
  <c r="D7" i="1"/>
  <c r="D8" i="1"/>
  <c r="D9" i="1"/>
  <c r="F10" i="1"/>
  <c r="AP10" i="1"/>
  <c r="D10" i="1"/>
  <c r="B2" i="1"/>
  <c r="C9" i="39"/>
  <c r="C70" i="39"/>
  <c r="A12" i="1"/>
  <c r="R12" i="1"/>
  <c r="A13" i="1"/>
  <c r="B13" i="1"/>
  <c r="E13" i="1"/>
  <c r="A7" i="1"/>
  <c r="A8" i="1"/>
  <c r="A9" i="1"/>
  <c r="A10" i="1"/>
  <c r="B10" i="1"/>
  <c r="E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G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c r="BB67" i="3"/>
  <c r="AX67" i="3"/>
  <c r="AW67" i="3"/>
  <c r="AV67" i="3"/>
  <c r="AC67" i="3"/>
  <c r="H67" i="3"/>
  <c r="G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G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A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L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A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A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L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A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E19" i="4"/>
  <c r="F7" i="1"/>
  <c r="I20" i="7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C35" i="4"/>
  <c r="E16" i="12"/>
  <c r="F14" i="12"/>
  <c r="F15" i="12"/>
  <c r="F17"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C20" i="43"/>
  <c r="F10" i="40"/>
  <c r="AA10" i="40"/>
  <c r="F11" i="40"/>
  <c r="AA11" i="40"/>
  <c r="C21" i="40"/>
  <c r="C32" i="40"/>
  <c r="H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22" i="1"/>
  <c r="G22" i="43"/>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W38" i="34"/>
  <c r="D114" i="34"/>
  <c r="F38" i="34"/>
  <c r="S38" i="34"/>
  <c r="D112" i="34"/>
  <c r="E112" i="34"/>
  <c r="F112" i="34"/>
  <c r="G112" i="34"/>
  <c r="F40" i="33"/>
  <c r="J41" i="33"/>
  <c r="AC41" i="33"/>
  <c r="D113" i="33"/>
  <c r="D111" i="33"/>
  <c r="E111" i="33"/>
  <c r="S515" i="31"/>
  <c r="S517" i="31"/>
  <c r="S519" i="31"/>
  <c r="S521" i="31"/>
  <c r="S523" i="31"/>
  <c r="F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c r="F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W26" i="36"/>
  <c r="B75" i="36"/>
  <c r="J25" i="36"/>
  <c r="B73" i="36"/>
  <c r="J24" i="36"/>
  <c r="W24" i="36"/>
  <c r="B71" i="36"/>
  <c r="D70" i="36"/>
  <c r="H22" i="36"/>
  <c r="AB22" i="36"/>
  <c r="D68" i="36"/>
  <c r="E68" i="36"/>
  <c r="D64" i="36"/>
  <c r="E64" i="36"/>
  <c r="F64" i="36"/>
  <c r="G64" i="36"/>
  <c r="J16" i="36"/>
  <c r="D62" i="36"/>
  <c r="E62" i="36"/>
  <c r="B59" i="36"/>
  <c r="J13"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J25" i="35"/>
  <c r="W25" i="35"/>
  <c r="B75" i="35"/>
  <c r="J24" i="35"/>
  <c r="AC24" i="35"/>
  <c r="B73" i="35"/>
  <c r="J23" i="35"/>
  <c r="AC23" i="35"/>
  <c r="B57" i="35"/>
  <c r="B61" i="35"/>
  <c r="B59" i="35"/>
  <c r="F12" i="35"/>
  <c r="AA12" i="35"/>
  <c r="B131" i="34"/>
  <c r="H47" i="34"/>
  <c r="B129" i="34"/>
  <c r="B127" i="34"/>
  <c r="B99" i="34"/>
  <c r="B97" i="34"/>
  <c r="J31" i="34"/>
  <c r="B95" i="34"/>
  <c r="B93" i="34"/>
  <c r="B75" i="34"/>
  <c r="B73" i="34"/>
  <c r="B71" i="34"/>
  <c r="B130" i="33"/>
  <c r="J46" i="33"/>
  <c r="AC46" i="33"/>
  <c r="B128" i="33"/>
  <c r="F45" i="33"/>
  <c r="S45"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S28" i="34"/>
  <c r="B89" i="34"/>
  <c r="J27" i="34"/>
  <c r="D88" i="34"/>
  <c r="E88" i="34"/>
  <c r="D86" i="34"/>
  <c r="E86" i="34"/>
  <c r="F86" i="34"/>
  <c r="G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AA8" i="34"/>
  <c r="C7" i="34"/>
  <c r="C59" i="34"/>
  <c r="D121" i="33"/>
  <c r="F109" i="33"/>
  <c r="E109" i="33"/>
  <c r="D109" i="33"/>
  <c r="C109" i="33"/>
  <c r="D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2" i="33"/>
  <c r="B90"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AA12" i="33"/>
  <c r="Q11" i="33"/>
  <c r="Z11" i="33"/>
  <c r="Q10" i="33"/>
  <c r="Z10" i="33"/>
  <c r="Q9" i="33"/>
  <c r="Z9" i="33"/>
  <c r="J8" i="33"/>
  <c r="W8" i="33"/>
  <c r="H8" i="33"/>
  <c r="U8" i="33"/>
  <c r="F8" i="33"/>
  <c r="M102" i="21"/>
  <c r="D102" i="21"/>
  <c r="E102" i="21"/>
  <c r="F102" i="21"/>
  <c r="G102" i="21"/>
  <c r="H102" i="21"/>
  <c r="I102" i="21"/>
  <c r="J102" i="21"/>
  <c r="K102" i="21"/>
  <c r="L102" i="21"/>
  <c r="C102" i="21"/>
  <c r="C63" i="21"/>
  <c r="G18" i="20"/>
  <c r="B87" i="46"/>
  <c r="C25" i="40"/>
  <c r="G16" i="20"/>
  <c r="B81" i="46"/>
  <c r="G15" i="20"/>
  <c r="C24" i="20"/>
  <c r="C21" i="20"/>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F44" i="21"/>
  <c r="B98" i="21"/>
  <c r="J31" i="21"/>
  <c r="AC31" i="21"/>
  <c r="B96" i="21"/>
  <c r="B94" i="21"/>
  <c r="J29" i="21"/>
  <c r="AC29" i="21"/>
  <c r="B92" i="21"/>
  <c r="B90" i="21"/>
  <c r="B74" i="21"/>
  <c r="B72" i="21"/>
  <c r="H13" i="21"/>
  <c r="B70" i="21"/>
  <c r="H12" i="21"/>
  <c r="U12"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10" i="21"/>
  <c r="U10" i="21"/>
  <c r="H39" i="21"/>
  <c r="J34" i="21"/>
  <c r="W34" i="21"/>
  <c r="H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39" i="37"/>
  <c r="AA39" i="37"/>
  <c r="F29" i="36"/>
  <c r="AA29" i="36"/>
  <c r="F16" i="36"/>
  <c r="AA16" i="36"/>
  <c r="U22" i="36"/>
  <c r="W23" i="36"/>
  <c r="W22" i="36"/>
  <c r="U26" i="36"/>
  <c r="AC31" i="36"/>
  <c r="J33" i="36"/>
  <c r="W33" i="36"/>
  <c r="AC27" i="35"/>
  <c r="U31" i="35"/>
  <c r="S34" i="35"/>
  <c r="W24" i="35"/>
  <c r="S31" i="35"/>
  <c r="W31" i="35"/>
  <c r="U34" i="35"/>
  <c r="F36" i="34"/>
  <c r="S36" i="34"/>
  <c r="W39" i="34"/>
  <c r="H39" i="33"/>
  <c r="AB39" i="33"/>
  <c r="S40" i="33"/>
  <c r="S8" i="21"/>
  <c r="H39" i="37"/>
  <c r="AB39" i="37"/>
  <c r="AB27" i="35"/>
  <c r="S10" i="40"/>
  <c r="W10" i="40"/>
  <c r="S11" i="40"/>
  <c r="U11" i="40"/>
  <c r="S36" i="40"/>
  <c r="U36" i="40"/>
  <c r="S40" i="39"/>
  <c r="S36" i="39"/>
  <c r="F11" i="21"/>
  <c r="S11" i="21"/>
  <c r="AC40" i="21"/>
  <c r="AA38" i="21"/>
  <c r="AC35" i="21"/>
  <c r="C29" i="39"/>
  <c r="U36" i="39"/>
  <c r="S42" i="39"/>
  <c r="H11" i="21"/>
  <c r="U11" i="21"/>
  <c r="J11" i="21"/>
  <c r="W11" i="21"/>
  <c r="F100" i="40"/>
  <c r="F86" i="40"/>
  <c r="G86" i="40"/>
  <c r="J27" i="36"/>
  <c r="W27" i="36"/>
  <c r="J30" i="35"/>
  <c r="W30" i="35"/>
  <c r="F22" i="35"/>
  <c r="AA22" i="35"/>
  <c r="H10" i="35"/>
  <c r="U10" i="35"/>
  <c r="AC24" i="36"/>
  <c r="U29" i="36"/>
  <c r="U24" i="36"/>
  <c r="G85" i="36"/>
  <c r="H85" i="36"/>
  <c r="I85" i="36"/>
  <c r="J85" i="36"/>
  <c r="K85" i="36"/>
  <c r="L85" i="36"/>
  <c r="M85" i="36"/>
  <c r="J29" i="36"/>
  <c r="AC29" i="36"/>
  <c r="F12" i="36"/>
  <c r="S12" i="36"/>
  <c r="F24" i="36"/>
  <c r="AA24" i="36"/>
  <c r="F34" i="36"/>
  <c r="S34" i="36"/>
  <c r="S10" i="36"/>
  <c r="AB8" i="36"/>
  <c r="H16" i="35"/>
  <c r="H33" i="35"/>
  <c r="AB33" i="35"/>
  <c r="W8" i="35"/>
  <c r="AC8" i="35"/>
  <c r="F35" i="37"/>
  <c r="E101" i="37"/>
  <c r="F101" i="37"/>
  <c r="G101" i="37"/>
  <c r="H101" i="37"/>
  <c r="I101" i="37"/>
  <c r="J101" i="37"/>
  <c r="K101" i="37"/>
  <c r="L101" i="37"/>
  <c r="M101" i="37"/>
  <c r="J34" i="37"/>
  <c r="W34" i="37"/>
  <c r="H43" i="34"/>
  <c r="U43" i="34"/>
  <c r="U42" i="34"/>
  <c r="E114" i="34"/>
  <c r="F114" i="34"/>
  <c r="G114" i="34"/>
  <c r="H114" i="34"/>
  <c r="I114" i="34"/>
  <c r="J114" i="34"/>
  <c r="K114" i="34"/>
  <c r="L114" i="34"/>
  <c r="M114" i="34"/>
  <c r="H36" i="34"/>
  <c r="U36" i="34"/>
  <c r="F33" i="34"/>
  <c r="S33" i="34"/>
  <c r="J10" i="34"/>
  <c r="AC10" i="34"/>
  <c r="W8" i="34"/>
  <c r="J28" i="34"/>
  <c r="W28" i="34"/>
  <c r="S38" i="33"/>
  <c r="E113" i="33"/>
  <c r="F113" i="33"/>
  <c r="G113" i="33"/>
  <c r="F37" i="33"/>
  <c r="AA37" i="33"/>
  <c r="S10" i="21"/>
  <c r="W40" i="33"/>
  <c r="AB30" i="36"/>
  <c r="S22" i="35"/>
  <c r="H29" i="35"/>
  <c r="U34" i="37"/>
  <c r="S34" i="37"/>
  <c r="AA34" i="37"/>
  <c r="AB42" i="34"/>
  <c r="H37" i="33"/>
  <c r="AB37" i="33"/>
  <c r="AC42" i="34"/>
  <c r="W42" i="34"/>
  <c r="AA42" i="34"/>
  <c r="S42" i="34"/>
  <c r="AC38" i="34"/>
  <c r="AA38" i="34"/>
  <c r="J37" i="33"/>
  <c r="W37" i="33"/>
  <c r="J42" i="21"/>
  <c r="AC42" i="21"/>
  <c r="J44" i="34"/>
  <c r="AC44" i="34"/>
  <c r="F44" i="34"/>
  <c r="S44" i="34"/>
  <c r="J10" i="35"/>
  <c r="W10" i="35"/>
  <c r="AL5" i="3"/>
  <c r="BQ13" i="3"/>
  <c r="J14" i="21"/>
  <c r="F14" i="21"/>
  <c r="AA14" i="21"/>
  <c r="H14" i="21"/>
  <c r="U14" i="21"/>
  <c r="H28" i="21"/>
  <c r="AB28" i="21"/>
  <c r="F28" i="21"/>
  <c r="S28" i="21"/>
  <c r="J28" i="21"/>
  <c r="AC28" i="21"/>
  <c r="H30" i="21"/>
  <c r="U30" i="21"/>
  <c r="F30" i="21"/>
  <c r="S30" i="21"/>
  <c r="J30" i="21"/>
  <c r="W30" i="21"/>
  <c r="J44" i="21"/>
  <c r="AC44" i="21"/>
  <c r="H44" i="21"/>
  <c r="U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F13" i="21"/>
  <c r="AA13" i="21"/>
  <c r="H27" i="21"/>
  <c r="AB27" i="21"/>
  <c r="J27" i="21"/>
  <c r="W27" i="21"/>
  <c r="F27" i="21"/>
  <c r="AA27" i="21"/>
  <c r="F29" i="21"/>
  <c r="S29" i="21"/>
  <c r="H31" i="21"/>
  <c r="U31" i="21"/>
  <c r="J27" i="33"/>
  <c r="AC27" i="33"/>
  <c r="F13" i="33"/>
  <c r="J29" i="33"/>
  <c r="W29" i="33"/>
  <c r="J31" i="33"/>
  <c r="AC31" i="33"/>
  <c r="H31" i="33"/>
  <c r="U31" i="33"/>
  <c r="S31" i="33"/>
  <c r="J45" i="33"/>
  <c r="W45" i="33"/>
  <c r="F11" i="35"/>
  <c r="S11" i="35"/>
  <c r="H28" i="36"/>
  <c r="H32" i="36"/>
  <c r="AB32" i="36"/>
  <c r="J32" i="36"/>
  <c r="AC32" i="36"/>
  <c r="J11" i="36"/>
  <c r="W11" i="36"/>
  <c r="H13" i="36"/>
  <c r="AB13" i="36"/>
  <c r="W13" i="36"/>
  <c r="F13" i="36"/>
  <c r="S13" i="36"/>
  <c r="E89" i="37"/>
  <c r="F89" i="37"/>
  <c r="G89" i="37"/>
  <c r="H89" i="37"/>
  <c r="I89" i="37"/>
  <c r="J89" i="37"/>
  <c r="K89" i="37"/>
  <c r="L89" i="37"/>
  <c r="M89" i="37"/>
  <c r="J29" i="37"/>
  <c r="W29" i="37"/>
  <c r="F29" i="37"/>
  <c r="AA29" i="37"/>
  <c r="F105" i="37"/>
  <c r="AB36" i="37"/>
  <c r="F107" i="37"/>
  <c r="G107" i="37"/>
  <c r="H107" i="37"/>
  <c r="I107" i="37"/>
  <c r="J107" i="37"/>
  <c r="K107" i="37"/>
  <c r="J37" i="37"/>
  <c r="AC37" i="37"/>
  <c r="H37" i="37"/>
  <c r="U37" i="37"/>
  <c r="H40" i="37"/>
  <c r="U40" i="37"/>
  <c r="J40" i="37"/>
  <c r="F40" i="37"/>
  <c r="AA40" i="37"/>
  <c r="H14" i="33"/>
  <c r="U14" i="33"/>
  <c r="F14" i="33"/>
  <c r="AA14" i="33"/>
  <c r="J14" i="33"/>
  <c r="AC14" i="33"/>
  <c r="H30" i="33"/>
  <c r="F30" i="33"/>
  <c r="S30" i="33"/>
  <c r="J30" i="33"/>
  <c r="AC30" i="33"/>
  <c r="H44" i="33"/>
  <c r="U44" i="33"/>
  <c r="J44" i="33"/>
  <c r="AC44" i="33"/>
  <c r="F44" i="33"/>
  <c r="S44" i="33"/>
  <c r="F46" i="33"/>
  <c r="H46" i="33"/>
  <c r="AB46" i="33"/>
  <c r="H13" i="34"/>
  <c r="U13" i="34"/>
  <c r="J13" i="34"/>
  <c r="W13" i="34"/>
  <c r="F13" i="34"/>
  <c r="AA13" i="34"/>
  <c r="J29" i="34"/>
  <c r="AC29" i="34"/>
  <c r="F29" i="34"/>
  <c r="S29" i="34"/>
  <c r="H29" i="34"/>
  <c r="U29" i="34"/>
  <c r="AC31" i="34"/>
  <c r="H31" i="34"/>
  <c r="F31" i="34"/>
  <c r="S31" i="34"/>
  <c r="H45" i="34"/>
  <c r="U45" i="34"/>
  <c r="J45" i="34"/>
  <c r="W45" i="34"/>
  <c r="F45" i="34"/>
  <c r="AA45" i="34"/>
  <c r="U47" i="34"/>
  <c r="F47" i="34"/>
  <c r="AA47" i="34"/>
  <c r="F13" i="35"/>
  <c r="S13" i="35"/>
  <c r="J13" i="35"/>
  <c r="AC13" i="35"/>
  <c r="H13" i="35"/>
  <c r="U13" i="35"/>
  <c r="AC25" i="35"/>
  <c r="H25" i="35"/>
  <c r="J35" i="35"/>
  <c r="AC35" i="35"/>
  <c r="F35" i="35"/>
  <c r="S35" i="35"/>
  <c r="H35" i="35"/>
  <c r="U35" i="35"/>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AB40" i="37"/>
  <c r="J36" i="37"/>
  <c r="AC36" i="37"/>
  <c r="G105" i="37"/>
  <c r="U46" i="21"/>
  <c r="AB30" i="21"/>
  <c r="AA28" i="21"/>
  <c r="W31" i="34"/>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c r="BL533" i="3"/>
  <c r="BL525" i="3"/>
  <c r="G518" i="3"/>
  <c r="G514" i="3"/>
  <c r="G510" i="3"/>
  <c r="BL503" i="3"/>
  <c r="BL495" i="3"/>
  <c r="BL485" i="3"/>
  <c r="G18" i="3"/>
  <c r="BA569" i="3"/>
  <c r="BA565" i="3"/>
  <c r="BA561" i="3"/>
  <c r="AZ561" i="3"/>
  <c r="BA559" i="3"/>
  <c r="AZ559" i="3"/>
  <c r="BA557" i="3"/>
  <c r="AZ557" i="3"/>
  <c r="BA555" i="3"/>
  <c r="BA551" i="3"/>
  <c r="AZ551" i="3"/>
  <c r="BA545" i="3"/>
  <c r="BA543" i="3"/>
  <c r="BA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BA542" i="3"/>
  <c r="AC542" i="3"/>
  <c r="G542" i="3"/>
  <c r="BQ542" i="3"/>
  <c r="BL542" i="3"/>
  <c r="BQ568" i="3"/>
  <c r="BQ566" i="3"/>
  <c r="BQ564" i="3"/>
  <c r="BL564" i="3"/>
  <c r="BQ562" i="3"/>
  <c r="BL562" i="3"/>
  <c r="BQ560" i="3"/>
  <c r="BL560" i="3"/>
  <c r="BQ558" i="3"/>
  <c r="BL558" i="3"/>
  <c r="BQ556" i="3"/>
  <c r="BL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Q532" i="3"/>
  <c r="BL532" i="3"/>
  <c r="AZ532" i="3"/>
  <c r="BQ530" i="3"/>
  <c r="BQ528" i="3"/>
  <c r="BQ526" i="3"/>
  <c r="BL526" i="3"/>
  <c r="BQ524" i="3"/>
  <c r="BL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Q496" i="3"/>
  <c r="AC494" i="3"/>
  <c r="BQ494" i="3"/>
  <c r="BL493" i="3"/>
  <c r="AZ493" i="3"/>
  <c r="G492" i="3"/>
  <c r="G488" i="3"/>
  <c r="G484" i="3"/>
  <c r="G20" i="3"/>
  <c r="BQ492" i="3"/>
  <c r="BL492" i="3"/>
  <c r="BQ490" i="3"/>
  <c r="BQ488" i="3"/>
  <c r="BL488" i="3"/>
  <c r="BQ486" i="3"/>
  <c r="BQ484" i="3"/>
  <c r="BL484" i="3"/>
  <c r="BQ482" i="3"/>
  <c r="BL482" i="3"/>
  <c r="AZ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F79" i="37"/>
  <c r="G79" i="37"/>
  <c r="AB27" i="37"/>
  <c r="F39" i="33"/>
  <c r="AA39" i="33"/>
  <c r="E123" i="33"/>
  <c r="F123"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J23" i="37"/>
  <c r="W23" i="37"/>
  <c r="F17" i="37"/>
  <c r="AA17" i="37"/>
  <c r="D3" i="21"/>
  <c r="W23" i="35"/>
  <c r="U39" i="37"/>
  <c r="AC8" i="37"/>
  <c r="AC45" i="33"/>
  <c r="U19" i="21"/>
  <c r="AC33" i="21"/>
  <c r="F43" i="33"/>
  <c r="AA43" i="33"/>
  <c r="S10" i="35"/>
  <c r="L107" i="37"/>
  <c r="M107" i="37"/>
  <c r="F37" i="21"/>
  <c r="S37" i="21"/>
  <c r="J37" i="21"/>
  <c r="W37" i="21"/>
  <c r="J10" i="37"/>
  <c r="W10" i="37"/>
  <c r="F36" i="35"/>
  <c r="S36" i="35"/>
  <c r="J9" i="37"/>
  <c r="W9" i="37"/>
  <c r="H9" i="37"/>
  <c r="U9" i="37"/>
  <c r="F9" i="37"/>
  <c r="S9" i="37"/>
  <c r="F11" i="37"/>
  <c r="S11" i="37"/>
  <c r="J12" i="37"/>
  <c r="AC12" i="37"/>
  <c r="H12" i="37"/>
  <c r="AB12" i="37"/>
  <c r="F12" i="37"/>
  <c r="AA12" i="37"/>
  <c r="H15" i="37"/>
  <c r="E94" i="37"/>
  <c r="F31" i="37"/>
  <c r="S31" i="37"/>
  <c r="F94" i="37"/>
  <c r="G94" i="37"/>
  <c r="H94" i="37"/>
  <c r="I94" i="37"/>
  <c r="J94" i="37"/>
  <c r="K94" i="37"/>
  <c r="L94" i="37"/>
  <c r="M94" i="37"/>
  <c r="H31" i="37"/>
  <c r="U31" i="37"/>
  <c r="J15" i="37"/>
  <c r="W15" i="37"/>
  <c r="U12" i="37"/>
  <c r="AB10" i="37"/>
  <c r="J11" i="37"/>
  <c r="W11" i="37"/>
  <c r="E90" i="40"/>
  <c r="F90" i="40"/>
  <c r="G90" i="40"/>
  <c r="F21" i="40"/>
  <c r="S21" i="40"/>
  <c r="W36" i="40"/>
  <c r="U40" i="39"/>
  <c r="J21" i="40"/>
  <c r="AC21" i="40"/>
  <c r="S27" i="31"/>
  <c r="G483" i="3"/>
  <c r="G515" i="3"/>
  <c r="G507" i="3"/>
  <c r="G501" i="3"/>
  <c r="BA15" i="3"/>
  <c r="BL17" i="3"/>
  <c r="BL15" i="3"/>
  <c r="BA14" i="3"/>
  <c r="J57" i="39"/>
  <c r="H13" i="40"/>
  <c r="U13" i="40"/>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c r="BL115" i="3"/>
  <c r="AZ115" i="3"/>
  <c r="G116" i="3"/>
  <c r="BA118" i="3"/>
  <c r="BL119" i="3"/>
  <c r="G120" i="3"/>
  <c r="BA122" i="3"/>
  <c r="BL123" i="3"/>
  <c r="AZ123" i="3"/>
  <c r="G124" i="3"/>
  <c r="BA126" i="3"/>
  <c r="BL127" i="3"/>
  <c r="G128" i="3"/>
  <c r="BA130" i="3"/>
  <c r="BL131" i="3"/>
  <c r="AZ131" i="3"/>
  <c r="G132" i="3"/>
  <c r="BA134" i="3"/>
  <c r="BL135" i="3"/>
  <c r="G136" i="3"/>
  <c r="BA138" i="3"/>
  <c r="BL139" i="3"/>
  <c r="G140" i="3"/>
  <c r="BA142" i="3"/>
  <c r="BL143" i="3"/>
  <c r="G144" i="3"/>
  <c r="BA146" i="3"/>
  <c r="BL147" i="3"/>
  <c r="G148" i="3"/>
  <c r="BA150" i="3"/>
  <c r="BL151" i="3"/>
  <c r="BA153" i="3"/>
  <c r="BL154" i="3"/>
  <c r="G155" i="3"/>
  <c r="BA157" i="3"/>
  <c r="BL158" i="3"/>
  <c r="AZ158" i="3"/>
  <c r="G159" i="3"/>
  <c r="BA161" i="3"/>
  <c r="AZ161" i="3"/>
  <c r="BL162" i="3"/>
  <c r="G163" i="3"/>
  <c r="BA165" i="3"/>
  <c r="BL166" i="3"/>
  <c r="G167" i="3"/>
  <c r="BA169" i="3"/>
  <c r="AZ169" i="3"/>
  <c r="BL170" i="3"/>
  <c r="G171" i="3"/>
  <c r="BA173" i="3"/>
  <c r="BL174" i="3"/>
  <c r="G175" i="3"/>
  <c r="BA178" i="3"/>
  <c r="BL179" i="3"/>
  <c r="G180" i="3"/>
  <c r="G537" i="3"/>
  <c r="BL181" i="3"/>
  <c r="G182" i="3"/>
  <c r="BA184" i="3"/>
  <c r="AZ184" i="3"/>
  <c r="BL185" i="3"/>
  <c r="G186" i="3"/>
  <c r="BA188" i="3"/>
  <c r="BL189" i="3"/>
  <c r="G190" i="3"/>
  <c r="BA192" i="3"/>
  <c r="AZ192" i="3"/>
  <c r="BL193" i="3"/>
  <c r="AZ193" i="3"/>
  <c r="G194" i="3"/>
  <c r="BA196" i="3"/>
  <c r="BL197" i="3"/>
  <c r="G198" i="3"/>
  <c r="BA200" i="3"/>
  <c r="AZ200" i="3"/>
  <c r="BL201" i="3"/>
  <c r="AZ70" i="3"/>
  <c r="AZ82" i="3"/>
  <c r="AZ84"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BA331" i="3"/>
  <c r="BL331" i="3"/>
  <c r="G332" i="3"/>
  <c r="G335" i="3"/>
  <c r="BL336" i="3"/>
  <c r="BA338" i="3"/>
  <c r="AZ338" i="3"/>
  <c r="BA339" i="3"/>
  <c r="BL339" i="3"/>
  <c r="G340" i="3"/>
  <c r="G343" i="3"/>
  <c r="BL344" i="3"/>
  <c r="BA346" i="3"/>
  <c r="AZ346" i="3"/>
  <c r="BA347" i="3"/>
  <c r="BL347" i="3"/>
  <c r="G348" i="3"/>
  <c r="G351" i="3"/>
  <c r="BL352" i="3"/>
  <c r="BA354" i="3"/>
  <c r="AZ354" i="3"/>
  <c r="BA355" i="3"/>
  <c r="BL355" i="3"/>
  <c r="AZ355" i="3"/>
  <c r="G356" i="3"/>
  <c r="BA358" i="3"/>
  <c r="AZ358" i="3"/>
  <c r="BA359" i="3"/>
  <c r="BL359" i="3"/>
  <c r="G360" i="3"/>
  <c r="G361" i="3"/>
  <c r="BL362" i="3"/>
  <c r="BA364" i="3"/>
  <c r="AZ364" i="3"/>
  <c r="BA365" i="3"/>
  <c r="AZ365" i="3"/>
  <c r="BL365" i="3"/>
  <c r="G366" i="3"/>
  <c r="G369" i="3"/>
  <c r="BL370" i="3"/>
  <c r="BA372" i="3"/>
  <c r="AZ372" i="3"/>
  <c r="BA373" i="3"/>
  <c r="BL373" i="3"/>
  <c r="AZ373" i="3"/>
  <c r="G374" i="3"/>
  <c r="G377" i="3"/>
  <c r="BL378" i="3"/>
  <c r="BA380" i="3"/>
  <c r="BA381" i="3"/>
  <c r="AZ381" i="3"/>
  <c r="BL381" i="3"/>
  <c r="G382" i="3"/>
  <c r="G385" i="3"/>
  <c r="AZ183" i="3"/>
  <c r="G523" i="3"/>
  <c r="BL297" i="3"/>
  <c r="G298" i="3"/>
  <c r="BA300" i="3"/>
  <c r="BL301" i="3"/>
  <c r="G302" i="3"/>
  <c r="BA304" i="3"/>
  <c r="AZ304" i="3"/>
  <c r="BL305" i="3"/>
  <c r="G306" i="3"/>
  <c r="BA308" i="3"/>
  <c r="AZ308" i="3"/>
  <c r="BL309" i="3"/>
  <c r="G310" i="3"/>
  <c r="BA310" i="3"/>
  <c r="BL311" i="3"/>
  <c r="G312" i="3"/>
  <c r="BA312" i="3"/>
  <c r="AZ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21" i="3"/>
  <c r="AZ353" i="3"/>
  <c r="G368" i="3"/>
  <c r="BA370" i="3"/>
  <c r="AZ370" i="3"/>
  <c r="BL371" i="3"/>
  <c r="G372" i="3"/>
  <c r="BA374" i="3"/>
  <c r="AZ374" i="3"/>
  <c r="BL375" i="3"/>
  <c r="G376" i="3"/>
  <c r="BA378" i="3"/>
  <c r="AZ378" i="3"/>
  <c r="BL379" i="3"/>
  <c r="G380" i="3"/>
  <c r="BA382" i="3"/>
  <c r="BL383" i="3"/>
  <c r="G384" i="3"/>
  <c r="AZ383" i="3"/>
  <c r="AZ290" i="3"/>
  <c r="AZ303" i="3"/>
  <c r="AZ313" i="3"/>
  <c r="AZ319" i="3"/>
  <c r="AZ339" i="3"/>
  <c r="H7" i="48"/>
  <c r="F33" i="46"/>
  <c r="H16" i="48"/>
  <c r="H9" i="48"/>
  <c r="H8" i="48"/>
  <c r="C12" i="46"/>
  <c r="U43" i="21"/>
  <c r="AA13" i="40"/>
  <c r="E78" i="40"/>
  <c r="F78" i="40"/>
  <c r="G78" i="40"/>
  <c r="H78" i="40"/>
  <c r="I78" i="40"/>
  <c r="J78" i="40"/>
  <c r="K78" i="40"/>
  <c r="L78" i="40"/>
  <c r="M78" i="40"/>
  <c r="R16" i="4"/>
  <c r="P16" i="4"/>
  <c r="D3" i="35"/>
  <c r="G4" i="4"/>
  <c r="J16" i="35"/>
  <c r="W16" i="35"/>
  <c r="U42" i="21"/>
  <c r="AC26" i="36"/>
  <c r="AZ300" i="3"/>
  <c r="H13" i="39"/>
  <c r="AB13" i="39"/>
  <c r="F13" i="39"/>
  <c r="J13" i="39"/>
  <c r="AC13" i="39"/>
  <c r="AA36" i="35"/>
  <c r="H11" i="37"/>
  <c r="AB11" i="37"/>
  <c r="W37" i="37"/>
  <c r="AA36" i="37"/>
  <c r="AB17" i="37"/>
  <c r="AZ508" i="3"/>
  <c r="AA45" i="33"/>
  <c r="AC10" i="36"/>
  <c r="AC14" i="37"/>
  <c r="AB35" i="35"/>
  <c r="W44" i="33"/>
  <c r="W30" i="33"/>
  <c r="W32" i="36"/>
  <c r="AB28" i="33"/>
  <c r="J33" i="34"/>
  <c r="AC33" i="34"/>
  <c r="J40" i="34"/>
  <c r="W40" i="34"/>
  <c r="F16" i="35"/>
  <c r="AA16" i="35"/>
  <c r="S24" i="36"/>
  <c r="J35" i="34"/>
  <c r="AC35" i="34"/>
  <c r="S30" i="36"/>
  <c r="H16" i="36"/>
  <c r="AB16" i="36"/>
  <c r="H35" i="37"/>
  <c r="AB35" i="37"/>
  <c r="S26" i="21"/>
  <c r="AB12" i="21"/>
  <c r="H32" i="21"/>
  <c r="U32" i="21"/>
  <c r="AA33" i="21"/>
  <c r="S33"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I66" i="33"/>
  <c r="F10" i="33"/>
  <c r="AA10" i="33"/>
  <c r="F11" i="33"/>
  <c r="S11" i="33"/>
  <c r="F35" i="33"/>
  <c r="AA35" i="33"/>
  <c r="F11" i="34"/>
  <c r="S11" i="34"/>
  <c r="E80"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19" i="39"/>
  <c r="S19" i="39"/>
  <c r="H19" i="39"/>
  <c r="AB19" i="39"/>
  <c r="J19" i="39"/>
  <c r="W19" i="39"/>
  <c r="F43" i="39"/>
  <c r="H43" i="39"/>
  <c r="U43" i="39"/>
  <c r="J43" i="39"/>
  <c r="F99" i="37"/>
  <c r="G99" i="37"/>
  <c r="AC27" i="37"/>
  <c r="S45" i="34"/>
  <c r="AC40" i="37"/>
  <c r="W40" i="37"/>
  <c r="AC45" i="21"/>
  <c r="S28" i="33"/>
  <c r="S14" i="21"/>
  <c r="AB29" i="35"/>
  <c r="U29" i="35"/>
  <c r="AB43" i="34"/>
  <c r="AC34" i="37"/>
  <c r="S35" i="37"/>
  <c r="AA35" i="37"/>
  <c r="AB10" i="35"/>
  <c r="AA32" i="21"/>
  <c r="S32" i="21"/>
  <c r="U38" i="21"/>
  <c r="AB34" i="21"/>
  <c r="BL571" i="3"/>
  <c r="BA571" i="3"/>
  <c r="AZ571" i="3"/>
  <c r="BL570" i="3"/>
  <c r="BE5" i="3"/>
  <c r="F42" i="21"/>
  <c r="AA42" i="21"/>
  <c r="AB40" i="33"/>
  <c r="U40" i="33"/>
  <c r="S35" i="34"/>
  <c r="E90" i="34"/>
  <c r="F90" i="34"/>
  <c r="H27" i="34"/>
  <c r="AB27" i="34"/>
  <c r="AB8"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S30" i="37"/>
  <c r="AC30" i="37"/>
  <c r="AC31" i="37"/>
  <c r="W31" i="37"/>
  <c r="AB14" i="37"/>
  <c r="F17" i="39"/>
  <c r="AA17" i="39"/>
  <c r="H17" i="39"/>
  <c r="U17" i="39"/>
  <c r="J17" i="39"/>
  <c r="W17" i="39"/>
  <c r="F21" i="39"/>
  <c r="S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J34" i="39"/>
  <c r="AC34" i="39"/>
  <c r="F39" i="39"/>
  <c r="S39" i="39"/>
  <c r="H39" i="39"/>
  <c r="AB39" i="39"/>
  <c r="J39" i="39"/>
  <c r="J29" i="35"/>
  <c r="AC29" i="35"/>
  <c r="F29" i="35"/>
  <c r="S29" i="35"/>
  <c r="W30" i="36"/>
  <c r="AC30" i="36"/>
  <c r="F37" i="39"/>
  <c r="AA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AZ548" i="3"/>
  <c r="BL547" i="3"/>
  <c r="BA547" i="3"/>
  <c r="BL539" i="3"/>
  <c r="BA539" i="3"/>
  <c r="AZ539" i="3"/>
  <c r="BA538" i="3"/>
  <c r="AZ538" i="3"/>
  <c r="BL537" i="3"/>
  <c r="AZ537" i="3"/>
  <c r="BA537" i="3"/>
  <c r="BL536" i="3"/>
  <c r="AZ536" i="3"/>
  <c r="BA535" i="3"/>
  <c r="AZ535" i="3"/>
  <c r="BA534" i="3"/>
  <c r="BA533" i="3"/>
  <c r="AZ533" i="3"/>
  <c r="BL531" i="3"/>
  <c r="AZ531" i="3"/>
  <c r="BL530" i="3"/>
  <c r="BA530" i="3"/>
  <c r="BL529" i="3"/>
  <c r="BA529" i="3"/>
  <c r="AZ529" i="3"/>
  <c r="BL528" i="3"/>
  <c r="BA527" i="3"/>
  <c r="AZ527" i="3"/>
  <c r="BA526" i="3"/>
  <c r="AZ526" i="3"/>
  <c r="BA525" i="3"/>
  <c r="AZ525" i="3"/>
  <c r="BL523" i="3"/>
  <c r="BA523" i="3"/>
  <c r="BL522" i="3"/>
  <c r="BA522" i="3"/>
  <c r="BL521" i="3"/>
  <c r="AZ521" i="3"/>
  <c r="BA519" i="3"/>
  <c r="AZ519" i="3"/>
  <c r="BL518" i="3"/>
  <c r="BA518" i="3"/>
  <c r="AZ518" i="3"/>
  <c r="BL517" i="3"/>
  <c r="BA517" i="3"/>
  <c r="AZ517" i="3"/>
  <c r="BL515" i="3"/>
  <c r="BA515" i="3"/>
  <c r="BA514" i="3"/>
  <c r="AZ514" i="3"/>
  <c r="BL513" i="3"/>
  <c r="BA513" i="3"/>
  <c r="BL512" i="3"/>
  <c r="AZ512" i="3"/>
  <c r="BA511" i="3"/>
  <c r="AZ511" i="3"/>
  <c r="BA510" i="3"/>
  <c r="AZ510" i="3"/>
  <c r="BL509" i="3"/>
  <c r="AZ509" i="3"/>
  <c r="BL507" i="3"/>
  <c r="BA507" i="3"/>
  <c r="AZ507" i="3"/>
  <c r="BL506" i="3"/>
  <c r="BA506" i="3"/>
  <c r="AZ506" i="3"/>
  <c r="BL505" i="3"/>
  <c r="AZ505" i="3"/>
  <c r="BL504" i="3"/>
  <c r="AZ504" i="3"/>
  <c r="BA504" i="3"/>
  <c r="BA503" i="3"/>
  <c r="AZ503" i="3"/>
  <c r="BA500" i="3"/>
  <c r="BL499" i="3"/>
  <c r="BA499" i="3"/>
  <c r="BL498" i="3"/>
  <c r="AZ498" i="3"/>
  <c r="BL497" i="3"/>
  <c r="BA497" i="3"/>
  <c r="BL496" i="3"/>
  <c r="AZ496" i="3"/>
  <c r="BA496" i="3"/>
  <c r="BA495" i="3"/>
  <c r="AZ495" i="3"/>
  <c r="BL494" i="3"/>
  <c r="BA494" i="3"/>
  <c r="AZ494" i="3"/>
  <c r="G494" i="3"/>
  <c r="BA491" i="3"/>
  <c r="AZ491" i="3"/>
  <c r="BL490" i="3"/>
  <c r="BA490" i="3"/>
  <c r="BL489" i="3"/>
  <c r="BA489" i="3"/>
  <c r="BL487" i="3"/>
  <c r="AZ487" i="3"/>
  <c r="BL486" i="3"/>
  <c r="AZ486" i="3"/>
  <c r="BA486" i="3"/>
  <c r="BA485" i="3"/>
  <c r="AZ485" i="3"/>
  <c r="BA483" i="3"/>
  <c r="AZ483" i="3"/>
  <c r="BA482" i="3"/>
  <c r="BL481" i="3"/>
  <c r="BJ5" i="3"/>
  <c r="BA481" i="3"/>
  <c r="AZ481" i="3"/>
  <c r="BL19" i="3"/>
  <c r="AZ19" i="3"/>
  <c r="BA18" i="3"/>
  <c r="F36" i="44"/>
  <c r="H38" i="34"/>
  <c r="U38" i="34"/>
  <c r="H30" i="40"/>
  <c r="AB30" i="40"/>
  <c r="G100" i="40"/>
  <c r="J30" i="40"/>
  <c r="AC30" i="40"/>
  <c r="F38" i="40"/>
  <c r="AA38" i="40"/>
  <c r="AC12" i="21"/>
  <c r="W12" i="21"/>
  <c r="AB33" i="21"/>
  <c r="S35" i="21"/>
  <c r="U8" i="21"/>
  <c r="S34" i="21"/>
  <c r="AC36" i="21"/>
  <c r="AB8" i="33"/>
  <c r="E106" i="33"/>
  <c r="H34" i="33"/>
  <c r="U34" i="33"/>
  <c r="F34" i="33"/>
  <c r="S34" i="33"/>
  <c r="E121" i="33"/>
  <c r="F41" i="33"/>
  <c r="S41" i="33"/>
  <c r="AA39" i="34"/>
  <c r="E78" i="34"/>
  <c r="F15" i="34"/>
  <c r="S15" i="34"/>
  <c r="AC28" i="35"/>
  <c r="W28" i="35"/>
  <c r="J20" i="35"/>
  <c r="AC20" i="35"/>
  <c r="E72" i="35"/>
  <c r="F72" i="35"/>
  <c r="G72" i="35"/>
  <c r="H22" i="35"/>
  <c r="AB22" i="35"/>
  <c r="H23" i="35"/>
  <c r="U23" i="35"/>
  <c r="F23" i="35"/>
  <c r="AA23" i="35"/>
  <c r="W12" i="36"/>
  <c r="AC12" i="36"/>
  <c r="U31" i="36"/>
  <c r="S8" i="37"/>
  <c r="AA8" i="37"/>
  <c r="F14" i="39"/>
  <c r="AA14" i="39"/>
  <c r="H14" i="39"/>
  <c r="AB14" i="39"/>
  <c r="J14" i="39"/>
  <c r="W14" i="39"/>
  <c r="F16" i="39"/>
  <c r="H16" i="39"/>
  <c r="U16" i="39"/>
  <c r="J16" i="39"/>
  <c r="AC16" i="39"/>
  <c r="F23" i="39"/>
  <c r="AA23" i="39"/>
  <c r="E97" i="39"/>
  <c r="F97" i="39"/>
  <c r="G97" i="39"/>
  <c r="F27" i="39"/>
  <c r="AA27" i="39"/>
  <c r="H27" i="39"/>
  <c r="U27" i="39"/>
  <c r="J27" i="39"/>
  <c r="AC27" i="39"/>
  <c r="F15" i="40"/>
  <c r="AA15" i="40"/>
  <c r="J15" i="40"/>
  <c r="AC15" i="40"/>
  <c r="H15" i="40"/>
  <c r="AB15" i="40"/>
  <c r="E92" i="40"/>
  <c r="F92" i="40"/>
  <c r="G92" i="40"/>
  <c r="H23" i="40"/>
  <c r="U23" i="40"/>
  <c r="H41" i="40"/>
  <c r="U41" i="40"/>
  <c r="F41" i="40"/>
  <c r="AA41" i="40"/>
  <c r="J41" i="40"/>
  <c r="W41" i="40"/>
  <c r="F15" i="39"/>
  <c r="AA15" i="39"/>
  <c r="H15" i="39"/>
  <c r="U15" i="39"/>
  <c r="J15" i="39"/>
  <c r="AC15" i="39"/>
  <c r="H25" i="39"/>
  <c r="U25" i="39"/>
  <c r="J25" i="39"/>
  <c r="AC25" i="39"/>
  <c r="F25" i="39"/>
  <c r="AA25" i="39"/>
  <c r="F45" i="39"/>
  <c r="AA45" i="39"/>
  <c r="H45" i="39"/>
  <c r="U45" i="39"/>
  <c r="J45" i="39"/>
  <c r="AC45" i="39"/>
  <c r="F47" i="39"/>
  <c r="AA47" i="39"/>
  <c r="H47" i="39"/>
  <c r="U47" i="39"/>
  <c r="AB47" i="39"/>
  <c r="J47" i="39"/>
  <c r="W47" i="39"/>
  <c r="F41" i="39"/>
  <c r="AA41" i="39"/>
  <c r="H41" i="39"/>
  <c r="AB41" i="39"/>
  <c r="J41" i="39"/>
  <c r="AC41" i="39"/>
  <c r="E94" i="40"/>
  <c r="F94" i="40"/>
  <c r="G94" i="40"/>
  <c r="J25" i="40"/>
  <c r="AC25" i="40"/>
  <c r="H33" i="40"/>
  <c r="AB33" i="40"/>
  <c r="F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U16" i="40"/>
  <c r="AB16" i="40"/>
  <c r="H14" i="40"/>
  <c r="U14" i="40"/>
  <c r="AZ428" i="3"/>
  <c r="M1" i="46"/>
  <c r="M6" i="46"/>
  <c r="M10" i="46"/>
  <c r="N2" i="46"/>
  <c r="N5" i="46"/>
  <c r="F58" i="46"/>
  <c r="H61" i="46"/>
  <c r="N7" i="46"/>
  <c r="AZ458" i="3"/>
  <c r="AZ215" i="3"/>
  <c r="AZ236" i="3"/>
  <c r="M7" i="46"/>
  <c r="M11" i="46"/>
  <c r="N3" i="46"/>
  <c r="N6" i="46"/>
  <c r="N10" i="46"/>
  <c r="AZ112" i="3"/>
  <c r="J13" i="40"/>
  <c r="W13" i="40"/>
  <c r="AB14" i="40"/>
  <c r="W40" i="40"/>
  <c r="AC14" i="40"/>
  <c r="AC47" i="39"/>
  <c r="S47" i="39"/>
  <c r="AC41" i="40"/>
  <c r="J23" i="40"/>
  <c r="W23" i="40"/>
  <c r="F23" i="40"/>
  <c r="S23" i="40"/>
  <c r="W15" i="40"/>
  <c r="S23" i="39"/>
  <c r="AB16" i="39"/>
  <c r="H20" i="35"/>
  <c r="U20" i="35"/>
  <c r="F20" i="35"/>
  <c r="AA20" i="35"/>
  <c r="S20" i="35"/>
  <c r="F78" i="34"/>
  <c r="G78" i="34"/>
  <c r="J15" i="34"/>
  <c r="W15" i="34"/>
  <c r="H41" i="33"/>
  <c r="AB41" i="33"/>
  <c r="F121" i="33"/>
  <c r="G121" i="33"/>
  <c r="H121" i="33"/>
  <c r="I121" i="33"/>
  <c r="J121" i="33"/>
  <c r="K121" i="33"/>
  <c r="L121" i="33"/>
  <c r="M121" i="33"/>
  <c r="F30" i="40"/>
  <c r="S30" i="40"/>
  <c r="H100" i="40"/>
  <c r="I100" i="40"/>
  <c r="J100" i="40"/>
  <c r="K100" i="40"/>
  <c r="L100" i="40"/>
  <c r="M100" i="40"/>
  <c r="AZ497" i="3"/>
  <c r="AZ530" i="3"/>
  <c r="AZ547" i="3"/>
  <c r="AB37" i="39"/>
  <c r="U39" i="39"/>
  <c r="J29" i="39"/>
  <c r="AC29" i="39"/>
  <c r="U21" i="39"/>
  <c r="AB17" i="39"/>
  <c r="AB33" i="36"/>
  <c r="AA11" i="36"/>
  <c r="AA14" i="35"/>
  <c r="F33" i="37"/>
  <c r="AA33" i="37"/>
  <c r="U19" i="39"/>
  <c r="AC30" i="34"/>
  <c r="AA14" i="34"/>
  <c r="W12" i="34"/>
  <c r="AC13" i="33"/>
  <c r="AA11" i="33"/>
  <c r="S13" i="39"/>
  <c r="AA13" i="39"/>
  <c r="AB34" i="40"/>
  <c r="H25" i="40"/>
  <c r="AB25" i="40"/>
  <c r="W15" i="39"/>
  <c r="S41" i="40"/>
  <c r="AB23" i="40"/>
  <c r="H23" i="39"/>
  <c r="AB23" i="39"/>
  <c r="J23" i="39"/>
  <c r="AC23" i="39"/>
  <c r="F106" i="33"/>
  <c r="G106" i="33"/>
  <c r="H106" i="33"/>
  <c r="I106" i="33"/>
  <c r="J106" i="33"/>
  <c r="K106" i="33"/>
  <c r="L106" i="33"/>
  <c r="M106" i="33"/>
  <c r="J34" i="33"/>
  <c r="AC34" i="33"/>
  <c r="AC39" i="39"/>
  <c r="W39" i="39"/>
  <c r="AA39" i="39"/>
  <c r="AB29" i="39"/>
  <c r="AB46" i="39"/>
  <c r="AB44" i="39"/>
  <c r="W33" i="39"/>
  <c r="F80" i="35"/>
  <c r="G80" i="35"/>
  <c r="H80" i="35"/>
  <c r="I80" i="35"/>
  <c r="J80" i="35"/>
  <c r="K80" i="35"/>
  <c r="L80" i="35"/>
  <c r="M80" i="35"/>
  <c r="W14" i="35"/>
  <c r="G90" i="34"/>
  <c r="H90" i="34"/>
  <c r="I90" i="34"/>
  <c r="J90" i="34"/>
  <c r="K90" i="34"/>
  <c r="L90" i="34"/>
  <c r="M90" i="34"/>
  <c r="F27" i="34"/>
  <c r="S27" i="34"/>
  <c r="AC43" i="39"/>
  <c r="W43" i="39"/>
  <c r="AA19" i="39"/>
  <c r="G96" i="37"/>
  <c r="H96" i="37"/>
  <c r="I96" i="37"/>
  <c r="J96" i="37"/>
  <c r="K96" i="37"/>
  <c r="L96" i="37"/>
  <c r="M96" i="37"/>
  <c r="F32" i="37"/>
  <c r="S32" i="37"/>
  <c r="AB11" i="35"/>
  <c r="U14" i="34"/>
  <c r="AB13" i="33"/>
  <c r="F17" i="34"/>
  <c r="AA17" i="34"/>
  <c r="J17" i="34"/>
  <c r="AC17" i="34"/>
  <c r="H11" i="34"/>
  <c r="AB11" i="34"/>
  <c r="J35" i="33"/>
  <c r="W35" i="33"/>
  <c r="H11" i="33"/>
  <c r="U11" i="33"/>
  <c r="H10" i="33"/>
  <c r="U10" i="33"/>
  <c r="J10" i="33"/>
  <c r="AC10" i="33"/>
  <c r="U11" i="37"/>
  <c r="U13" i="39"/>
  <c r="AC16" i="35"/>
  <c r="AC13" i="40"/>
  <c r="J11" i="34"/>
  <c r="W11" i="34"/>
  <c r="F25" i="40"/>
  <c r="AA25" i="40"/>
  <c r="J11" i="33"/>
  <c r="W11" i="33"/>
  <c r="H33" i="37"/>
  <c r="AB33" i="37"/>
  <c r="AP11" i="1"/>
  <c r="B11" i="1"/>
  <c r="E11" i="1"/>
  <c r="K11" i="1"/>
  <c r="M11" i="1"/>
  <c r="O11" i="1"/>
  <c r="P11" i="1"/>
  <c r="B9" i="1"/>
  <c r="E9" i="1"/>
  <c r="K9" i="1"/>
  <c r="M9" i="1"/>
  <c r="B7" i="1"/>
  <c r="E7" i="1"/>
  <c r="F6" i="1"/>
  <c r="AP6" i="1"/>
  <c r="M22" i="44"/>
  <c r="AC25" i="36"/>
  <c r="S23" i="36"/>
  <c r="S8" i="36"/>
  <c r="AA26" i="36"/>
  <c r="AA28" i="36"/>
  <c r="U25" i="36"/>
  <c r="H20" i="36"/>
  <c r="U20" i="36"/>
  <c r="F68" i="36"/>
  <c r="G68" i="36"/>
  <c r="J20" i="36"/>
  <c r="AC20" i="36"/>
  <c r="F20" i="36"/>
  <c r="S20" i="36"/>
  <c r="F62" i="36"/>
  <c r="G62" i="36"/>
  <c r="J14" i="36"/>
  <c r="W14" i="36"/>
  <c r="H14" i="36"/>
  <c r="U14" i="36"/>
  <c r="F14" i="36"/>
  <c r="AA14" i="36"/>
  <c r="W20" i="36"/>
  <c r="U32" i="36"/>
  <c r="AB12" i="36"/>
  <c r="U9" i="36"/>
  <c r="S33" i="36"/>
  <c r="AA27" i="36"/>
  <c r="S16" i="36"/>
  <c r="S29" i="36"/>
  <c r="AC33" i="35"/>
  <c r="U22" i="35"/>
  <c r="AA13" i="35"/>
  <c r="S8" i="35"/>
  <c r="U33" i="35"/>
  <c r="S23" i="35"/>
  <c r="S16" i="35"/>
  <c r="AB14" i="35"/>
  <c r="AC10" i="35"/>
  <c r="W13" i="35"/>
  <c r="AC18" i="35"/>
  <c r="W18" i="35"/>
  <c r="U18" i="35"/>
  <c r="AB18" i="35"/>
  <c r="S30" i="35"/>
  <c r="AA35" i="35"/>
  <c r="AB30" i="35"/>
  <c r="S27" i="35"/>
  <c r="S28" i="35"/>
  <c r="J26" i="35"/>
  <c r="F26" i="35"/>
  <c r="AA26" i="35"/>
  <c r="H26" i="35"/>
  <c r="AB9" i="37"/>
  <c r="W12" i="37"/>
  <c r="AA9" i="37"/>
  <c r="S17" i="37"/>
  <c r="AB37" i="37"/>
  <c r="AA31" i="37"/>
  <c r="S33" i="37"/>
  <c r="U32" i="37"/>
  <c r="AA32" i="37"/>
  <c r="J33" i="37"/>
  <c r="AC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AC45" i="34"/>
  <c r="AA40" i="34"/>
  <c r="U30" i="34"/>
  <c r="S32" i="34"/>
  <c r="AA12" i="34"/>
  <c r="AA30" i="34"/>
  <c r="AC32" i="34"/>
  <c r="U44" i="34"/>
  <c r="J25" i="34"/>
  <c r="AC25" i="34"/>
  <c r="H25" i="34"/>
  <c r="AB25" i="34"/>
  <c r="J23" i="34"/>
  <c r="AC23" i="34"/>
  <c r="F23" i="34"/>
  <c r="S23" i="34"/>
  <c r="H23" i="34"/>
  <c r="AB23" i="34"/>
  <c r="W29" i="34"/>
  <c r="AC21" i="34"/>
  <c r="W21" i="34"/>
  <c r="AB21" i="34"/>
  <c r="U21" i="34"/>
  <c r="U27" i="34"/>
  <c r="AB41" i="34"/>
  <c r="S13" i="34"/>
  <c r="AA41" i="34"/>
  <c r="AC12" i="33"/>
  <c r="W31" i="33"/>
  <c r="W43" i="33"/>
  <c r="U46" i="33"/>
  <c r="W39" i="33"/>
  <c r="AB34" i="33"/>
  <c r="J23" i="33"/>
  <c r="W23"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AC23" i="21"/>
  <c r="F23" i="21"/>
  <c r="S23" i="21"/>
  <c r="H23" i="21"/>
  <c r="U23" i="21"/>
  <c r="AA17" i="21"/>
  <c r="W17" i="21"/>
  <c r="F15" i="21"/>
  <c r="S15" i="21"/>
  <c r="F77" i="21"/>
  <c r="G77" i="21"/>
  <c r="J15" i="21"/>
  <c r="W15" i="21"/>
  <c r="H15" i="21"/>
  <c r="AB15" i="21"/>
  <c r="AC11" i="21"/>
  <c r="AB11" i="21"/>
  <c r="AA11" i="21"/>
  <c r="AC21" i="21"/>
  <c r="W21" i="21"/>
  <c r="W44" i="21"/>
  <c r="AC19" i="21"/>
  <c r="AC38" i="21"/>
  <c r="AB21" i="21"/>
  <c r="U21" i="21"/>
  <c r="AA30" i="21"/>
  <c r="U33" i="40"/>
  <c r="S35" i="40"/>
  <c r="U15" i="40"/>
  <c r="S14" i="40"/>
  <c r="S15" i="40"/>
  <c r="AB13" i="40"/>
  <c r="S16" i="40"/>
  <c r="W11" i="40"/>
  <c r="AA21" i="40"/>
  <c r="U21" i="40"/>
  <c r="W25" i="40"/>
  <c r="W42" i="40"/>
  <c r="F37" i="40"/>
  <c r="J37" i="40"/>
  <c r="AC37" i="40"/>
  <c r="H37" i="40"/>
  <c r="U37" i="40"/>
  <c r="G113" i="40"/>
  <c r="H113" i="40"/>
  <c r="I113" i="40"/>
  <c r="J113" i="40"/>
  <c r="K113" i="40"/>
  <c r="L113" i="40"/>
  <c r="M113" i="40"/>
  <c r="F39" i="40"/>
  <c r="AA39" i="40"/>
  <c r="S38" i="40"/>
  <c r="H39" i="40"/>
  <c r="AB39" i="40"/>
  <c r="J39" i="40"/>
  <c r="W38" i="40"/>
  <c r="F29" i="40"/>
  <c r="AA29" i="40"/>
  <c r="H29" i="40"/>
  <c r="U29" i="40"/>
  <c r="J29" i="40"/>
  <c r="F98" i="40"/>
  <c r="G98" i="40"/>
  <c r="H98" i="40"/>
  <c r="I98" i="40"/>
  <c r="J98" i="40"/>
  <c r="K98" i="40"/>
  <c r="L98" i="40"/>
  <c r="M98" i="40"/>
  <c r="F88" i="40"/>
  <c r="G88" i="40"/>
  <c r="F19" i="40"/>
  <c r="H19" i="40"/>
  <c r="U19" i="40"/>
  <c r="J19" i="40"/>
  <c r="W17" i="40"/>
  <c r="AC17" i="40"/>
  <c r="F17" i="40"/>
  <c r="AA17" i="40"/>
  <c r="H17" i="40"/>
  <c r="AB17" i="40"/>
  <c r="W21" i="40"/>
  <c r="AB40" i="40"/>
  <c r="U10" i="40"/>
  <c r="U27" i="40"/>
  <c r="AB27" i="40"/>
  <c r="AC44" i="39"/>
  <c r="W13" i="39"/>
  <c r="S11" i="39"/>
  <c r="AB45" i="39"/>
  <c r="S27" i="39"/>
  <c r="AA21" i="39"/>
  <c r="AC19" i="39"/>
  <c r="W29" i="39"/>
  <c r="S29" i="39"/>
  <c r="AC21" i="39"/>
  <c r="AC17" i="39"/>
  <c r="S14" i="39"/>
  <c r="AB15" i="39"/>
  <c r="U11" i="39"/>
  <c r="U41" i="39"/>
  <c r="U23" i="39"/>
  <c r="U31" i="39"/>
  <c r="AB31" i="39"/>
  <c r="S25" i="39"/>
  <c r="S38" i="39"/>
  <c r="S22" i="31"/>
  <c r="B20" i="31"/>
  <c r="M20" i="15"/>
  <c r="A18" i="64"/>
  <c r="B74" i="63"/>
  <c r="C53" i="10"/>
  <c r="A25" i="64"/>
  <c r="A18" i="51"/>
  <c r="B14" i="63"/>
  <c r="BA16" i="3"/>
  <c r="BA17" i="3"/>
  <c r="AZ17" i="3"/>
  <c r="K1" i="43"/>
  <c r="K1" i="12"/>
  <c r="G1" i="44"/>
  <c r="AZ15" i="3"/>
  <c r="BK5" i="3"/>
  <c r="BO5" i="3"/>
  <c r="BP5" i="3"/>
  <c r="BN5" i="3"/>
  <c r="BL18" i="3"/>
  <c r="AZ18" i="3"/>
  <c r="BC5" i="3"/>
  <c r="BD5" i="3"/>
  <c r="BR5" i="3"/>
  <c r="BS5" i="3"/>
  <c r="BQ5" i="3"/>
  <c r="BL16" i="3"/>
  <c r="BM5" i="3"/>
  <c r="BA13" i="3"/>
  <c r="G28" i="12"/>
  <c r="G26" i="12"/>
  <c r="D24" i="44"/>
  <c r="D26" i="44"/>
  <c r="G23" i="43"/>
  <c r="N8" i="46"/>
  <c r="N4" i="46"/>
  <c r="N1" i="46"/>
  <c r="F47" i="46"/>
  <c r="H52"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B45" i="46"/>
  <c r="A4" i="64"/>
  <c r="A4" i="51"/>
  <c r="B6" i="63"/>
  <c r="C51" i="10"/>
  <c r="I100" i="46"/>
  <c r="N100" i="46"/>
  <c r="H100" i="46"/>
  <c r="F108" i="46"/>
  <c r="E100" i="46"/>
  <c r="G100" i="46"/>
  <c r="H84" i="46"/>
  <c r="C100" i="46"/>
  <c r="J100" i="46"/>
  <c r="M100" i="46"/>
  <c r="AA12" i="36"/>
  <c r="W11" i="35"/>
  <c r="AA11" i="35"/>
  <c r="S14" i="37"/>
  <c r="U13" i="37"/>
  <c r="S13" i="21"/>
  <c r="C24" i="9"/>
  <c r="C25" i="9"/>
  <c r="G9" i="1"/>
  <c r="L5" i="54"/>
  <c r="B39" i="63"/>
  <c r="K5" i="54"/>
  <c r="A3" i="55"/>
  <c r="B56" i="63"/>
  <c r="T41" i="4"/>
  <c r="A17" i="64"/>
  <c r="B46" i="50"/>
  <c r="B4" i="63"/>
  <c r="A22" i="51"/>
  <c r="B16" i="63"/>
  <c r="H82" i="46"/>
  <c r="H10" i="48"/>
  <c r="H87" i="46"/>
  <c r="H83" i="46"/>
  <c r="S11" i="1"/>
  <c r="R11" i="1"/>
  <c r="S13" i="1"/>
  <c r="R13" i="1"/>
  <c r="B6" i="1"/>
  <c r="E6" i="1"/>
  <c r="S10" i="1"/>
  <c r="B8" i="1"/>
  <c r="E8" i="1"/>
  <c r="B12" i="1"/>
  <c r="E12" i="1"/>
  <c r="S12" i="1"/>
  <c r="K6" i="1"/>
  <c r="M6" i="1"/>
  <c r="G1" i="15"/>
  <c r="F66" i="36"/>
  <c r="G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15" i="37"/>
  <c r="AA13" i="37"/>
  <c r="S12" i="37"/>
  <c r="W38" i="37"/>
  <c r="W36" i="37"/>
  <c r="U26" i="37"/>
  <c r="AB28" i="37"/>
  <c r="S28" i="37"/>
  <c r="W13" i="37"/>
  <c r="U38" i="37"/>
  <c r="AA31" i="34"/>
  <c r="AB29" i="34"/>
  <c r="AB47" i="34"/>
  <c r="AB13" i="34"/>
  <c r="AC13" i="34"/>
  <c r="S47" i="34"/>
  <c r="AA29" i="34"/>
  <c r="S8" i="34"/>
  <c r="AB14" i="33"/>
  <c r="AB12" i="33"/>
  <c r="S39" i="21"/>
  <c r="AB2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62" i="46"/>
  <c r="B66" i="46"/>
  <c r="B53" i="46"/>
  <c r="B64" i="46"/>
  <c r="D24" i="15"/>
  <c r="F28" i="6"/>
  <c r="S14" i="36"/>
  <c r="AB20" i="36"/>
  <c r="AA20" i="36"/>
  <c r="AC14" i="36"/>
  <c r="S26" i="35"/>
  <c r="U26" i="35"/>
  <c r="AB26" i="35"/>
  <c r="W26" i="35"/>
  <c r="AC26" i="35"/>
  <c r="S19" i="37"/>
  <c r="W19" i="37"/>
  <c r="AB19" i="37"/>
  <c r="U19" i="37"/>
  <c r="W17" i="37"/>
  <c r="AB23" i="21"/>
  <c r="AA23" i="21"/>
  <c r="U15" i="21"/>
  <c r="U39" i="40"/>
  <c r="AC39" i="40"/>
  <c r="W39" i="40"/>
  <c r="S39" i="40"/>
  <c r="AB37" i="40"/>
  <c r="AB29" i="40"/>
  <c r="AC29" i="40"/>
  <c r="W29" i="40"/>
  <c r="S29" i="40"/>
  <c r="W19" i="40"/>
  <c r="AC19" i="40"/>
  <c r="AA19" i="40"/>
  <c r="S19" i="40"/>
  <c r="AB19" i="40"/>
  <c r="W31" i="39"/>
  <c r="AC31" i="39"/>
  <c r="R22" i="31"/>
  <c r="B21" i="31"/>
  <c r="AT6" i="3"/>
  <c r="G29" i="6"/>
  <c r="A9" i="64"/>
  <c r="A9" i="51"/>
  <c r="B9" i="63"/>
  <c r="E4" i="4"/>
  <c r="B21" i="55"/>
  <c r="B72" i="63"/>
  <c r="C4" i="4"/>
  <c r="B20" i="55"/>
  <c r="B70" i="63"/>
  <c r="J18" i="36"/>
  <c r="AE6" i="1"/>
  <c r="W18" i="36"/>
  <c r="AC18" i="36"/>
  <c r="AG6" i="1"/>
  <c r="L20" i="6"/>
  <c r="S9" i="1"/>
  <c r="R9" i="1"/>
  <c r="C45" i="9"/>
  <c r="O40" i="9"/>
  <c r="R7" i="54"/>
  <c r="B52" i="63"/>
  <c r="C44" i="9"/>
  <c r="K29" i="9"/>
  <c r="K30" i="9"/>
  <c r="N76" i="9"/>
  <c r="C46" i="9"/>
  <c r="I14" i="66"/>
  <c r="B8" i="66"/>
  <c r="H58" i="46"/>
  <c r="J17" i="46"/>
  <c r="C17" i="46"/>
  <c r="F34" i="46"/>
  <c r="F38" i="46"/>
  <c r="F37" i="46"/>
  <c r="H113" i="46"/>
  <c r="D17" i="59"/>
  <c r="C16" i="59"/>
  <c r="U14" i="59"/>
  <c r="H1" i="65"/>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C7" i="46"/>
  <c r="H47" i="46"/>
  <c r="AD12" i="46"/>
  <c r="AH12" i="46"/>
  <c r="B15" i="59"/>
  <c r="B14" i="59"/>
  <c r="C15" i="59"/>
  <c r="D16" i="59"/>
  <c r="AZ16" i="3"/>
  <c r="S37" i="40"/>
  <c r="AA37" i="40"/>
  <c r="U13" i="21"/>
  <c r="AB13" i="21"/>
  <c r="AC26" i="33"/>
  <c r="W26" i="33"/>
  <c r="B13" i="59"/>
  <c r="B12" i="59"/>
  <c r="B11" i="59"/>
  <c r="S14" i="59"/>
  <c r="W27" i="34"/>
  <c r="AC27" i="34"/>
  <c r="AA9" i="35"/>
  <c r="S9" i="35"/>
  <c r="AB14" i="36"/>
  <c r="U33" i="37"/>
  <c r="F29" i="6"/>
  <c r="AC38" i="39"/>
  <c r="AA23" i="40"/>
  <c r="U35" i="40"/>
  <c r="U25" i="40"/>
  <c r="W33" i="40"/>
  <c r="W20" i="35"/>
  <c r="U27" i="36"/>
  <c r="U12" i="34"/>
  <c r="U32" i="34"/>
  <c r="U11" i="36"/>
  <c r="W29" i="35"/>
  <c r="AC16" i="40"/>
  <c r="U17" i="21"/>
  <c r="AA11" i="34"/>
  <c r="AA29" i="35"/>
  <c r="AA30" i="40"/>
  <c r="H15" i="34"/>
  <c r="AB15" i="34"/>
  <c r="W27" i="39"/>
  <c r="W35" i="40"/>
  <c r="AC14" i="39"/>
  <c r="AZ499" i="3"/>
  <c r="AZ513" i="3"/>
  <c r="AZ515" i="3"/>
  <c r="AZ523" i="3"/>
  <c r="AC29" i="37"/>
  <c r="AC29" i="33"/>
  <c r="AA30" i="33"/>
  <c r="AZ359" i="3"/>
  <c r="AZ336" i="3"/>
  <c r="AZ331" i="3"/>
  <c r="AZ379" i="3"/>
  <c r="AZ361" i="3"/>
  <c r="AZ345" i="3"/>
  <c r="AZ329" i="3"/>
  <c r="AZ305" i="3"/>
  <c r="AC23" i="37"/>
  <c r="AC33" i="36"/>
  <c r="AZ492" i="3"/>
  <c r="AZ562" i="3"/>
  <c r="AZ543" i="3"/>
  <c r="AZ488" i="3"/>
  <c r="AZ544" i="3"/>
  <c r="AZ556" i="3"/>
  <c r="AZ560" i="3"/>
  <c r="AZ555" i="3"/>
  <c r="AZ569" i="3"/>
  <c r="S19" i="21"/>
  <c r="U28" i="21"/>
  <c r="AC30" i="21"/>
  <c r="S46" i="21"/>
  <c r="AB31" i="21"/>
  <c r="F31" i="21"/>
  <c r="H29" i="21"/>
  <c r="J13" i="21"/>
  <c r="F26" i="33"/>
  <c r="AA26" i="33"/>
  <c r="S39" i="37"/>
  <c r="BA570" i="3"/>
  <c r="BF5" i="3"/>
  <c r="H33" i="34"/>
  <c r="J36" i="35"/>
  <c r="H36" i="35"/>
  <c r="J26" i="37"/>
  <c r="F26" i="37"/>
  <c r="G524" i="3"/>
  <c r="G495" i="3"/>
  <c r="AZ500" i="3"/>
  <c r="AZ363" i="3"/>
  <c r="AZ542" i="3"/>
  <c r="AZ484" i="3"/>
  <c r="AZ502" i="3"/>
  <c r="AZ558" i="3"/>
  <c r="AZ501" i="3"/>
  <c r="BL572" i="3"/>
  <c r="J9" i="35"/>
  <c r="H9" i="35"/>
  <c r="G569" i="3"/>
  <c r="G559" i="3"/>
  <c r="G553" i="3"/>
  <c r="G543" i="3"/>
  <c r="G536" i="3"/>
  <c r="BL534" i="3"/>
  <c r="AZ534" i="3"/>
  <c r="G528" i="3"/>
  <c r="G520" i="3"/>
  <c r="G516" i="3"/>
  <c r="G512" i="3"/>
  <c r="G511" i="3"/>
  <c r="G509" i="3"/>
  <c r="G504" i="3"/>
  <c r="G497" i="3"/>
  <c r="G490" i="3"/>
  <c r="G482" i="3"/>
  <c r="G19" i="3"/>
  <c r="G14" i="3"/>
  <c r="BL14" i="3"/>
  <c r="AZ14" i="3"/>
  <c r="G392" i="3"/>
  <c r="G393" i="3"/>
  <c r="BA393" i="3"/>
  <c r="AZ393" i="3"/>
  <c r="BL389" i="3"/>
  <c r="AZ392" i="3"/>
  <c r="BL394" i="3"/>
  <c r="AZ394" i="3"/>
  <c r="BL397" i="3"/>
  <c r="G403" i="3"/>
  <c r="BA403" i="3"/>
  <c r="AZ403" i="3"/>
  <c r="BL403" i="3"/>
  <c r="BA406" i="3"/>
  <c r="AZ406" i="3"/>
  <c r="BL406" i="3"/>
  <c r="G407" i="3"/>
  <c r="BA407" i="3"/>
  <c r="AZ407" i="3"/>
  <c r="BL408" i="3"/>
  <c r="BA409" i="3"/>
  <c r="G410" i="3"/>
  <c r="G411" i="3"/>
  <c r="BA411" i="3"/>
  <c r="AZ411" i="3"/>
  <c r="BL411" i="3"/>
  <c r="G412" i="3"/>
  <c r="BA415" i="3"/>
  <c r="AZ415" i="3"/>
  <c r="BA416" i="3"/>
  <c r="AZ416" i="3"/>
  <c r="BL417" i="3"/>
  <c r="BA418" i="3"/>
  <c r="G420" i="3"/>
  <c r="BL422" i="3"/>
  <c r="AZ422" i="3"/>
  <c r="BL424" i="3"/>
  <c r="BA425" i="3"/>
  <c r="AZ425" i="3"/>
  <c r="BA426" i="3"/>
  <c r="G427" i="3"/>
  <c r="BL431" i="3"/>
  <c r="BL434" i="3"/>
  <c r="BA435" i="3"/>
  <c r="AZ435" i="3"/>
  <c r="BA440" i="3"/>
  <c r="AZ440" i="3"/>
  <c r="BA445" i="3"/>
  <c r="AZ445" i="3"/>
  <c r="BA460" i="3"/>
  <c r="AZ460" i="3"/>
  <c r="BL465" i="3"/>
  <c r="BA470" i="3"/>
  <c r="BL470" i="3"/>
  <c r="BA474" i="3"/>
  <c r="AZ474" i="3"/>
  <c r="BA475" i="3"/>
  <c r="AZ475" i="3"/>
  <c r="BL475" i="3"/>
  <c r="BA479" i="3"/>
  <c r="AZ479" i="3"/>
  <c r="BL480" i="3"/>
  <c r="G309" i="3"/>
  <c r="BA309" i="3"/>
  <c r="AZ309" i="3"/>
  <c r="BL310" i="3"/>
  <c r="AZ310" i="3"/>
  <c r="G311" i="3"/>
  <c r="G315" i="3"/>
  <c r="BL316" i="3"/>
  <c r="AZ316" i="3"/>
  <c r="G317" i="3"/>
  <c r="BL330" i="3"/>
  <c r="AZ330" i="3"/>
  <c r="BL332" i="3"/>
  <c r="AZ332" i="3"/>
  <c r="BA335" i="3"/>
  <c r="BA349" i="3"/>
  <c r="AZ349" i="3"/>
  <c r="BA368" i="3"/>
  <c r="BL368" i="3"/>
  <c r="BA369" i="3"/>
  <c r="BA384" i="3"/>
  <c r="AZ384" i="3"/>
  <c r="BA385" i="3"/>
  <c r="BL213" i="3"/>
  <c r="AZ213" i="3"/>
  <c r="BL219" i="3"/>
  <c r="BL230" i="3"/>
  <c r="AZ234" i="3"/>
  <c r="BA237" i="3"/>
  <c r="BA248" i="3"/>
  <c r="AZ248" i="3"/>
  <c r="BL254" i="3"/>
  <c r="AZ254" i="3"/>
  <c r="BL260" i="3"/>
  <c r="AZ285" i="3"/>
  <c r="BA398" i="3"/>
  <c r="BL398" i="3"/>
  <c r="BA402" i="3"/>
  <c r="AZ402" i="3"/>
  <c r="AZ404" i="3"/>
  <c r="BL404" i="3"/>
  <c r="BA408" i="3"/>
  <c r="BA410" i="3"/>
  <c r="BA417" i="3"/>
  <c r="G421" i="3"/>
  <c r="BL421" i="3"/>
  <c r="AZ421" i="3"/>
  <c r="G430" i="3"/>
  <c r="BA430" i="3"/>
  <c r="AZ430" i="3"/>
  <c r="BA431" i="3"/>
  <c r="G432" i="3"/>
  <c r="BA437" i="3"/>
  <c r="BA438" i="3"/>
  <c r="AZ438" i="3"/>
  <c r="BL438" i="3"/>
  <c r="BA439" i="3"/>
  <c r="AZ439" i="3"/>
  <c r="BL439" i="3"/>
  <c r="G440" i="3"/>
  <c r="BL441" i="3"/>
  <c r="BL442" i="3"/>
  <c r="BA443" i="3"/>
  <c r="BA444" i="3"/>
  <c r="AZ444" i="3"/>
  <c r="BL446" i="3"/>
  <c r="AZ446" i="3"/>
  <c r="BA447" i="3"/>
  <c r="G449" i="3"/>
  <c r="BA449" i="3"/>
  <c r="AZ449" i="3"/>
  <c r="BL449" i="3"/>
  <c r="BA450" i="3"/>
  <c r="AZ450" i="3"/>
  <c r="BA452" i="3"/>
  <c r="AZ452" i="3"/>
  <c r="G454" i="3"/>
  <c r="BL454" i="3"/>
  <c r="AZ454" i="3"/>
  <c r="BA455" i="3"/>
  <c r="AZ455" i="3"/>
  <c r="BA456" i="3"/>
  <c r="G457" i="3"/>
  <c r="BA459" i="3"/>
  <c r="AZ459" i="3"/>
  <c r="BL461" i="3"/>
  <c r="AZ461" i="3"/>
  <c r="G464" i="3"/>
  <c r="BL468" i="3"/>
  <c r="G471" i="3"/>
  <c r="G474" i="3"/>
  <c r="G476" i="3"/>
  <c r="BA476" i="3"/>
  <c r="G479" i="3"/>
  <c r="AZ480" i="3"/>
  <c r="G301" i="3"/>
  <c r="BA301" i="3"/>
  <c r="AZ301" i="3"/>
  <c r="BA311" i="3"/>
  <c r="AZ311" i="3"/>
  <c r="BL314" i="3"/>
  <c r="AZ314" i="3"/>
  <c r="BL326" i="3"/>
  <c r="AZ326" i="3"/>
  <c r="G329" i="3"/>
  <c r="G331" i="3"/>
  <c r="G333" i="3"/>
  <c r="BA337" i="3"/>
  <c r="AZ337" i="3"/>
  <c r="BL350" i="3"/>
  <c r="BA351" i="3"/>
  <c r="G352" i="3"/>
  <c r="BL360" i="3"/>
  <c r="AZ360" i="3"/>
  <c r="G363" i="3"/>
  <c r="G367" i="3"/>
  <c r="BA367" i="3"/>
  <c r="AZ367" i="3"/>
  <c r="BL369" i="3"/>
  <c r="BA371" i="3"/>
  <c r="AZ371" i="3"/>
  <c r="G375" i="3"/>
  <c r="BA375" i="3"/>
  <c r="AZ375" i="3"/>
  <c r="BL376" i="3"/>
  <c r="AZ376" i="3"/>
  <c r="G379" i="3"/>
  <c r="BL380" i="3"/>
  <c r="AZ380" i="3"/>
  <c r="G381" i="3"/>
  <c r="BL382" i="3"/>
  <c r="AZ382" i="3"/>
  <c r="G383" i="3"/>
  <c r="BL384" i="3"/>
  <c r="BL385" i="3"/>
  <c r="BL206" i="3"/>
  <c r="G207" i="3"/>
  <c r="BA209" i="3"/>
  <c r="BL209" i="3"/>
  <c r="G210" i="3"/>
  <c r="BL212" i="3"/>
  <c r="AZ212" i="3"/>
  <c r="BA214" i="3"/>
  <c r="BL214" i="3"/>
  <c r="G215" i="3"/>
  <c r="BA216" i="3"/>
  <c r="G217" i="3"/>
  <c r="BL217" i="3"/>
  <c r="AZ217" i="3"/>
  <c r="BL218" i="3"/>
  <c r="AZ218" i="3"/>
  <c r="G219" i="3"/>
  <c r="BL220" i="3"/>
  <c r="G222" i="3"/>
  <c r="BL222" i="3"/>
  <c r="BA223" i="3"/>
  <c r="AZ223" i="3"/>
  <c r="BL223" i="3"/>
  <c r="G224" i="3"/>
  <c r="BL225" i="3"/>
  <c r="BA228" i="3"/>
  <c r="AZ228" i="3"/>
  <c r="BL228" i="3"/>
  <c r="BA231" i="3"/>
  <c r="G232" i="3"/>
  <c r="BL233" i="3"/>
  <c r="AZ233" i="3"/>
  <c r="G235" i="3"/>
  <c r="BL238" i="3"/>
  <c r="BA239" i="3"/>
  <c r="AZ239" i="3"/>
  <c r="BL241" i="3"/>
  <c r="BA242" i="3"/>
  <c r="AZ242" i="3"/>
  <c r="G245" i="3"/>
  <c r="BL245" i="3"/>
  <c r="G246" i="3"/>
  <c r="BA247" i="3"/>
  <c r="AZ247" i="3"/>
  <c r="G250" i="3"/>
  <c r="BL250" i="3"/>
  <c r="G253" i="3"/>
  <c r="BL253" i="3"/>
  <c r="G254" i="3"/>
  <c r="BA256" i="3"/>
  <c r="BL256" i="3"/>
  <c r="G257" i="3"/>
  <c r="BL268" i="3"/>
  <c r="BL273" i="3"/>
  <c r="BA282" i="3"/>
  <c r="BA288" i="3"/>
  <c r="BA293" i="3"/>
  <c r="BA121" i="3"/>
  <c r="BL157" i="3"/>
  <c r="AZ157" i="3"/>
  <c r="BA171" i="3"/>
  <c r="BA177" i="3"/>
  <c r="BA186" i="3"/>
  <c r="AZ194" i="3"/>
  <c r="BL21" i="3"/>
  <c r="BL27" i="3"/>
  <c r="AZ27" i="3"/>
  <c r="AZ30" i="3"/>
  <c r="BL32" i="3"/>
  <c r="BL44" i="3"/>
  <c r="BL45" i="3"/>
  <c r="BA48" i="3"/>
  <c r="AZ48" i="3"/>
  <c r="BA52" i="3"/>
  <c r="BL59" i="3"/>
  <c r="AZ59" i="3"/>
  <c r="BL60" i="3"/>
  <c r="BA61" i="3"/>
  <c r="BL63" i="3"/>
  <c r="BL259" i="3"/>
  <c r="G260" i="3"/>
  <c r="BL261" i="3"/>
  <c r="AZ261" i="3"/>
  <c r="G262" i="3"/>
  <c r="BL262" i="3"/>
  <c r="BA263" i="3"/>
  <c r="BL263" i="3"/>
  <c r="BL264" i="3"/>
  <c r="G265" i="3"/>
  <c r="BA265" i="3"/>
  <c r="BL266" i="3"/>
  <c r="BL267" i="3"/>
  <c r="G268" i="3"/>
  <c r="G269" i="3"/>
  <c r="BA269" i="3"/>
  <c r="BA270" i="3"/>
  <c r="AZ270" i="3"/>
  <c r="G271" i="3"/>
  <c r="BL274" i="3"/>
  <c r="G277" i="3"/>
  <c r="BA277" i="3"/>
  <c r="BL277" i="3"/>
  <c r="BA278" i="3"/>
  <c r="G279" i="3"/>
  <c r="BA279" i="3"/>
  <c r="BL280" i="3"/>
  <c r="BL284" i="3"/>
  <c r="BL286" i="3"/>
  <c r="AZ286" i="3"/>
  <c r="BL287" i="3"/>
  <c r="BL289" i="3"/>
  <c r="BL292" i="3"/>
  <c r="G296" i="3"/>
  <c r="BA296" i="3"/>
  <c r="G114" i="3"/>
  <c r="BA116" i="3"/>
  <c r="BL116" i="3"/>
  <c r="G117" i="3"/>
  <c r="BL117" i="3"/>
  <c r="BL118" i="3"/>
  <c r="AZ118" i="3"/>
  <c r="G119" i="3"/>
  <c r="G121" i="3"/>
  <c r="BA124" i="3"/>
  <c r="AZ124" i="3"/>
  <c r="BL124" i="3"/>
  <c r="G125" i="3"/>
  <c r="BL125" i="3"/>
  <c r="BL126" i="3"/>
  <c r="AZ126" i="3"/>
  <c r="G131" i="3"/>
  <c r="BA132" i="3"/>
  <c r="AZ132" i="3"/>
  <c r="G135" i="3"/>
  <c r="BL138" i="3"/>
  <c r="AZ138" i="3"/>
  <c r="G139" i="3"/>
  <c r="G141" i="3"/>
  <c r="BA141" i="3"/>
  <c r="BL141" i="3"/>
  <c r="BA144" i="3"/>
  <c r="BL146" i="3"/>
  <c r="AZ146" i="3"/>
  <c r="BA147" i="3"/>
  <c r="AZ147" i="3"/>
  <c r="BA149" i="3"/>
  <c r="AZ149" i="3"/>
  <c r="BL149" i="3"/>
  <c r="G150" i="3"/>
  <c r="BL152" i="3"/>
  <c r="G153" i="3"/>
  <c r="BL155" i="3"/>
  <c r="BL159" i="3"/>
  <c r="BL160" i="3"/>
  <c r="AZ160" i="3"/>
  <c r="G162" i="3"/>
  <c r="BL163" i="3"/>
  <c r="G165" i="3"/>
  <c r="BA166" i="3"/>
  <c r="AZ166" i="3"/>
  <c r="BL168" i="3"/>
  <c r="BL173" i="3"/>
  <c r="AZ173" i="3"/>
  <c r="BA174" i="3"/>
  <c r="AZ174" i="3"/>
  <c r="BA176" i="3"/>
  <c r="G179" i="3"/>
  <c r="G185" i="3"/>
  <c r="BL188" i="3"/>
  <c r="AZ188" i="3"/>
  <c r="G189" i="3"/>
  <c r="BA191" i="3"/>
  <c r="G195" i="3"/>
  <c r="BL195" i="3"/>
  <c r="G196" i="3"/>
  <c r="BL196" i="3"/>
  <c r="AZ196" i="3"/>
  <c r="BA198" i="3"/>
  <c r="BL199" i="3"/>
  <c r="BA201" i="3"/>
  <c r="AZ201" i="3"/>
  <c r="G203" i="3"/>
  <c r="BL203" i="3"/>
  <c r="AZ203" i="3"/>
  <c r="G204" i="3"/>
  <c r="G21" i="3"/>
  <c r="BA21" i="3"/>
  <c r="G22" i="3"/>
  <c r="BA23" i="3"/>
  <c r="AZ23" i="3"/>
  <c r="BL23" i="3"/>
  <c r="BL24" i="3"/>
  <c r="AZ24" i="3"/>
  <c r="G25" i="3"/>
  <c r="BA25" i="3"/>
  <c r="AZ25" i="3"/>
  <c r="BA26" i="3"/>
  <c r="AZ26" i="3"/>
  <c r="BA28" i="3"/>
  <c r="AZ28" i="3"/>
  <c r="BL28" i="3"/>
  <c r="BA31" i="3"/>
  <c r="AZ31" i="3"/>
  <c r="BA32" i="3"/>
  <c r="AZ32" i="3"/>
  <c r="G34" i="3"/>
  <c r="BA34" i="3"/>
  <c r="BL35" i="3"/>
  <c r="AZ35" i="3"/>
  <c r="BA36" i="3"/>
  <c r="AZ36" i="3"/>
  <c r="BA37" i="3"/>
  <c r="G40" i="3"/>
  <c r="BA40" i="3"/>
  <c r="AZ40" i="3"/>
  <c r="BL40" i="3"/>
  <c r="BA41" i="3"/>
  <c r="AZ41" i="3"/>
  <c r="G42" i="3"/>
  <c r="BA43" i="3"/>
  <c r="BA44" i="3"/>
  <c r="G45" i="3"/>
  <c r="BA45" i="3"/>
  <c r="AZ45" i="3"/>
  <c r="G48" i="3"/>
  <c r="BL49" i="3"/>
  <c r="AZ49" i="3"/>
  <c r="G50" i="3"/>
  <c r="BL51" i="3"/>
  <c r="BL54" i="3"/>
  <c r="BA55" i="3"/>
  <c r="AZ58" i="3"/>
  <c r="BA64" i="3"/>
  <c r="D48" i="59"/>
  <c r="C49" i="59"/>
  <c r="BL98" i="3"/>
  <c r="O59" i="59"/>
  <c r="O61" i="59"/>
  <c r="D66" i="59"/>
  <c r="C65" i="59"/>
  <c r="D62" i="59"/>
  <c r="X24" i="59"/>
  <c r="Y30" i="59"/>
  <c r="Z30" i="59"/>
  <c r="B33" i="59"/>
  <c r="B34" i="59"/>
  <c r="S34" i="59"/>
  <c r="E33" i="59"/>
  <c r="B37" i="59"/>
  <c r="B38" i="59"/>
  <c r="S38" i="59"/>
  <c r="E45" i="59"/>
  <c r="E46" i="59"/>
  <c r="U46" i="59"/>
  <c r="B53" i="59"/>
  <c r="F73" i="59"/>
  <c r="F72" i="59"/>
  <c r="BA53" i="3"/>
  <c r="G54" i="3"/>
  <c r="BA54" i="3"/>
  <c r="G56" i="3"/>
  <c r="G57" i="3"/>
  <c r="BL66" i="3"/>
  <c r="AZ66" i="3"/>
  <c r="BL67" i="3"/>
  <c r="AZ67" i="3"/>
  <c r="G68" i="3"/>
  <c r="G69" i="3"/>
  <c r="BL72" i="3"/>
  <c r="BA76" i="3"/>
  <c r="BL77" i="3"/>
  <c r="AZ77" i="3"/>
  <c r="G79" i="3"/>
  <c r="BL80" i="3"/>
  <c r="AZ80" i="3"/>
  <c r="G83" i="3"/>
  <c r="G88" i="3"/>
  <c r="G89" i="3"/>
  <c r="BA91" i="3"/>
  <c r="G92" i="3"/>
  <c r="BA93" i="3"/>
  <c r="BL94" i="3"/>
  <c r="BL95" i="3"/>
  <c r="BA96" i="3"/>
  <c r="BA98" i="3"/>
  <c r="AZ98" i="3"/>
  <c r="G100" i="3"/>
  <c r="BA100" i="3"/>
  <c r="G102" i="3"/>
  <c r="BL103" i="3"/>
  <c r="BL104" i="3"/>
  <c r="G106" i="3"/>
  <c r="BA107" i="3"/>
  <c r="BA108" i="3"/>
  <c r="BA109" i="3"/>
  <c r="E26" i="57"/>
  <c r="I10" i="57"/>
  <c r="AA18" i="36"/>
  <c r="A28" i="64"/>
  <c r="AI12" i="46"/>
  <c r="O76" i="9"/>
  <c r="P62" i="15"/>
  <c r="U25" i="34"/>
  <c r="AC11" i="34"/>
  <c r="L16" i="4"/>
  <c r="G12" i="1"/>
  <c r="AB32" i="40"/>
  <c r="U32" i="40"/>
  <c r="H55" i="46"/>
  <c r="H14" i="66"/>
  <c r="B7" i="66"/>
  <c r="K10" i="1"/>
  <c r="M10" i="1"/>
  <c r="O10" i="1"/>
  <c r="P10" i="1"/>
  <c r="H80" i="46"/>
  <c r="F3" i="35"/>
  <c r="C7" i="35"/>
  <c r="C48" i="35"/>
  <c r="D48" i="35"/>
  <c r="E48" i="35"/>
  <c r="F48" i="35"/>
  <c r="G48" i="35"/>
  <c r="H48" i="35"/>
  <c r="I48" i="35"/>
  <c r="J48" i="35"/>
  <c r="K48" i="35"/>
  <c r="L48" i="35"/>
  <c r="M48" i="35"/>
  <c r="N48" i="35"/>
  <c r="O48" i="35"/>
  <c r="C7" i="36"/>
  <c r="C46" i="36"/>
  <c r="D46" i="36"/>
  <c r="E46" i="36"/>
  <c r="F46" i="36"/>
  <c r="G46" i="36"/>
  <c r="H46" i="36"/>
  <c r="D38" i="4"/>
  <c r="C39" i="4"/>
  <c r="R10" i="1"/>
  <c r="G19" i="46"/>
  <c r="O19" i="46"/>
  <c r="H54" i="46"/>
  <c r="H50" i="46"/>
  <c r="J32" i="40"/>
  <c r="C7" i="33"/>
  <c r="C58" i="33"/>
  <c r="D58" i="33"/>
  <c r="C9" i="40"/>
  <c r="C65" i="40"/>
  <c r="D65" i="40"/>
  <c r="N67" i="9"/>
  <c r="O41" i="9"/>
  <c r="R8" i="54"/>
  <c r="B54" i="63"/>
  <c r="H85" i="46"/>
  <c r="H86" i="46"/>
  <c r="B38" i="63"/>
  <c r="F69" i="46"/>
  <c r="F32" i="40"/>
  <c r="C7" i="37"/>
  <c r="C52" i="37"/>
  <c r="D52" i="37"/>
  <c r="E52" i="37"/>
  <c r="F52" i="37"/>
  <c r="G52" i="37"/>
  <c r="H52" i="37"/>
  <c r="I52" i="37"/>
  <c r="J52" i="37"/>
  <c r="K52" i="37"/>
  <c r="A26" i="64"/>
  <c r="K31" i="9"/>
  <c r="K32" i="9"/>
  <c r="A17" i="51"/>
  <c r="B13" i="63"/>
  <c r="AC27" i="40"/>
  <c r="W27" i="40"/>
  <c r="N69" i="9"/>
  <c r="O39" i="9"/>
  <c r="R6" i="54"/>
  <c r="B50" i="63"/>
  <c r="G14" i="66"/>
  <c r="B6" i="66"/>
  <c r="K33" i="9"/>
  <c r="K34" i="9"/>
  <c r="H49" i="46"/>
  <c r="H51" i="46"/>
  <c r="H48" i="46"/>
  <c r="H53" i="46"/>
  <c r="AB18" i="36"/>
  <c r="U30" i="40"/>
  <c r="W34" i="40"/>
  <c r="AB34" i="39"/>
  <c r="U34" i="39"/>
  <c r="AZ299" i="3"/>
  <c r="AZ550" i="3"/>
  <c r="AA27" i="37"/>
  <c r="S27" i="37"/>
  <c r="AZ572" i="3"/>
  <c r="AC9" i="34"/>
  <c r="W9" i="34"/>
  <c r="S17" i="40"/>
  <c r="W23" i="21"/>
  <c r="S17" i="39"/>
  <c r="AC23" i="40"/>
  <c r="F9" i="21"/>
  <c r="S9" i="21"/>
  <c r="H9" i="21"/>
  <c r="AB9" i="21"/>
  <c r="J9" i="21"/>
  <c r="E91" i="33"/>
  <c r="F91" i="33"/>
  <c r="G91" i="33"/>
  <c r="H91" i="33"/>
  <c r="I91" i="33"/>
  <c r="J91" i="33"/>
  <c r="K91" i="33"/>
  <c r="L91" i="33"/>
  <c r="M91" i="33"/>
  <c r="F27" i="33"/>
  <c r="S27" i="33"/>
  <c r="U15" i="37"/>
  <c r="AB15" i="37"/>
  <c r="U25" i="35"/>
  <c r="AB25" i="35"/>
  <c r="AZ522" i="3"/>
  <c r="AA33" i="39"/>
  <c r="S33" i="39"/>
  <c r="AZ347" i="3"/>
  <c r="AB30" i="33"/>
  <c r="U30" i="33"/>
  <c r="S23" i="37"/>
  <c r="AA23" i="37"/>
  <c r="W42" i="21"/>
  <c r="W14" i="21"/>
  <c r="AC14" i="21"/>
  <c r="AC15" i="21"/>
  <c r="AB38" i="39"/>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c r="F9" i="33"/>
  <c r="AA9" i="33"/>
  <c r="H9" i="33"/>
  <c r="U9" i="33"/>
  <c r="U42" i="40"/>
  <c r="AZ490" i="3"/>
  <c r="F80" i="34"/>
  <c r="G80" i="34"/>
  <c r="H17" i="34"/>
  <c r="AB17" i="34"/>
  <c r="AB39" i="21"/>
  <c r="U39" i="21"/>
  <c r="AZ546" i="3"/>
  <c r="U28" i="36"/>
  <c r="AB28" i="36"/>
  <c r="U16" i="35"/>
  <c r="AB16" i="35"/>
  <c r="AB26" i="21"/>
  <c r="U26" i="21"/>
  <c r="W35" i="35"/>
  <c r="AA43" i="21"/>
  <c r="AB44" i="33"/>
  <c r="H5" i="3"/>
  <c r="S12" i="33"/>
  <c r="H12" i="35"/>
  <c r="H25" i="37"/>
  <c r="F25" i="37"/>
  <c r="J25" i="37"/>
  <c r="AZ397" i="3"/>
  <c r="AB45" i="34"/>
  <c r="J47" i="34"/>
  <c r="B69" i="72"/>
  <c r="B69" i="71"/>
  <c r="H9" i="34"/>
  <c r="AB9" i="34"/>
  <c r="J34" i="36"/>
  <c r="H34" i="36"/>
  <c r="AC41" i="21"/>
  <c r="W41" i="21"/>
  <c r="AC11" i="36"/>
  <c r="AB31" i="37"/>
  <c r="AA36" i="21"/>
  <c r="H27" i="33"/>
  <c r="U27" i="33"/>
  <c r="J12" i="35"/>
  <c r="F25" i="35"/>
  <c r="G563" i="3"/>
  <c r="H45" i="21"/>
  <c r="F45" i="21"/>
  <c r="W39" i="37"/>
  <c r="BI5" i="3"/>
  <c r="H28" i="34"/>
  <c r="BH5" i="3"/>
  <c r="E10" i="6"/>
  <c r="B80" i="71"/>
  <c r="B80" i="72"/>
  <c r="B80" i="46"/>
  <c r="AB45" i="33"/>
  <c r="BG5" i="3"/>
  <c r="AZ409" i="3"/>
  <c r="AZ447" i="3"/>
  <c r="AZ448" i="3"/>
  <c r="AZ453" i="3"/>
  <c r="BT5" i="3"/>
  <c r="G28" i="6"/>
  <c r="F34" i="15"/>
  <c r="F61" i="15"/>
  <c r="M20" i="77"/>
  <c r="F34" i="77"/>
  <c r="F61" i="77"/>
  <c r="BA399" i="3"/>
  <c r="BL412" i="3"/>
  <c r="BA441" i="3"/>
  <c r="AZ441" i="3"/>
  <c r="BA442" i="3"/>
  <c r="AZ442" i="3"/>
  <c r="BA465" i="3"/>
  <c r="AZ465" i="3"/>
  <c r="G470" i="3"/>
  <c r="BA297" i="3"/>
  <c r="AZ297" i="3"/>
  <c r="G305" i="3"/>
  <c r="BA315" i="3"/>
  <c r="AZ315" i="3"/>
  <c r="G347" i="3"/>
  <c r="G205" i="3"/>
  <c r="AZ266" i="3"/>
  <c r="K145" i="21"/>
  <c r="AZ408" i="3"/>
  <c r="AZ417" i="3"/>
  <c r="BL426" i="3"/>
  <c r="AZ426" i="3"/>
  <c r="BL436" i="3"/>
  <c r="AZ436" i="3"/>
  <c r="BA451" i="3"/>
  <c r="BL456" i="3"/>
  <c r="AZ456" i="3"/>
  <c r="G465" i="3"/>
  <c r="BL472" i="3"/>
  <c r="AZ472" i="3"/>
  <c r="BL476" i="3"/>
  <c r="BA477" i="3"/>
  <c r="AZ477" i="3"/>
  <c r="BL334" i="3"/>
  <c r="G345" i="3"/>
  <c r="BA210" i="3"/>
  <c r="AZ210" i="3"/>
  <c r="BA226" i="3"/>
  <c r="AZ226" i="3"/>
  <c r="B81" i="72"/>
  <c r="B81" i="71"/>
  <c r="BL391" i="3"/>
  <c r="AZ476" i="3"/>
  <c r="AZ116" i="3"/>
  <c r="G399" i="3"/>
  <c r="BA208" i="3"/>
  <c r="AZ208" i="3"/>
  <c r="AZ224" i="3"/>
  <c r="AZ175" i="3"/>
  <c r="BA389" i="3"/>
  <c r="AZ389" i="3"/>
  <c r="BA391" i="3"/>
  <c r="AZ391" i="3"/>
  <c r="G450" i="3"/>
  <c r="G455" i="3"/>
  <c r="BL467" i="3"/>
  <c r="BA205" i="3"/>
  <c r="AZ205" i="3"/>
  <c r="BA225" i="3"/>
  <c r="AZ225" i="3"/>
  <c r="B87" i="71"/>
  <c r="B87" i="72"/>
  <c r="BA390" i="3"/>
  <c r="BL390" i="3"/>
  <c r="BL414" i="3"/>
  <c r="BA467" i="3"/>
  <c r="AZ467" i="3"/>
  <c r="AZ468" i="3"/>
  <c r="BA469" i="3"/>
  <c r="AZ469" i="3"/>
  <c r="BA471" i="3"/>
  <c r="AZ471" i="3"/>
  <c r="BA318" i="3"/>
  <c r="BL318" i="3"/>
  <c r="BA333" i="3"/>
  <c r="AZ333" i="3"/>
  <c r="BA388" i="3"/>
  <c r="AZ388" i="3"/>
  <c r="BA207" i="3"/>
  <c r="AZ168" i="3"/>
  <c r="BL395" i="3"/>
  <c r="BL396" i="3"/>
  <c r="AZ396" i="3"/>
  <c r="BL399" i="3"/>
  <c r="BL400" i="3"/>
  <c r="BL401" i="3"/>
  <c r="AZ401" i="3"/>
  <c r="BL405" i="3"/>
  <c r="BL413" i="3"/>
  <c r="BL423" i="3"/>
  <c r="BL433" i="3"/>
  <c r="BL463" i="3"/>
  <c r="AZ463" i="3"/>
  <c r="G212" i="3"/>
  <c r="BA395" i="3"/>
  <c r="BL409" i="3"/>
  <c r="BL410" i="3"/>
  <c r="AZ410" i="3"/>
  <c r="BA413" i="3"/>
  <c r="BA414" i="3"/>
  <c r="AZ414" i="3"/>
  <c r="BL432" i="3"/>
  <c r="BL462" i="3"/>
  <c r="BA466" i="3"/>
  <c r="AZ466" i="3"/>
  <c r="AZ243" i="3"/>
  <c r="AZ280" i="3"/>
  <c r="BA400" i="3"/>
  <c r="BA405" i="3"/>
  <c r="BA412" i="3"/>
  <c r="BL418" i="3"/>
  <c r="AZ418" i="3"/>
  <c r="BL419" i="3"/>
  <c r="AZ419" i="3"/>
  <c r="BA423" i="3"/>
  <c r="BA424" i="3"/>
  <c r="AZ424" i="3"/>
  <c r="BL427" i="3"/>
  <c r="AZ427" i="3"/>
  <c r="BA432" i="3"/>
  <c r="AZ432" i="3"/>
  <c r="BA433" i="3"/>
  <c r="BA434" i="3"/>
  <c r="AZ434" i="3"/>
  <c r="BL437" i="3"/>
  <c r="AZ437" i="3"/>
  <c r="BL443" i="3"/>
  <c r="AZ443" i="3"/>
  <c r="BL451" i="3"/>
  <c r="BL457" i="3"/>
  <c r="AZ457" i="3"/>
  <c r="BA462" i="3"/>
  <c r="BA317" i="3"/>
  <c r="AZ317" i="3"/>
  <c r="BA219" i="3"/>
  <c r="AZ219" i="3"/>
  <c r="BA220" i="3"/>
  <c r="AZ220" i="3"/>
  <c r="BA250" i="3"/>
  <c r="AZ250" i="3"/>
  <c r="BA357" i="3"/>
  <c r="AZ357" i="3"/>
  <c r="BL235" i="3"/>
  <c r="G239" i="3"/>
  <c r="BL246" i="3"/>
  <c r="BL265" i="3"/>
  <c r="AZ265" i="3"/>
  <c r="BL269" i="3"/>
  <c r="BL272" i="3"/>
  <c r="BL275" i="3"/>
  <c r="AZ275" i="3"/>
  <c r="BL279" i="3"/>
  <c r="AZ279" i="3"/>
  <c r="BL282" i="3"/>
  <c r="AZ282" i="3"/>
  <c r="BL283" i="3"/>
  <c r="BL288" i="3"/>
  <c r="AZ288" i="3"/>
  <c r="BL293" i="3"/>
  <c r="AZ293" i="3"/>
  <c r="BL296" i="3"/>
  <c r="AZ296" i="3"/>
  <c r="BL113" i="3"/>
  <c r="AZ117" i="3"/>
  <c r="BA133" i="3"/>
  <c r="BA143" i="3"/>
  <c r="AZ143" i="3"/>
  <c r="G156" i="3"/>
  <c r="BL165" i="3"/>
  <c r="AZ165" i="3"/>
  <c r="BA167" i="3"/>
  <c r="BL167" i="3"/>
  <c r="BL171" i="3"/>
  <c r="BL172" i="3"/>
  <c r="AZ172" i="3"/>
  <c r="AZ176" i="3"/>
  <c r="BA202" i="3"/>
  <c r="AZ202" i="3"/>
  <c r="BA62" i="3"/>
  <c r="BL351" i="3"/>
  <c r="AZ351" i="3"/>
  <c r="BL211" i="3"/>
  <c r="G214" i="3"/>
  <c r="BA245" i="3"/>
  <c r="AZ245" i="3"/>
  <c r="BA246" i="3"/>
  <c r="BL255" i="3"/>
  <c r="BA264" i="3"/>
  <c r="AZ264" i="3"/>
  <c r="BL278" i="3"/>
  <c r="AZ278" i="3"/>
  <c r="BA119" i="3"/>
  <c r="AZ119" i="3"/>
  <c r="BA235" i="3"/>
  <c r="BA244" i="3"/>
  <c r="AZ244" i="3"/>
  <c r="BA262" i="3"/>
  <c r="AZ262" i="3"/>
  <c r="BA273" i="3"/>
  <c r="AZ273" i="3"/>
  <c r="BA276" i="3"/>
  <c r="AZ276" i="3"/>
  <c r="BA283" i="3"/>
  <c r="AZ283" i="3"/>
  <c r="BA284" i="3"/>
  <c r="AZ284" i="3"/>
  <c r="BA289" i="3"/>
  <c r="AZ289" i="3"/>
  <c r="BA113" i="3"/>
  <c r="AZ113" i="3"/>
  <c r="BL136" i="3"/>
  <c r="BA140" i="3"/>
  <c r="AZ140" i="3"/>
  <c r="BA159" i="3"/>
  <c r="AZ159" i="3"/>
  <c r="BA199" i="3"/>
  <c r="AZ199" i="3"/>
  <c r="X15" i="59"/>
  <c r="X3" i="59"/>
  <c r="BA350" i="3"/>
  <c r="AZ350" i="3"/>
  <c r="BA211" i="3"/>
  <c r="AZ211" i="3"/>
  <c r="BL227" i="3"/>
  <c r="AZ227" i="3"/>
  <c r="G231" i="3"/>
  <c r="BL237" i="3"/>
  <c r="AZ237" i="3"/>
  <c r="BL251" i="3"/>
  <c r="BA259" i="3"/>
  <c r="AZ259" i="3"/>
  <c r="BA260" i="3"/>
  <c r="AZ260" i="3"/>
  <c r="BA267" i="3"/>
  <c r="AZ267" i="3"/>
  <c r="BA271" i="3"/>
  <c r="AZ271" i="3"/>
  <c r="BA274" i="3"/>
  <c r="AZ274" i="3"/>
  <c r="BA281" i="3"/>
  <c r="AZ281" i="3"/>
  <c r="BA291" i="3"/>
  <c r="AZ291" i="3"/>
  <c r="BA295" i="3"/>
  <c r="AZ295" i="3"/>
  <c r="G126" i="3"/>
  <c r="BL137" i="3"/>
  <c r="AZ137" i="3"/>
  <c r="BA139" i="3"/>
  <c r="AZ139" i="3"/>
  <c r="BA164" i="3"/>
  <c r="BL164" i="3"/>
  <c r="BA170" i="3"/>
  <c r="AZ170" i="3"/>
  <c r="BL178" i="3"/>
  <c r="AZ178" i="3"/>
  <c r="BL191" i="3"/>
  <c r="AZ191" i="3"/>
  <c r="AZ54" i="3"/>
  <c r="AZ251" i="3"/>
  <c r="BA253" i="3"/>
  <c r="AZ253" i="3"/>
  <c r="AZ269" i="3"/>
  <c r="BL133" i="3"/>
  <c r="BA162" i="3"/>
  <c r="AZ162" i="3"/>
  <c r="BA341" i="3"/>
  <c r="AZ341" i="3"/>
  <c r="G209" i="3"/>
  <c r="G223" i="3"/>
  <c r="BL229" i="3"/>
  <c r="AZ229" i="3"/>
  <c r="BA238" i="3"/>
  <c r="AZ238" i="3"/>
  <c r="BL240" i="3"/>
  <c r="BA249" i="3"/>
  <c r="AZ249" i="3"/>
  <c r="BA255" i="3"/>
  <c r="AZ255" i="3"/>
  <c r="BA257" i="3"/>
  <c r="AZ257" i="3"/>
  <c r="BA268" i="3"/>
  <c r="AZ268" i="3"/>
  <c r="BA287" i="3"/>
  <c r="AZ287" i="3"/>
  <c r="BA292" i="3"/>
  <c r="AZ292" i="3"/>
  <c r="BL130" i="3"/>
  <c r="AZ130" i="3"/>
  <c r="BA135" i="3"/>
  <c r="AZ135" i="3"/>
  <c r="BL142" i="3"/>
  <c r="AZ142" i="3"/>
  <c r="BL186" i="3"/>
  <c r="AZ186" i="3"/>
  <c r="AZ21" i="3"/>
  <c r="BL335" i="3"/>
  <c r="AZ335" i="3"/>
  <c r="BL207" i="3"/>
  <c r="BA252" i="3"/>
  <c r="AZ252" i="3"/>
  <c r="G118" i="3"/>
  <c r="BL129" i="3"/>
  <c r="BA136" i="3"/>
  <c r="BL153" i="3"/>
  <c r="AZ153" i="3"/>
  <c r="BA155" i="3"/>
  <c r="AZ155" i="3"/>
  <c r="G177" i="3"/>
  <c r="BL182" i="3"/>
  <c r="BA189" i="3"/>
  <c r="AZ189" i="3"/>
  <c r="BL34" i="3"/>
  <c r="BL39" i="3"/>
  <c r="BL46" i="3"/>
  <c r="BL76" i="3"/>
  <c r="BA90" i="3"/>
  <c r="BA334" i="3"/>
  <c r="AZ334" i="3"/>
  <c r="BA206" i="3"/>
  <c r="AZ206" i="3"/>
  <c r="BL221" i="3"/>
  <c r="BL231" i="3"/>
  <c r="AZ231" i="3"/>
  <c r="BA240" i="3"/>
  <c r="AZ277" i="3"/>
  <c r="BL121" i="3"/>
  <c r="AZ121" i="3"/>
  <c r="BA128" i="3"/>
  <c r="BL128" i="3"/>
  <c r="AZ129" i="3"/>
  <c r="AZ141" i="3"/>
  <c r="BA156" i="3"/>
  <c r="BL180" i="3"/>
  <c r="AZ182" i="3"/>
  <c r="BA187" i="3"/>
  <c r="BL187" i="3"/>
  <c r="BA325" i="3"/>
  <c r="AZ325" i="3"/>
  <c r="G388" i="3"/>
  <c r="BL232" i="3"/>
  <c r="AZ232" i="3"/>
  <c r="BA241" i="3"/>
  <c r="AZ241" i="3"/>
  <c r="G263" i="3"/>
  <c r="BA272" i="3"/>
  <c r="AZ272" i="3"/>
  <c r="BL150" i="3"/>
  <c r="AZ150" i="3"/>
  <c r="BA154" i="3"/>
  <c r="AZ154" i="3"/>
  <c r="AZ171" i="3"/>
  <c r="BA185" i="3"/>
  <c r="AZ185" i="3"/>
  <c r="BA38" i="3"/>
  <c r="BA39" i="3"/>
  <c r="AZ39" i="3"/>
  <c r="BL75" i="3"/>
  <c r="BL386" i="3"/>
  <c r="AZ386" i="3"/>
  <c r="BL216" i="3"/>
  <c r="AZ216" i="3"/>
  <c r="BA221" i="3"/>
  <c r="BA230" i="3"/>
  <c r="AZ230" i="3"/>
  <c r="BA258" i="3"/>
  <c r="AZ258" i="3"/>
  <c r="G282" i="3"/>
  <c r="BL122" i="3"/>
  <c r="AZ122" i="3"/>
  <c r="BA125" i="3"/>
  <c r="AZ125" i="3"/>
  <c r="BL144" i="3"/>
  <c r="AZ144" i="3"/>
  <c r="BA151" i="3"/>
  <c r="AZ151" i="3"/>
  <c r="BA152" i="3"/>
  <c r="AZ152" i="3"/>
  <c r="BL156" i="3"/>
  <c r="BA163" i="3"/>
  <c r="AZ163" i="3"/>
  <c r="BL177" i="3"/>
  <c r="AZ177" i="3"/>
  <c r="BA180" i="3"/>
  <c r="AZ180" i="3"/>
  <c r="BA181" i="3"/>
  <c r="AZ181" i="3"/>
  <c r="BL33" i="3"/>
  <c r="AZ34" i="3"/>
  <c r="BL57" i="3"/>
  <c r="AZ57" i="3"/>
  <c r="BA75" i="3"/>
  <c r="AZ75" i="3"/>
  <c r="AZ76" i="3"/>
  <c r="BA222" i="3"/>
  <c r="AZ222" i="3"/>
  <c r="BL243" i="3"/>
  <c r="G255" i="3"/>
  <c r="G287" i="3"/>
  <c r="BA120" i="3"/>
  <c r="BL120" i="3"/>
  <c r="BA127" i="3"/>
  <c r="AZ127" i="3"/>
  <c r="BL134" i="3"/>
  <c r="AZ134" i="3"/>
  <c r="BL145" i="3"/>
  <c r="AZ145" i="3"/>
  <c r="G170" i="3"/>
  <c r="BA179" i="3"/>
  <c r="AZ179" i="3"/>
  <c r="BA195" i="3"/>
  <c r="AZ195" i="3"/>
  <c r="BL22" i="3"/>
  <c r="AZ22" i="3"/>
  <c r="BL37" i="3"/>
  <c r="AZ37" i="3"/>
  <c r="C25" i="59"/>
  <c r="D24" i="59"/>
  <c r="AB18" i="59"/>
  <c r="F18" i="59"/>
  <c r="AB3" i="59"/>
  <c r="BL204" i="3"/>
  <c r="AZ204" i="3"/>
  <c r="BL43" i="3"/>
  <c r="AZ43" i="3"/>
  <c r="BA68" i="3"/>
  <c r="AZ68" i="3"/>
  <c r="BA81" i="3"/>
  <c r="AZ81" i="3"/>
  <c r="P61" i="59"/>
  <c r="E60" i="59"/>
  <c r="AA13" i="59"/>
  <c r="AB6" i="59"/>
  <c r="BA42" i="3"/>
  <c r="AZ42" i="3"/>
  <c r="G46" i="3"/>
  <c r="BA50" i="3"/>
  <c r="AZ50" i="3"/>
  <c r="G55" i="3"/>
  <c r="BL69" i="3"/>
  <c r="BL78" i="3"/>
  <c r="BL83" i="3"/>
  <c r="BA86" i="3"/>
  <c r="AZ86" i="3"/>
  <c r="BL88" i="3"/>
  <c r="BL90" i="3"/>
  <c r="BL93" i="3"/>
  <c r="AZ93" i="3"/>
  <c r="G109" i="3"/>
  <c r="P27" i="6"/>
  <c r="C33" i="59"/>
  <c r="D32" i="59"/>
  <c r="V62" i="59"/>
  <c r="Q62" i="59"/>
  <c r="F61" i="59"/>
  <c r="BL52" i="3"/>
  <c r="AZ52" i="3"/>
  <c r="BA69" i="3"/>
  <c r="BA71" i="3"/>
  <c r="AZ71" i="3"/>
  <c r="BL73" i="3"/>
  <c r="BA78" i="3"/>
  <c r="BA83" i="3"/>
  <c r="BA85" i="3"/>
  <c r="AZ85" i="3"/>
  <c r="BA88" i="3"/>
  <c r="AZ88" i="3"/>
  <c r="BA89" i="3"/>
  <c r="AZ89" i="3"/>
  <c r="BL91" i="3"/>
  <c r="AZ91" i="3"/>
  <c r="E34" i="59"/>
  <c r="C46" i="59"/>
  <c r="D45" i="59"/>
  <c r="F50" i="59"/>
  <c r="V50" i="59"/>
  <c r="X20" i="59"/>
  <c r="BL198" i="3"/>
  <c r="AZ198" i="3"/>
  <c r="BL53" i="3"/>
  <c r="AZ53" i="3"/>
  <c r="BL61" i="3"/>
  <c r="AZ61" i="3"/>
  <c r="BA72" i="3"/>
  <c r="AZ72" i="3"/>
  <c r="BA94" i="3"/>
  <c r="AZ94" i="3"/>
  <c r="BL96" i="3"/>
  <c r="BL102" i="3"/>
  <c r="C57" i="59"/>
  <c r="D56" i="59"/>
  <c r="BL38" i="3"/>
  <c r="BA51" i="3"/>
  <c r="AZ51" i="3"/>
  <c r="BL62" i="3"/>
  <c r="BL74" i="3"/>
  <c r="BL92" i="3"/>
  <c r="BA95" i="3"/>
  <c r="AZ95" i="3"/>
  <c r="BL97" i="3"/>
  <c r="BL99" i="3"/>
  <c r="BL100" i="3"/>
  <c r="AZ100" i="3"/>
  <c r="BA102" i="3"/>
  <c r="AZ102" i="3"/>
  <c r="BA103" i="3"/>
  <c r="AZ103" i="3"/>
  <c r="BL105" i="3"/>
  <c r="BL110" i="3"/>
  <c r="BL111" i="3"/>
  <c r="I21" i="57"/>
  <c r="D1" i="57"/>
  <c r="E10" i="57"/>
  <c r="BA197" i="3"/>
  <c r="AZ197" i="3"/>
  <c r="BL55" i="3"/>
  <c r="AZ55" i="3"/>
  <c r="BA60" i="3"/>
  <c r="AZ60" i="3"/>
  <c r="BA63" i="3"/>
  <c r="AZ63" i="3"/>
  <c r="BL64" i="3"/>
  <c r="AZ64" i="3"/>
  <c r="BA74" i="3"/>
  <c r="BA87" i="3"/>
  <c r="AZ87" i="3"/>
  <c r="BA92" i="3"/>
  <c r="AZ92" i="3"/>
  <c r="BA97" i="3"/>
  <c r="AZ97" i="3"/>
  <c r="BA104" i="3"/>
  <c r="AZ104" i="3"/>
  <c r="BL107" i="3"/>
  <c r="AZ107" i="3"/>
  <c r="BL108" i="3"/>
  <c r="BL109" i="3"/>
  <c r="AZ109" i="3"/>
  <c r="BA111" i="3"/>
  <c r="B54" i="59"/>
  <c r="S54" i="59"/>
  <c r="G193" i="3"/>
  <c r="G36" i="3"/>
  <c r="BL65" i="3"/>
  <c r="G81" i="3"/>
  <c r="BA99" i="3"/>
  <c r="BL101" i="3"/>
  <c r="BL106" i="3"/>
  <c r="C53" i="59"/>
  <c r="D52" i="59"/>
  <c r="F21" i="59"/>
  <c r="F20" i="59"/>
  <c r="V22" i="59"/>
  <c r="Y11" i="59"/>
  <c r="Z11" i="59"/>
  <c r="BL190" i="3"/>
  <c r="AZ190" i="3"/>
  <c r="BA33" i="3"/>
  <c r="AZ33" i="3"/>
  <c r="BL47" i="3"/>
  <c r="BL56" i="3"/>
  <c r="BA65" i="3"/>
  <c r="AZ65" i="3"/>
  <c r="BA73" i="3"/>
  <c r="AZ73" i="3"/>
  <c r="BA101" i="3"/>
  <c r="BA106" i="3"/>
  <c r="AZ106" i="3"/>
  <c r="AZ108" i="3"/>
  <c r="AA21" i="37"/>
  <c r="S21" i="37"/>
  <c r="D69" i="59"/>
  <c r="C68" i="59"/>
  <c r="D68" i="59"/>
  <c r="BA47" i="3"/>
  <c r="BA56" i="3"/>
  <c r="AZ96" i="3"/>
  <c r="AA31" i="39"/>
  <c r="S31" i="39"/>
  <c r="AA27" i="59"/>
  <c r="E28" i="59"/>
  <c r="E29" i="59"/>
  <c r="E30" i="59"/>
  <c r="U30" i="59"/>
  <c r="C37" i="59"/>
  <c r="D36" i="59"/>
  <c r="S70" i="59"/>
  <c r="B69" i="59"/>
  <c r="B68" i="59"/>
  <c r="E13" i="59"/>
  <c r="E12" i="59"/>
  <c r="E11" i="59"/>
  <c r="BL29" i="3"/>
  <c r="AZ29" i="3"/>
  <c r="BA46" i="3"/>
  <c r="G60" i="3"/>
  <c r="G72" i="3"/>
  <c r="BL79" i="3"/>
  <c r="AZ79" i="3"/>
  <c r="BA105" i="3"/>
  <c r="BA110" i="3"/>
  <c r="G1" i="77"/>
  <c r="N4" i="63"/>
  <c r="X7" i="59"/>
  <c r="AA9" i="59"/>
  <c r="Y24" i="59"/>
  <c r="Z24" i="59"/>
  <c r="AA30" i="59"/>
  <c r="AB21" i="59"/>
  <c r="Y16" i="59"/>
  <c r="Z16" i="59"/>
  <c r="E17" i="71"/>
  <c r="E17" i="72"/>
  <c r="C16" i="72"/>
  <c r="AA12" i="59"/>
  <c r="AA11" i="59"/>
  <c r="X8" i="59"/>
  <c r="L100" i="46"/>
  <c r="S27" i="40"/>
  <c r="D40" i="59"/>
  <c r="AA3" i="59"/>
  <c r="AA24" i="59"/>
  <c r="AB27" i="59"/>
  <c r="AB30" i="59"/>
  <c r="AA21" i="59"/>
  <c r="X17" i="59"/>
  <c r="Y15" i="59"/>
  <c r="Z15" i="59"/>
  <c r="AB13" i="59"/>
  <c r="AB11" i="59"/>
  <c r="F34" i="59"/>
  <c r="V34" i="59"/>
  <c r="AB24" i="59"/>
  <c r="AA31" i="59"/>
  <c r="Y21" i="59"/>
  <c r="Z21" i="59"/>
  <c r="Y17" i="59"/>
  <c r="Z17" i="59"/>
  <c r="AA16" i="59"/>
  <c r="AB12" i="59"/>
  <c r="X10" i="59"/>
  <c r="AB5" i="59"/>
  <c r="X5" i="59"/>
  <c r="X25" i="59"/>
  <c r="Y28" i="59"/>
  <c r="Z28" i="59"/>
  <c r="AA10" i="46"/>
  <c r="X21" i="59"/>
  <c r="AA17" i="59"/>
  <c r="AA15" i="59"/>
  <c r="X14" i="59"/>
  <c r="Y10" i="59"/>
  <c r="Z10" i="59"/>
  <c r="AB7" i="59"/>
  <c r="X6" i="59"/>
  <c r="S18" i="35"/>
  <c r="C76" i="59"/>
  <c r="D76" i="59"/>
  <c r="C80" i="59"/>
  <c r="D80" i="59"/>
  <c r="C29" i="59"/>
  <c r="Y25" i="59"/>
  <c r="Z25" i="59"/>
  <c r="X27" i="59"/>
  <c r="AA28" i="59"/>
  <c r="AB31" i="59"/>
  <c r="X22" i="59"/>
  <c r="Y20" i="59"/>
  <c r="Z20" i="59"/>
  <c r="Y19" i="59"/>
  <c r="Z19" i="59"/>
  <c r="AB17" i="59"/>
  <c r="AB16" i="59"/>
  <c r="Y14" i="59"/>
  <c r="Z14" i="59"/>
  <c r="AA10" i="59"/>
  <c r="X9" i="59"/>
  <c r="X23" i="59"/>
  <c r="AA25" i="59"/>
  <c r="AB28" i="59"/>
  <c r="Y22" i="59"/>
  <c r="Z22" i="59"/>
  <c r="AB20" i="59"/>
  <c r="AA19" i="59"/>
  <c r="AB15" i="59"/>
  <c r="AA14" i="59"/>
  <c r="AB10" i="59"/>
  <c r="AB8" i="59"/>
  <c r="Y8" i="59"/>
  <c r="Z8" i="59"/>
  <c r="AB25" i="59"/>
  <c r="Y27" i="59"/>
  <c r="Z27" i="59"/>
  <c r="X29" i="59"/>
  <c r="Y32" i="59"/>
  <c r="Z32" i="59"/>
  <c r="AA22" i="59"/>
  <c r="T18" i="59"/>
  <c r="E22" i="59"/>
  <c r="AB19" i="59"/>
  <c r="AB14" i="59"/>
  <c r="AB9" i="59"/>
  <c r="Y7" i="59"/>
  <c r="Z7" i="59"/>
  <c r="Y23" i="59"/>
  <c r="Z23" i="59"/>
  <c r="X26" i="59"/>
  <c r="Y29" i="59"/>
  <c r="Z29" i="59"/>
  <c r="X31" i="59"/>
  <c r="AA32" i="59"/>
  <c r="AB22" i="59"/>
  <c r="X19" i="59"/>
  <c r="X13" i="59"/>
  <c r="AA5" i="59"/>
  <c r="Y5" i="59"/>
  <c r="Z5" i="59"/>
  <c r="AA23" i="59"/>
  <c r="Y26" i="59"/>
  <c r="Z26" i="59"/>
  <c r="AA29" i="59"/>
  <c r="AB32" i="59"/>
  <c r="C22" i="59"/>
  <c r="X18" i="59"/>
  <c r="X12" i="59"/>
  <c r="AA6" i="59"/>
  <c r="Y6" i="59"/>
  <c r="Z6" i="59"/>
  <c r="B84" i="71"/>
  <c r="B84" i="72"/>
  <c r="E58" i="46"/>
  <c r="B56" i="46"/>
  <c r="B85" i="71"/>
  <c r="B85" i="72"/>
  <c r="AA26" i="59"/>
  <c r="AB29" i="59"/>
  <c r="Y31" i="59"/>
  <c r="Z31" i="59"/>
  <c r="B22" i="59"/>
  <c r="Y18" i="59"/>
  <c r="Z18" i="59"/>
  <c r="Y13" i="59"/>
  <c r="Z13" i="59"/>
  <c r="AA8" i="59"/>
  <c r="Y9" i="59"/>
  <c r="Z9" i="59"/>
  <c r="D23" i="15"/>
  <c r="AB23" i="59"/>
  <c r="AB26" i="59"/>
  <c r="Y33" i="59"/>
  <c r="Z33" i="59"/>
  <c r="AA20" i="59"/>
  <c r="AA18" i="59"/>
  <c r="X16" i="59"/>
  <c r="Y12" i="59"/>
  <c r="Z12" i="59"/>
  <c r="X11" i="59"/>
  <c r="AA7" i="59"/>
  <c r="W46" i="34"/>
  <c r="S46" i="34"/>
  <c r="U46" i="34"/>
  <c r="W46" i="33"/>
  <c r="U38" i="33"/>
  <c r="W38" i="33"/>
  <c r="S29" i="33"/>
  <c r="U29" i="33"/>
  <c r="M43" i="9"/>
  <c r="D18" i="9"/>
  <c r="M44" i="9"/>
  <c r="A30" i="64"/>
  <c r="A30" i="51"/>
  <c r="B22" i="63"/>
  <c r="B51" i="71"/>
  <c r="B72" i="72"/>
  <c r="B62" i="72"/>
  <c r="B51" i="72"/>
  <c r="B72" i="71"/>
  <c r="B62" i="71"/>
  <c r="B72" i="46"/>
  <c r="B76" i="71"/>
  <c r="B55" i="71"/>
  <c r="B76" i="72"/>
  <c r="B66" i="72"/>
  <c r="B55" i="72"/>
  <c r="B66" i="71"/>
  <c r="H113" i="33"/>
  <c r="I113" i="33"/>
  <c r="J113" i="33"/>
  <c r="K113" i="33"/>
  <c r="L113" i="33"/>
  <c r="M113" i="33"/>
  <c r="F85" i="33"/>
  <c r="G85" i="33"/>
  <c r="H23" i="33"/>
  <c r="U23" i="33"/>
  <c r="F23" i="33"/>
  <c r="AA23" i="33"/>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c r="W10" i="34"/>
  <c r="W25" i="34"/>
  <c r="W23" i="34"/>
  <c r="U15" i="34"/>
  <c r="AB8" i="34"/>
  <c r="AB38" i="34"/>
  <c r="U39" i="34"/>
  <c r="F88" i="34"/>
  <c r="G88" i="34"/>
  <c r="H88" i="34"/>
  <c r="I88" i="34"/>
  <c r="J88" i="34"/>
  <c r="K88" i="34"/>
  <c r="L88" i="34"/>
  <c r="M88" i="34"/>
  <c r="F25" i="34"/>
  <c r="S25" i="34"/>
  <c r="F82" i="34"/>
  <c r="G82" i="34"/>
  <c r="H19" i="34"/>
  <c r="J19" i="34"/>
  <c r="F19" i="34"/>
  <c r="AA19" i="34"/>
  <c r="AC43" i="34"/>
  <c r="W44" i="34"/>
  <c r="H112" i="34"/>
  <c r="I112" i="34"/>
  <c r="J112" i="34"/>
  <c r="K112" i="34"/>
  <c r="L112" i="34"/>
  <c r="M112" i="34"/>
  <c r="F37" i="34"/>
  <c r="H37" i="34"/>
  <c r="J37" i="34"/>
  <c r="AA23" i="34"/>
  <c r="AA15" i="34"/>
  <c r="W35" i="34"/>
  <c r="W33" i="34"/>
  <c r="AC40" i="34"/>
  <c r="AB40" i="34"/>
  <c r="AC41" i="34"/>
  <c r="S43" i="34"/>
  <c r="AA44" i="34"/>
  <c r="F101" i="33"/>
  <c r="F32" i="33"/>
  <c r="F111" i="33"/>
  <c r="AA33" i="34"/>
  <c r="AA36" i="34"/>
  <c r="AB36" i="34"/>
  <c r="AC36" i="34"/>
  <c r="AB35" i="34"/>
  <c r="AC28" i="34"/>
  <c r="AA28" i="34"/>
  <c r="AA27" i="34"/>
  <c r="J42" i="33"/>
  <c r="AC42" i="33"/>
  <c r="H42" i="33"/>
  <c r="U42" i="33"/>
  <c r="G87" i="33"/>
  <c r="H25" i="33"/>
  <c r="AB25" i="33"/>
  <c r="F25" i="33"/>
  <c r="S25" i="33"/>
  <c r="U11" i="34"/>
  <c r="U23" i="34"/>
  <c r="S21" i="34"/>
  <c r="W17" i="34"/>
  <c r="S17" i="34"/>
  <c r="AC15" i="34"/>
  <c r="S10" i="34"/>
  <c r="U10" i="34"/>
  <c r="U9" i="34"/>
  <c r="S9" i="34"/>
  <c r="AC23" i="33"/>
  <c r="AC17" i="33"/>
  <c r="U17" i="33"/>
  <c r="G123" i="33"/>
  <c r="H123" i="33"/>
  <c r="I123" i="33"/>
  <c r="J123" i="33"/>
  <c r="K123" i="33"/>
  <c r="L123" i="33"/>
  <c r="M123" i="33"/>
  <c r="F42" i="33"/>
  <c r="AA42" i="33"/>
  <c r="F77" i="33"/>
  <c r="G77" i="33"/>
  <c r="F15" i="33"/>
  <c r="J15" i="33"/>
  <c r="W15" i="33"/>
  <c r="H15" i="33"/>
  <c r="F19" i="33"/>
  <c r="S19" i="33"/>
  <c r="H19" i="33"/>
  <c r="F81" i="33"/>
  <c r="G81" i="33"/>
  <c r="J19" i="33"/>
  <c r="S26" i="33"/>
  <c r="AB10" i="33"/>
  <c r="S10" i="33"/>
  <c r="W10" i="33"/>
  <c r="AB11" i="33"/>
  <c r="AC11" i="33"/>
  <c r="S43" i="33"/>
  <c r="AB43" i="33"/>
  <c r="AA41" i="33"/>
  <c r="U41" i="33"/>
  <c r="U39" i="33"/>
  <c r="W42" i="33"/>
  <c r="W41" i="33"/>
  <c r="S39" i="33"/>
  <c r="U37" i="33"/>
  <c r="S37" i="33"/>
  <c r="AC37" i="33"/>
  <c r="U35" i="33"/>
  <c r="S35" i="33"/>
  <c r="AC35" i="33"/>
  <c r="W34" i="33"/>
  <c r="AA34" i="33"/>
  <c r="W27" i="33"/>
  <c r="AB26" i="33"/>
  <c r="AC28" i="33"/>
  <c r="AA27" i="33"/>
  <c r="AC8" i="33"/>
  <c r="S9" i="33"/>
  <c r="W9" i="33"/>
  <c r="AB9" i="33"/>
  <c r="S17" i="33"/>
  <c r="I20" i="72"/>
  <c r="BB5" i="3"/>
  <c r="E5" i="6"/>
  <c r="D12" i="11"/>
  <c r="C12" i="11"/>
  <c r="BA5" i="3"/>
  <c r="E69" i="46"/>
  <c r="B67" i="46"/>
  <c r="C24" i="46"/>
  <c r="H9" i="68"/>
  <c r="C9" i="68"/>
  <c r="F21" i="6"/>
  <c r="E21" i="6"/>
  <c r="C10" i="12"/>
  <c r="C6" i="12"/>
  <c r="C24" i="12"/>
  <c r="E20" i="6"/>
  <c r="W10" i="21"/>
  <c r="U9" i="21"/>
  <c r="AA9" i="21"/>
  <c r="AB10" i="21"/>
  <c r="W8" i="21"/>
  <c r="AP8" i="1"/>
  <c r="G8" i="1"/>
  <c r="G7" i="1"/>
  <c r="AP7" i="1"/>
  <c r="C42" i="1"/>
  <c r="G19" i="72"/>
  <c r="G19" i="71"/>
  <c r="D96" i="9"/>
  <c r="B41" i="1"/>
  <c r="F72" i="9"/>
  <c r="G21" i="43"/>
  <c r="G27" i="12"/>
  <c r="G28" i="70"/>
  <c r="G26" i="70"/>
  <c r="G26" i="69"/>
  <c r="G27" i="70"/>
  <c r="G27" i="69"/>
  <c r="G28" i="69"/>
  <c r="C2" i="65"/>
  <c r="K1" i="69"/>
  <c r="K1" i="70"/>
  <c r="I4" i="6"/>
  <c r="F30" i="6"/>
  <c r="N16" i="4"/>
  <c r="K17" i="4"/>
  <c r="D70" i="39"/>
  <c r="C72" i="39"/>
  <c r="C67" i="40"/>
  <c r="G17" i="46"/>
  <c r="C16" i="46"/>
  <c r="BL13" i="3"/>
  <c r="BL5" i="3"/>
  <c r="C15" i="43"/>
  <c r="H12" i="48"/>
  <c r="G6" i="1"/>
  <c r="I20" i="46"/>
  <c r="I46" i="36"/>
  <c r="J46" i="36"/>
  <c r="K46" i="36"/>
  <c r="L46" i="36"/>
  <c r="M46" i="36"/>
  <c r="N46" i="36"/>
  <c r="O46" i="36"/>
  <c r="L52" i="37"/>
  <c r="M52" i="37"/>
  <c r="N52" i="37"/>
  <c r="O52" i="37"/>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66" i="9"/>
  <c r="P72" i="9"/>
  <c r="O9" i="1"/>
  <c r="P9" i="1"/>
  <c r="O6" i="1"/>
  <c r="C5" i="46"/>
  <c r="C18" i="11"/>
  <c r="K77" i="9"/>
  <c r="K79" i="9"/>
  <c r="K81" i="9"/>
  <c r="E12" i="52"/>
  <c r="E10" i="59"/>
  <c r="B10" i="59"/>
  <c r="B4" i="52"/>
  <c r="E14" i="52"/>
  <c r="E11" i="52"/>
  <c r="E7" i="52"/>
  <c r="E4" i="52"/>
  <c r="B8" i="52"/>
  <c r="B10" i="52"/>
  <c r="B5" i="52"/>
  <c r="B12" i="52"/>
  <c r="B14" i="52"/>
  <c r="Y3" i="59"/>
  <c r="Z3" i="59"/>
  <c r="P22" i="46"/>
  <c r="P24" i="46"/>
  <c r="B68" i="40"/>
  <c r="P23" i="46"/>
  <c r="P25" i="46"/>
  <c r="B73" i="39"/>
  <c r="P21" i="46"/>
  <c r="I1" i="65"/>
  <c r="L19" i="6"/>
  <c r="L27" i="6"/>
  <c r="AZ46" i="3"/>
  <c r="AZ99" i="3"/>
  <c r="AZ74" i="3"/>
  <c r="AZ187" i="3"/>
  <c r="AZ164" i="3"/>
  <c r="AZ167" i="3"/>
  <c r="AZ462" i="3"/>
  <c r="AZ405" i="3"/>
  <c r="AZ207" i="3"/>
  <c r="AZ390" i="3"/>
  <c r="D65" i="59"/>
  <c r="C64" i="59"/>
  <c r="D64" i="59"/>
  <c r="AZ44" i="3"/>
  <c r="AZ263" i="3"/>
  <c r="AZ256" i="3"/>
  <c r="AZ214" i="3"/>
  <c r="AZ209" i="3"/>
  <c r="AZ431" i="3"/>
  <c r="AZ398" i="3"/>
  <c r="AZ385" i="3"/>
  <c r="AZ369" i="3"/>
  <c r="AZ368" i="3"/>
  <c r="AZ470" i="3"/>
  <c r="W9" i="35"/>
  <c r="AC9" i="35"/>
  <c r="W26" i="37"/>
  <c r="AC26" i="37"/>
  <c r="AC36" i="35"/>
  <c r="W36" i="35"/>
  <c r="AC13" i="21"/>
  <c r="W13" i="21"/>
  <c r="S31" i="21"/>
  <c r="AA31" i="21"/>
  <c r="D49" i="59"/>
  <c r="C50" i="59"/>
  <c r="AB9" i="35"/>
  <c r="U9" i="35"/>
  <c r="AA26" i="37"/>
  <c r="S26" i="37"/>
  <c r="AB36" i="35"/>
  <c r="U36" i="35"/>
  <c r="U33" i="34"/>
  <c r="AB33" i="34"/>
  <c r="U29" i="21"/>
  <c r="AB29" i="21"/>
  <c r="C14" i="59"/>
  <c r="D15" i="59"/>
  <c r="S19" i="34"/>
  <c r="F7" i="36"/>
  <c r="H7" i="36"/>
  <c r="AA32" i="40"/>
  <c r="S32" i="40"/>
  <c r="AC32" i="40"/>
  <c r="W32" i="40"/>
  <c r="U17" i="34"/>
  <c r="E28" i="6"/>
  <c r="K14" i="1"/>
  <c r="M14" i="1"/>
  <c r="O14" i="1"/>
  <c r="P14" i="1"/>
  <c r="G30" i="6"/>
  <c r="G31" i="6"/>
  <c r="AA32" i="33"/>
  <c r="S32" i="33"/>
  <c r="T46" i="59"/>
  <c r="D46" i="59"/>
  <c r="C58" i="59"/>
  <c r="D57" i="59"/>
  <c r="AZ433" i="3"/>
  <c r="E9" i="59"/>
  <c r="E8" i="59"/>
  <c r="E7" i="59"/>
  <c r="E6" i="59"/>
  <c r="U10" i="59"/>
  <c r="AZ13" i="3"/>
  <c r="AZ56" i="3"/>
  <c r="AZ136" i="3"/>
  <c r="AZ318" i="3"/>
  <c r="AZ451" i="3"/>
  <c r="AC47" i="34"/>
  <c r="W47" i="34"/>
  <c r="AZ47" i="3"/>
  <c r="V18" i="59"/>
  <c r="F17" i="59"/>
  <c r="F16" i="59"/>
  <c r="F15" i="59"/>
  <c r="F14" i="59"/>
  <c r="AZ156" i="3"/>
  <c r="AZ90" i="3"/>
  <c r="AZ246" i="3"/>
  <c r="G101" i="33"/>
  <c r="J32" i="33"/>
  <c r="C16" i="71"/>
  <c r="B32" i="1"/>
  <c r="B9" i="59"/>
  <c r="B8" i="59"/>
  <c r="B7" i="59"/>
  <c r="B6" i="59"/>
  <c r="S10" i="59"/>
  <c r="C34" i="59"/>
  <c r="D33" i="59"/>
  <c r="W25" i="37"/>
  <c r="AC25" i="37"/>
  <c r="E8" i="6"/>
  <c r="E53" i="40"/>
  <c r="AA19" i="33"/>
  <c r="S22" i="59"/>
  <c r="B21" i="59"/>
  <c r="B20" i="59"/>
  <c r="AZ423" i="3"/>
  <c r="AZ413" i="3"/>
  <c r="AB28" i="34"/>
  <c r="U28" i="34"/>
  <c r="S25" i="37"/>
  <c r="AA25" i="37"/>
  <c r="E11" i="6"/>
  <c r="E58" i="40"/>
  <c r="J7" i="36"/>
  <c r="E15" i="6"/>
  <c r="AB42" i="33"/>
  <c r="S23" i="33"/>
  <c r="D22" i="59"/>
  <c r="T22" i="59"/>
  <c r="C21" i="59"/>
  <c r="AZ111" i="3"/>
  <c r="AZ83" i="3"/>
  <c r="C26" i="59"/>
  <c r="D25" i="59"/>
  <c r="AZ120" i="3"/>
  <c r="AZ221" i="3"/>
  <c r="AZ235" i="3"/>
  <c r="U25" i="37"/>
  <c r="AB25" i="37"/>
  <c r="F60" i="59"/>
  <c r="Q61" i="59"/>
  <c r="E12" i="6"/>
  <c r="AB27" i="33"/>
  <c r="AZ78" i="3"/>
  <c r="AZ128" i="3"/>
  <c r="AZ399" i="3"/>
  <c r="U12" i="35"/>
  <c r="AB12" i="35"/>
  <c r="W12" i="35"/>
  <c r="AC12" i="35"/>
  <c r="E14" i="6"/>
  <c r="E66" i="39"/>
  <c r="E21" i="59"/>
  <c r="E20" i="59"/>
  <c r="U22" i="59"/>
  <c r="U34" i="59"/>
  <c r="M19" i="46"/>
  <c r="AB23" i="33"/>
  <c r="C30" i="59"/>
  <c r="D29" i="59"/>
  <c r="D37" i="59"/>
  <c r="C38" i="59"/>
  <c r="P59" i="59"/>
  <c r="P60" i="59"/>
  <c r="AZ62" i="3"/>
  <c r="AZ133" i="3"/>
  <c r="AZ412" i="3"/>
  <c r="AZ395" i="3"/>
  <c r="AA45" i="21"/>
  <c r="S45" i="21"/>
  <c r="U34" i="36"/>
  <c r="AB34" i="36"/>
  <c r="E13" i="6"/>
  <c r="U25" i="33"/>
  <c r="AZ110" i="3"/>
  <c r="D53" i="59"/>
  <c r="C54" i="59"/>
  <c r="U45" i="21"/>
  <c r="AB45" i="21"/>
  <c r="AC34" i="36"/>
  <c r="W34" i="36"/>
  <c r="G5" i="3"/>
  <c r="B3" i="3"/>
  <c r="E36" i="3"/>
  <c r="AC9" i="21"/>
  <c r="W9" i="21"/>
  <c r="M83" i="9"/>
  <c r="N83" i="9"/>
  <c r="N89" i="9"/>
  <c r="O89" i="9"/>
  <c r="M84" i="9"/>
  <c r="N84" i="9"/>
  <c r="M86" i="9"/>
  <c r="N86" i="9"/>
  <c r="M87" i="9"/>
  <c r="N87" i="9"/>
  <c r="M88" i="9"/>
  <c r="N88" i="9"/>
  <c r="M85" i="9"/>
  <c r="N85" i="9"/>
  <c r="AZ105" i="3"/>
  <c r="AZ101" i="3"/>
  <c r="AZ69" i="3"/>
  <c r="AZ240" i="3"/>
  <c r="AZ400" i="3"/>
  <c r="D5" i="72"/>
  <c r="C5" i="72"/>
  <c r="D4" i="68"/>
  <c r="AZ38" i="3"/>
  <c r="AA25" i="35"/>
  <c r="S25" i="35"/>
  <c r="F7" i="35"/>
  <c r="AA7" i="35"/>
  <c r="R38" i="35"/>
  <c r="F28" i="77"/>
  <c r="C28" i="77"/>
  <c r="M18" i="77"/>
  <c r="F32" i="77"/>
  <c r="F59" i="77"/>
  <c r="AA25" i="34"/>
  <c r="E30" i="6"/>
  <c r="AB19" i="34"/>
  <c r="U19" i="34"/>
  <c r="AC19" i="34"/>
  <c r="W19" i="34"/>
  <c r="AC37" i="34"/>
  <c r="W37" i="34"/>
  <c r="AA37" i="34"/>
  <c r="S37" i="34"/>
  <c r="AB37" i="34"/>
  <c r="U37" i="34"/>
  <c r="H101" i="33"/>
  <c r="I101" i="33"/>
  <c r="J101" i="33"/>
  <c r="K101" i="33"/>
  <c r="L101" i="33"/>
  <c r="M101" i="33"/>
  <c r="H32" i="33"/>
  <c r="G111" i="33"/>
  <c r="J36" i="33"/>
  <c r="AC15" i="33"/>
  <c r="AA25" i="33"/>
  <c r="J25" i="33"/>
  <c r="H87" i="33"/>
  <c r="I87" i="33"/>
  <c r="J87" i="33"/>
  <c r="K87" i="33"/>
  <c r="L87" i="33"/>
  <c r="M87" i="33"/>
  <c r="S42" i="33"/>
  <c r="U15" i="33"/>
  <c r="AB15" i="33"/>
  <c r="AA15" i="33"/>
  <c r="S15" i="33"/>
  <c r="W19" i="33"/>
  <c r="AC19" i="33"/>
  <c r="U19" i="33"/>
  <c r="AB19" i="33"/>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C34" i="34"/>
  <c r="K7" i="1"/>
  <c r="C4" i="73"/>
  <c r="H12" i="68"/>
  <c r="H7" i="35"/>
  <c r="AB7" i="35"/>
  <c r="T38" i="35"/>
  <c r="G38" i="35"/>
  <c r="J7" i="35"/>
  <c r="P24" i="72"/>
  <c r="P25" i="72"/>
  <c r="P21" i="72"/>
  <c r="O19" i="72"/>
  <c r="F4" i="68"/>
  <c r="P23" i="72"/>
  <c r="P22" i="72"/>
  <c r="P22" i="71"/>
  <c r="P23" i="71"/>
  <c r="P25" i="71"/>
  <c r="P24" i="71"/>
  <c r="P21" i="71"/>
  <c r="O19" i="71"/>
  <c r="F3" i="68"/>
  <c r="D5" i="46"/>
  <c r="F34" i="44"/>
  <c r="F29" i="69"/>
  <c r="F29" i="70"/>
  <c r="F27" i="43"/>
  <c r="C27" i="43"/>
  <c r="D86" i="9"/>
  <c r="F71" i="9"/>
  <c r="F29" i="12"/>
  <c r="C29" i="12"/>
  <c r="F31" i="43"/>
  <c r="C31" i="43"/>
  <c r="M18" i="15"/>
  <c r="E58" i="39"/>
  <c r="F27" i="6"/>
  <c r="F7" i="37"/>
  <c r="AA7" i="37"/>
  <c r="R42" i="37"/>
  <c r="D67" i="40"/>
  <c r="E65" i="40"/>
  <c r="E70" i="39"/>
  <c r="D72" i="39"/>
  <c r="E16" i="6"/>
  <c r="E67" i="39"/>
  <c r="E62" i="40"/>
  <c r="E63" i="39"/>
  <c r="E59" i="40"/>
  <c r="E64" i="39"/>
  <c r="J7" i="37"/>
  <c r="W7" i="37"/>
  <c r="H7" i="37"/>
  <c r="AB7" i="37"/>
  <c r="T42" i="37"/>
  <c r="G42" i="37"/>
  <c r="AB7" i="36"/>
  <c r="T36" i="36"/>
  <c r="G36" i="36"/>
  <c r="U7" i="36"/>
  <c r="S7" i="36"/>
  <c r="AA7" i="36"/>
  <c r="R36" i="36"/>
  <c r="AC7" i="35"/>
  <c r="V38" i="35"/>
  <c r="I38" i="35"/>
  <c r="W7" i="35"/>
  <c r="E59" i="34"/>
  <c r="E58" i="21"/>
  <c r="E58" i="33"/>
  <c r="W7" i="36"/>
  <c r="AC7" i="36"/>
  <c r="V36" i="36"/>
  <c r="I36" i="36"/>
  <c r="E60" i="40"/>
  <c r="E65" i="39"/>
  <c r="P6" i="1"/>
  <c r="C19" i="46"/>
  <c r="T50" i="59"/>
  <c r="D50" i="59"/>
  <c r="C13" i="59"/>
  <c r="D14" i="59"/>
  <c r="T14" i="59"/>
  <c r="E118" i="3"/>
  <c r="E55" i="3"/>
  <c r="E81" i="3"/>
  <c r="E347" i="3"/>
  <c r="E388" i="3"/>
  <c r="E345" i="3"/>
  <c r="E450" i="3"/>
  <c r="E177" i="3"/>
  <c r="E212" i="3"/>
  <c r="E231" i="3"/>
  <c r="E465" i="3"/>
  <c r="U7" i="35"/>
  <c r="E563" i="3"/>
  <c r="T54" i="59"/>
  <c r="D54" i="59"/>
  <c r="E46" i="3"/>
  <c r="E282" i="3"/>
  <c r="T26" i="59"/>
  <c r="D26" i="59"/>
  <c r="D21" i="59"/>
  <c r="C20" i="59"/>
  <c r="D20" i="59"/>
  <c r="F13" i="59"/>
  <c r="F12" i="59"/>
  <c r="F11" i="59"/>
  <c r="F10" i="59"/>
  <c r="V14" i="59"/>
  <c r="E255" i="3"/>
  <c r="Q60" i="59"/>
  <c r="Q59" i="59"/>
  <c r="M19" i="71"/>
  <c r="T34" i="59"/>
  <c r="D34" i="59"/>
  <c r="M19" i="72"/>
  <c r="E239" i="3"/>
  <c r="E214" i="3"/>
  <c r="AZ5" i="3"/>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B5" i="59"/>
  <c r="S6" i="59"/>
  <c r="E170" i="3"/>
  <c r="E61" i="40"/>
  <c r="T38" i="59"/>
  <c r="D38" i="59"/>
  <c r="E19" i="70"/>
  <c r="E19" i="69"/>
  <c r="E19" i="12"/>
  <c r="B31" i="1"/>
  <c r="E5" i="59"/>
  <c r="U6" i="59"/>
  <c r="E305" i="3"/>
  <c r="E399" i="3"/>
  <c r="E263" i="3"/>
  <c r="D3" i="68"/>
  <c r="D5" i="71"/>
  <c r="C5" i="71"/>
  <c r="T30" i="59"/>
  <c r="D30" i="59"/>
  <c r="AC32" i="33"/>
  <c r="W32" i="33"/>
  <c r="E223" i="3"/>
  <c r="E209" i="3"/>
  <c r="S7" i="35"/>
  <c r="E72" i="3"/>
  <c r="E205" i="3"/>
  <c r="E287" i="3"/>
  <c r="E470" i="3"/>
  <c r="T58" i="59"/>
  <c r="D58" i="59"/>
  <c r="U7" i="37"/>
  <c r="S7" i="37"/>
  <c r="J33" i="33"/>
  <c r="F33" i="33"/>
  <c r="H33" i="33"/>
  <c r="M8" i="1"/>
  <c r="AB32" i="33"/>
  <c r="U32" i="33"/>
  <c r="H111" i="33"/>
  <c r="I111" i="33"/>
  <c r="J111" i="33"/>
  <c r="K111" i="33"/>
  <c r="L111" i="33"/>
  <c r="M111" i="33"/>
  <c r="H36" i="33"/>
  <c r="F36" i="33"/>
  <c r="W36" i="33"/>
  <c r="AC36" i="33"/>
  <c r="W25" i="33"/>
  <c r="AC25" i="33"/>
  <c r="O8" i="1"/>
  <c r="P8" i="1"/>
  <c r="C5" i="73"/>
  <c r="C9" i="73"/>
  <c r="C10" i="73"/>
  <c r="M7" i="1"/>
  <c r="Q16" i="1"/>
  <c r="F24" i="43"/>
  <c r="C26" i="43"/>
  <c r="D24" i="43"/>
  <c r="H16" i="1"/>
  <c r="K16" i="1"/>
  <c r="AP16" i="1"/>
  <c r="F22" i="11"/>
  <c r="G16" i="1"/>
  <c r="E27" i="6"/>
  <c r="F31" i="6"/>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D13" i="59"/>
  <c r="C12" i="59"/>
  <c r="E3" i="6"/>
  <c r="AY6" i="3"/>
  <c r="F9" i="59"/>
  <c r="F8" i="59"/>
  <c r="F7" i="59"/>
  <c r="F6" i="59"/>
  <c r="V10" i="59"/>
  <c r="H6" i="3"/>
  <c r="E6" i="3"/>
  <c r="AC6" i="3"/>
  <c r="AB33" i="33"/>
  <c r="U33" i="33"/>
  <c r="AC33" i="33"/>
  <c r="W33" i="33"/>
  <c r="AA33" i="33"/>
  <c r="S33" i="33"/>
  <c r="J34" i="34"/>
  <c r="F34" i="34"/>
  <c r="H34" i="34"/>
  <c r="AB36" i="33"/>
  <c r="U36" i="33"/>
  <c r="S36" i="33"/>
  <c r="AA36" i="33"/>
  <c r="O7" i="1"/>
  <c r="M16" i="1"/>
  <c r="H12" i="39"/>
  <c r="J12" i="40"/>
  <c r="H12" i="40"/>
  <c r="F12" i="39"/>
  <c r="F12" i="40"/>
  <c r="J12" i="39"/>
  <c r="J7" i="21"/>
  <c r="W7" i="21"/>
  <c r="J7" i="33"/>
  <c r="AC7" i="33"/>
  <c r="V48" i="33"/>
  <c r="I48" i="33"/>
  <c r="G47" i="37"/>
  <c r="H47" i="37"/>
  <c r="K24" i="6"/>
  <c r="M24" i="6"/>
  <c r="I24" i="6"/>
  <c r="S24" i="6"/>
  <c r="K21" i="6"/>
  <c r="K26" i="6"/>
  <c r="M26" i="6"/>
  <c r="I26" i="6"/>
  <c r="S26" i="6"/>
  <c r="K25" i="6"/>
  <c r="M25" i="6"/>
  <c r="I25" i="6"/>
  <c r="S25" i="6"/>
  <c r="K20" i="6"/>
  <c r="E31" i="6"/>
  <c r="K23" i="6"/>
  <c r="M23" i="6"/>
  <c r="I23" i="6"/>
  <c r="S23" i="6"/>
  <c r="K22" i="6"/>
  <c r="M22" i="6"/>
  <c r="I22" i="6"/>
  <c r="S22" i="6"/>
  <c r="K19" i="6"/>
  <c r="F67" i="40"/>
  <c r="G65" i="40"/>
  <c r="G70" i="39"/>
  <c r="F72" i="39"/>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C43" i="37"/>
  <c r="B3" i="37"/>
  <c r="B2" i="37"/>
  <c r="C42" i="37"/>
  <c r="C39" i="35"/>
  <c r="B3" i="35"/>
  <c r="B2" i="35"/>
  <c r="C38" i="35"/>
  <c r="G59" i="34"/>
  <c r="H59" i="34"/>
  <c r="I59" i="34"/>
  <c r="J59" i="34"/>
  <c r="K59" i="34"/>
  <c r="L59" i="34"/>
  <c r="M59" i="34"/>
  <c r="N59" i="34"/>
  <c r="O59" i="34"/>
  <c r="F7" i="33"/>
  <c r="C11" i="59"/>
  <c r="D12" i="59"/>
  <c r="W7" i="33"/>
  <c r="F5" i="59"/>
  <c r="V6"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c r="E6" i="6"/>
  <c r="D13" i="11"/>
  <c r="C13" i="11"/>
  <c r="L38" i="9"/>
  <c r="B14" i="66"/>
  <c r="B1" i="66"/>
  <c r="D45" i="9"/>
  <c r="C21" i="4"/>
  <c r="O5" i="54"/>
  <c r="B45" i="63"/>
  <c r="D44" i="9"/>
  <c r="AA34" i="34"/>
  <c r="S34" i="34"/>
  <c r="AB34" i="34"/>
  <c r="U34" i="34"/>
  <c r="W34" i="34"/>
  <c r="AC34" i="34"/>
  <c r="AC12" i="39"/>
  <c r="W12" i="39"/>
  <c r="S12" i="39"/>
  <c r="AA12" i="39"/>
  <c r="AC12" i="40"/>
  <c r="W12" i="40"/>
  <c r="L16" i="1"/>
  <c r="C13" i="43"/>
  <c r="C17" i="43"/>
  <c r="N16" i="1"/>
  <c r="C29" i="43"/>
  <c r="S12" i="40"/>
  <c r="AA12" i="40"/>
  <c r="U12" i="40"/>
  <c r="AB12" i="40"/>
  <c r="U12" i="39"/>
  <c r="AB12" i="39"/>
  <c r="P7" i="1"/>
  <c r="O16" i="1"/>
  <c r="F7" i="34"/>
  <c r="S7" i="34"/>
  <c r="M21" i="6"/>
  <c r="I21" i="6"/>
  <c r="S8" i="1"/>
  <c r="M20" i="6"/>
  <c r="I20" i="6"/>
  <c r="S7" i="1"/>
  <c r="H23" i="6"/>
  <c r="S6" i="1"/>
  <c r="M19" i="6"/>
  <c r="K27" i="6"/>
  <c r="H65" i="40"/>
  <c r="G67" i="40"/>
  <c r="H70" i="39"/>
  <c r="G72" i="39"/>
  <c r="H7" i="34"/>
  <c r="U7" i="34"/>
  <c r="S7" i="21"/>
  <c r="AA7" i="21"/>
  <c r="R48" i="21"/>
  <c r="AA7" i="33"/>
  <c r="R48" i="33"/>
  <c r="S7" i="33"/>
  <c r="I52" i="33"/>
  <c r="J52" i="33"/>
  <c r="I52" i="21"/>
  <c r="J52" i="21"/>
  <c r="AB7" i="33"/>
  <c r="T48" i="33"/>
  <c r="G48" i="33"/>
  <c r="U7" i="33"/>
  <c r="G52" i="21"/>
  <c r="H52" i="21"/>
  <c r="G53" i="21"/>
  <c r="H53" i="21"/>
  <c r="J7" i="34"/>
  <c r="D77" i="9"/>
  <c r="N75" i="9"/>
  <c r="D11" i="59"/>
  <c r="C10" i="59"/>
  <c r="C7" i="66"/>
  <c r="C6" i="66"/>
  <c r="C8" i="66"/>
  <c r="D14" i="6"/>
  <c r="E63" i="40"/>
  <c r="F44" i="9"/>
  <c r="D28" i="6"/>
  <c r="D9" i="6"/>
  <c r="D26" i="6"/>
  <c r="E45" i="9"/>
  <c r="D15" i="6"/>
  <c r="E46" i="9"/>
  <c r="D20" i="6"/>
  <c r="D25" i="6"/>
  <c r="D24" i="6"/>
  <c r="H24" i="6"/>
  <c r="D8" i="6"/>
  <c r="F45" i="9"/>
  <c r="D11" i="6"/>
  <c r="E68" i="39"/>
  <c r="D23" i="6"/>
  <c r="R23" i="6"/>
  <c r="D12" i="6"/>
  <c r="H26" i="6"/>
  <c r="D6" i="6"/>
  <c r="I7" i="6"/>
  <c r="D22" i="6"/>
  <c r="K38" i="9"/>
  <c r="C14" i="66"/>
  <c r="B2" i="66"/>
  <c r="D29" i="6"/>
  <c r="F1" i="72"/>
  <c r="F46" i="9"/>
  <c r="H25" i="6"/>
  <c r="E44" i="9"/>
  <c r="D10" i="6"/>
  <c r="C22" i="4"/>
  <c r="D5" i="6"/>
  <c r="D19" i="6"/>
  <c r="D21" i="6"/>
  <c r="H22" i="6"/>
  <c r="D13" i="6"/>
  <c r="AA7" i="34"/>
  <c r="R49" i="34"/>
  <c r="E49" i="34"/>
  <c r="P16" i="1"/>
  <c r="C14" i="43"/>
  <c r="AB7" i="34"/>
  <c r="T49" i="34"/>
  <c r="G49" i="34"/>
  <c r="G53" i="34"/>
  <c r="H53" i="34"/>
  <c r="S20" i="6"/>
  <c r="H20" i="6"/>
  <c r="R20" i="6"/>
  <c r="R7" i="1"/>
  <c r="S21" i="6"/>
  <c r="H21" i="6"/>
  <c r="R21" i="6"/>
  <c r="R8" i="1"/>
  <c r="S16" i="1"/>
  <c r="T6" i="1"/>
  <c r="I19" i="6"/>
  <c r="M27" i="6"/>
  <c r="I70" i="39"/>
  <c r="H72" i="39"/>
  <c r="H67" i="40"/>
  <c r="I65" i="40"/>
  <c r="G52" i="33"/>
  <c r="H52" i="33"/>
  <c r="G53" i="33"/>
  <c r="H53" i="33"/>
  <c r="R49" i="33"/>
  <c r="E48" i="33"/>
  <c r="R49" i="21"/>
  <c r="E48" i="21"/>
  <c r="W7" i="34"/>
  <c r="AC7" i="34"/>
  <c r="V49" i="34"/>
  <c r="I49" i="34"/>
  <c r="C9" i="59"/>
  <c r="D10" i="59"/>
  <c r="T10" i="59"/>
  <c r="R24" i="6"/>
  <c r="R26" i="6"/>
  <c r="D30" i="6"/>
  <c r="D16" i="6"/>
  <c r="D7" i="66"/>
  <c r="D6" i="66"/>
  <c r="D8" i="66"/>
  <c r="R22" i="6"/>
  <c r="R25" i="6"/>
  <c r="G3" i="71"/>
  <c r="G3" i="46"/>
  <c r="G3" i="72"/>
  <c r="A6" i="64"/>
  <c r="A20" i="51"/>
  <c r="B15" i="63"/>
  <c r="N5" i="54"/>
  <c r="B43" i="63"/>
  <c r="A20" i="64"/>
  <c r="A6" i="51"/>
  <c r="B7" i="63"/>
  <c r="D27" i="6"/>
  <c r="D31" i="6"/>
  <c r="C34" i="77"/>
  <c r="F62" i="77"/>
  <c r="C61" i="77"/>
  <c r="R50" i="34"/>
  <c r="C49" i="34"/>
  <c r="U8" i="1"/>
  <c r="I27" i="6"/>
  <c r="H19" i="6"/>
  <c r="S19" i="6"/>
  <c r="S27" i="6"/>
  <c r="T8" i="1"/>
  <c r="T11" i="1"/>
  <c r="T7" i="1"/>
  <c r="T12" i="1"/>
  <c r="T9" i="1"/>
  <c r="T13" i="1"/>
  <c r="T10" i="1"/>
  <c r="J65" i="40"/>
  <c r="I67" i="40"/>
  <c r="J70" i="39"/>
  <c r="I72" i="39"/>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48" i="33"/>
  <c r="U7" i="1"/>
  <c r="I6" i="6"/>
  <c r="I5" i="6"/>
  <c r="D9" i="59"/>
  <c r="C8" i="59"/>
  <c r="H22" i="72"/>
  <c r="L101" i="72"/>
  <c r="AI11" i="72"/>
  <c r="AI13" i="72"/>
  <c r="M101" i="72"/>
  <c r="AJ11" i="72"/>
  <c r="AJ13" i="72"/>
  <c r="D101" i="72"/>
  <c r="E22" i="72"/>
  <c r="G22" i="72"/>
  <c r="N101" i="72"/>
  <c r="AE11" i="72"/>
  <c r="AE13" i="72"/>
  <c r="F22" i="72"/>
  <c r="G101" i="72"/>
  <c r="E101" i="72"/>
  <c r="AH11" i="72"/>
  <c r="AH13" i="72"/>
  <c r="AA11" i="72"/>
  <c r="AA13" i="72"/>
  <c r="AG11" i="72"/>
  <c r="AG13" i="72"/>
  <c r="AC11" i="72"/>
  <c r="AC13" i="72"/>
  <c r="AB11" i="72"/>
  <c r="AB13" i="72"/>
  <c r="Z7" i="72"/>
  <c r="H101" i="72"/>
  <c r="B113" i="72"/>
  <c r="AD11" i="72"/>
  <c r="AD13" i="72"/>
  <c r="Y11" i="72"/>
  <c r="Y13" i="72"/>
  <c r="J101" i="72"/>
  <c r="K101" i="72"/>
  <c r="AF11" i="72"/>
  <c r="AF13" i="72"/>
  <c r="Z11" i="72"/>
  <c r="Z13" i="72"/>
  <c r="F101" i="72"/>
  <c r="C101" i="72"/>
  <c r="I101" i="72"/>
  <c r="AF11" i="46"/>
  <c r="AF13" i="46"/>
  <c r="AE11" i="46"/>
  <c r="AE13" i="46"/>
  <c r="F101" i="46"/>
  <c r="B113" i="46"/>
  <c r="L101" i="46"/>
  <c r="J101" i="46"/>
  <c r="AJ11" i="46"/>
  <c r="AJ13" i="46"/>
  <c r="AI11" i="46"/>
  <c r="AI13" i="46"/>
  <c r="H22" i="46"/>
  <c r="AD11" i="46"/>
  <c r="AD13" i="46"/>
  <c r="M101" i="46"/>
  <c r="H101" i="46"/>
  <c r="K101" i="46"/>
  <c r="F22" i="46"/>
  <c r="G101" i="46"/>
  <c r="G22" i="46"/>
  <c r="AG11" i="46"/>
  <c r="AG13" i="46"/>
  <c r="D101" i="46"/>
  <c r="AB11" i="46"/>
  <c r="AB13" i="46"/>
  <c r="AH11" i="46"/>
  <c r="AH13" i="46"/>
  <c r="I101" i="46"/>
  <c r="Y11" i="46"/>
  <c r="Y13" i="46"/>
  <c r="AA11" i="46"/>
  <c r="AA13" i="46"/>
  <c r="Z11" i="46"/>
  <c r="Z13" i="46"/>
  <c r="N104" i="45"/>
  <c r="C101" i="46"/>
  <c r="E101" i="46"/>
  <c r="AC11" i="46"/>
  <c r="AC13" i="46"/>
  <c r="N101" i="46"/>
  <c r="E22" i="46"/>
  <c r="Z7" i="46"/>
  <c r="AC11" i="71"/>
  <c r="AC13" i="71"/>
  <c r="D101" i="71"/>
  <c r="H101" i="71"/>
  <c r="K101" i="71"/>
  <c r="H22" i="71"/>
  <c r="AG11" i="71"/>
  <c r="AG13" i="71"/>
  <c r="F22" i="71"/>
  <c r="F101" i="71"/>
  <c r="J101" i="71"/>
  <c r="N101" i="71"/>
  <c r="B113" i="71"/>
  <c r="Z7" i="71"/>
  <c r="Z11" i="71"/>
  <c r="Z13" i="71"/>
  <c r="AB11" i="71"/>
  <c r="AB13" i="71"/>
  <c r="AF11" i="71"/>
  <c r="AF13" i="71"/>
  <c r="AD11" i="71"/>
  <c r="AD13" i="71"/>
  <c r="AJ11" i="71"/>
  <c r="AJ13" i="71"/>
  <c r="C101" i="71"/>
  <c r="AA11" i="71"/>
  <c r="AA13" i="71"/>
  <c r="AH11" i="71"/>
  <c r="AH13" i="71"/>
  <c r="E22" i="71"/>
  <c r="I101" i="71"/>
  <c r="AE11" i="71"/>
  <c r="AE13" i="71"/>
  <c r="Y11" i="71"/>
  <c r="Y13" i="71"/>
  <c r="AI11" i="71"/>
  <c r="AI13" i="71"/>
  <c r="G101" i="71"/>
  <c r="M101" i="71"/>
  <c r="G22" i="71"/>
  <c r="E101" i="71"/>
  <c r="L101" i="71"/>
  <c r="S2" i="46"/>
  <c r="S5" i="46"/>
  <c r="C23" i="46"/>
  <c r="S7" i="46"/>
  <c r="S3" i="46"/>
  <c r="S6" i="46"/>
  <c r="S4" i="46"/>
  <c r="S7" i="72"/>
  <c r="S4" i="72"/>
  <c r="S3" i="72"/>
  <c r="S5" i="72"/>
  <c r="S6" i="72"/>
  <c r="C23" i="72"/>
  <c r="S2" i="72"/>
  <c r="S7" i="71"/>
  <c r="S3" i="71"/>
  <c r="C23" i="71"/>
  <c r="S6" i="71"/>
  <c r="S2" i="71"/>
  <c r="S4" i="71"/>
  <c r="S5" i="71"/>
  <c r="C50" i="34"/>
  <c r="B3" i="34"/>
  <c r="B2" i="34"/>
  <c r="R19" i="6"/>
  <c r="H27" i="6"/>
  <c r="T16" i="1"/>
  <c r="K70" i="39"/>
  <c r="J72" i="39"/>
  <c r="K65" i="40"/>
  <c r="J67" i="40"/>
  <c r="D8" i="59"/>
  <c r="C7" i="59"/>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c r="D117" i="46"/>
  <c r="E117" i="46"/>
  <c r="F117" i="46"/>
  <c r="G117" i="46"/>
  <c r="H117"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I118" i="46"/>
  <c r="J118" i="46"/>
  <c r="K118" i="46"/>
  <c r="L118" i="46"/>
  <c r="M118" i="46"/>
  <c r="B117" i="46"/>
  <c r="C117" i="46"/>
  <c r="G118" i="46"/>
  <c r="H118" i="46"/>
  <c r="B115" i="46"/>
  <c r="E102" i="72"/>
  <c r="E103" i="72"/>
  <c r="E109" i="72"/>
  <c r="E107" i="72"/>
  <c r="E105" i="72"/>
  <c r="E106" i="72"/>
  <c r="E104" i="72"/>
  <c r="I115" i="71"/>
  <c r="J115" i="71"/>
  <c r="K115" i="71"/>
  <c r="L115" i="71"/>
  <c r="M115" i="71"/>
  <c r="I117" i="71"/>
  <c r="J117" i="71"/>
  <c r="K117" i="71"/>
  <c r="L117" i="71"/>
  <c r="M117" i="71"/>
  <c r="B117" i="71"/>
  <c r="C117" i="71"/>
  <c r="B115" i="71"/>
  <c r="C115" i="71"/>
  <c r="I118" i="71"/>
  <c r="J118" i="71"/>
  <c r="K118" i="71"/>
  <c r="L118" i="71"/>
  <c r="M118" i="71"/>
  <c r="B118" i="71"/>
  <c r="C118" i="71"/>
  <c r="D116" i="71"/>
  <c r="E116" i="71"/>
  <c r="F116" i="71"/>
  <c r="G116" i="71"/>
  <c r="H116" i="71"/>
  <c r="G118" i="71"/>
  <c r="H118" i="71"/>
  <c r="B116" i="71"/>
  <c r="C116" i="71"/>
  <c r="D118" i="71"/>
  <c r="E118" i="71"/>
  <c r="F118" i="71"/>
  <c r="D117" i="71"/>
  <c r="E117" i="71"/>
  <c r="F117" i="71"/>
  <c r="G117" i="71"/>
  <c r="H117" i="71"/>
  <c r="D115" i="71"/>
  <c r="E115" i="71"/>
  <c r="F115" i="71"/>
  <c r="G115" i="71"/>
  <c r="H115" i="71"/>
  <c r="I116" i="71"/>
  <c r="J116" i="71"/>
  <c r="K116" i="71"/>
  <c r="L116" i="71"/>
  <c r="M116" i="7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c r="K117" i="72"/>
  <c r="L117" i="72"/>
  <c r="M117" i="72"/>
  <c r="B118" i="72"/>
  <c r="C118" i="72"/>
  <c r="B117" i="72"/>
  <c r="C117" i="72"/>
  <c r="B116" i="72"/>
  <c r="C116" i="72"/>
  <c r="I116" i="72"/>
  <c r="J116" i="72"/>
  <c r="K116" i="72"/>
  <c r="L116" i="72"/>
  <c r="M116" i="72"/>
  <c r="B115" i="72"/>
  <c r="C115" i="72"/>
  <c r="I115" i="72"/>
  <c r="J115" i="72"/>
  <c r="K115" i="72"/>
  <c r="L115" i="72"/>
  <c r="M115" i="72"/>
  <c r="G118" i="72"/>
  <c r="H118" i="72"/>
  <c r="D118" i="72"/>
  <c r="E118" i="72"/>
  <c r="F118" i="72"/>
  <c r="D116" i="72"/>
  <c r="E116" i="72"/>
  <c r="F116" i="72"/>
  <c r="G116" i="72"/>
  <c r="H116" i="72"/>
  <c r="D117" i="72"/>
  <c r="E117" i="72"/>
  <c r="F117" i="72"/>
  <c r="G117" i="72"/>
  <c r="H117" i="72"/>
  <c r="I118" i="72"/>
  <c r="J118" i="72"/>
  <c r="K118" i="72"/>
  <c r="L118" i="72"/>
  <c r="M118" i="72"/>
  <c r="D115" i="72"/>
  <c r="E115" i="72"/>
  <c r="F115" i="72"/>
  <c r="G115" i="72"/>
  <c r="H115" i="72"/>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R27" i="6"/>
  <c r="R6" i="1"/>
  <c r="K67" i="40"/>
  <c r="L65" i="40"/>
  <c r="L70" i="39"/>
  <c r="K72" i="39"/>
  <c r="D7" i="59"/>
  <c r="C6" i="59"/>
  <c r="D113" i="71"/>
  <c r="J22" i="71"/>
  <c r="C21" i="71"/>
  <c r="H3" i="68"/>
  <c r="D113" i="72"/>
  <c r="J22" i="72"/>
  <c r="C21" i="72"/>
  <c r="C115" i="46"/>
  <c r="D113" i="46"/>
  <c r="J22" i="46"/>
  <c r="C21" i="46"/>
  <c r="R16" i="1"/>
  <c r="M65" i="40"/>
  <c r="L67" i="40"/>
  <c r="L72" i="39"/>
  <c r="M70" i="39"/>
  <c r="T6" i="59"/>
  <c r="C5" i="59"/>
  <c r="D6" i="59"/>
  <c r="H4" i="68"/>
  <c r="M67" i="40"/>
  <c r="H9" i="40"/>
  <c r="N65" i="40"/>
  <c r="N67" i="40"/>
  <c r="F9" i="40"/>
  <c r="M72" i="39"/>
  <c r="N70" i="39"/>
  <c r="N72" i="39"/>
  <c r="J9" i="39"/>
  <c r="D5" i="59"/>
  <c r="M20" i="72"/>
  <c r="M20" i="46"/>
  <c r="M20" i="71"/>
  <c r="W9" i="39"/>
  <c r="AC9" i="39"/>
  <c r="V49" i="39"/>
  <c r="I49" i="39"/>
  <c r="AA9" i="40"/>
  <c r="R44" i="40"/>
  <c r="S9" i="40"/>
  <c r="F9" i="39"/>
  <c r="H9" i="39"/>
  <c r="U9" i="40"/>
  <c r="AB9" i="40"/>
  <c r="T44" i="40"/>
  <c r="G44" i="40"/>
  <c r="G48" i="40"/>
  <c r="H48" i="40"/>
  <c r="J9" i="40"/>
  <c r="W9" i="40"/>
  <c r="AC9" i="40"/>
  <c r="V44" i="40"/>
  <c r="I44" i="40"/>
  <c r="AB9" i="39"/>
  <c r="T49" i="39"/>
  <c r="G49" i="39"/>
  <c r="U9" i="39"/>
  <c r="I53" i="39"/>
  <c r="J53" i="39"/>
  <c r="AA9" i="39"/>
  <c r="R49" i="39"/>
  <c r="S9" i="39"/>
  <c r="E44" i="40"/>
  <c r="R45" i="40"/>
  <c r="E49" i="40"/>
  <c r="F49" i="40"/>
  <c r="E48" i="40"/>
  <c r="F48" i="40"/>
  <c r="C45" i="40"/>
  <c r="C44" i="40"/>
  <c r="G49" i="40"/>
  <c r="H49" i="40"/>
  <c r="I48" i="40"/>
  <c r="J48" i="40"/>
  <c r="I49" i="40"/>
  <c r="J49" i="40"/>
  <c r="E49" i="39"/>
  <c r="R50" i="39"/>
  <c r="G53" i="39"/>
  <c r="H53" i="39"/>
  <c r="G54" i="39"/>
  <c r="H54" i="39"/>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B4" i="40"/>
  <c r="B3" i="40"/>
  <c r="B5" i="40"/>
  <c r="B67" i="39"/>
  <c r="F67" i="39"/>
  <c r="B59" i="39"/>
  <c r="F59" i="39"/>
  <c r="B66" i="39"/>
  <c r="F66" i="39"/>
  <c r="B62" i="39"/>
  <c r="F62" i="39"/>
  <c r="B64" i="39"/>
  <c r="F64" i="39"/>
  <c r="B60" i="39"/>
  <c r="F60" i="39"/>
  <c r="F68" i="39"/>
  <c r="B2" i="39"/>
  <c r="B63" i="39"/>
  <c r="F63" i="39"/>
  <c r="B65" i="39"/>
  <c r="F65" i="39"/>
  <c r="B61" i="39"/>
  <c r="F61" i="39"/>
  <c r="B58" i="39"/>
  <c r="F58" i="39"/>
  <c r="B5" i="39"/>
  <c r="B4" i="39"/>
  <c r="B3" i="39"/>
  <c r="D66" i="9"/>
  <c r="N72" i="9"/>
  <c r="E5" i="52"/>
  <c r="E8" i="52"/>
  <c r="B11" i="52"/>
  <c r="B6" i="52"/>
  <c r="E10" i="52"/>
  <c r="E13" i="52"/>
  <c r="B9" i="52"/>
  <c r="E9" i="52"/>
  <c r="E6" i="52"/>
  <c r="B7" i="52"/>
  <c r="C18" i="43"/>
  <c r="C19" i="43"/>
  <c r="C25" i="43"/>
  <c r="C24" i="43"/>
  <c r="C13" i="12"/>
  <c r="F18" i="44"/>
  <c r="F10" i="44"/>
  <c r="E14" i="67"/>
  <c r="M6" i="15"/>
  <c r="F45" i="44"/>
  <c r="F40" i="15"/>
  <c r="M22" i="77"/>
  <c r="F43" i="77"/>
  <c r="C14" i="15"/>
  <c r="N6" i="65"/>
  <c r="F9" i="44"/>
  <c r="F13" i="67"/>
  <c r="F15" i="44"/>
  <c r="F40" i="44"/>
  <c r="F26" i="15"/>
  <c r="J3" i="65"/>
  <c r="N3" i="65"/>
  <c r="B13" i="67"/>
  <c r="M11" i="44"/>
  <c r="F9" i="15"/>
  <c r="M24" i="44"/>
  <c r="F26" i="77"/>
  <c r="M23" i="77"/>
  <c r="M27" i="77"/>
  <c r="M6" i="77"/>
  <c r="C19" i="44"/>
  <c r="D16" i="70"/>
  <c r="C13" i="69"/>
  <c r="D21" i="70"/>
  <c r="L48" i="44"/>
  <c r="F8" i="15"/>
  <c r="I3" i="65"/>
  <c r="F9" i="77"/>
  <c r="C15" i="70"/>
  <c r="D16" i="12"/>
  <c r="F6" i="15"/>
  <c r="B10" i="67"/>
  <c r="B8" i="67"/>
  <c r="M28" i="44"/>
  <c r="M26" i="15"/>
  <c r="B9" i="67"/>
  <c r="M31" i="44"/>
  <c r="F46" i="44"/>
  <c r="M28" i="77"/>
  <c r="F37" i="44"/>
  <c r="C13" i="70"/>
  <c r="F12" i="67"/>
  <c r="J6" i="65"/>
  <c r="E9" i="67"/>
  <c r="I7" i="65"/>
  <c r="J36" i="15"/>
  <c r="B11" i="67"/>
  <c r="M30" i="44"/>
  <c r="M29" i="44"/>
  <c r="M8" i="15"/>
  <c r="F8" i="44"/>
  <c r="M26" i="77"/>
  <c r="F37" i="77"/>
  <c r="F16" i="77"/>
  <c r="C15" i="12"/>
  <c r="M24" i="77"/>
  <c r="F6" i="77"/>
  <c r="M21" i="77"/>
  <c r="F42" i="15"/>
  <c r="I4" i="65"/>
  <c r="F42" i="77"/>
  <c r="D22" i="12"/>
  <c r="M28" i="15"/>
  <c r="F28" i="44"/>
  <c r="F36" i="77"/>
  <c r="F40" i="77"/>
  <c r="F8" i="67"/>
  <c r="F14" i="67"/>
  <c r="F11" i="67"/>
  <c r="B12" i="67"/>
  <c r="M22" i="15"/>
  <c r="N7" i="65"/>
  <c r="N4" i="65"/>
  <c r="J15" i="15"/>
  <c r="F33" i="70"/>
  <c r="C15" i="69"/>
  <c r="M21" i="15"/>
  <c r="J5" i="65"/>
  <c r="J17" i="44"/>
  <c r="E13" i="67"/>
  <c r="E11" i="67"/>
  <c r="F37" i="15"/>
  <c r="D21" i="12"/>
  <c r="F38" i="44"/>
  <c r="F10" i="67"/>
  <c r="I6" i="65"/>
  <c r="F38" i="15"/>
  <c r="F33" i="12"/>
  <c r="F8" i="77"/>
  <c r="F43" i="15"/>
  <c r="J15" i="77"/>
  <c r="M29" i="15"/>
  <c r="F7" i="67"/>
  <c r="C16" i="44"/>
  <c r="M23" i="44"/>
  <c r="M24" i="15"/>
  <c r="E10" i="67"/>
  <c r="M10" i="44"/>
  <c r="L48" i="15"/>
  <c r="F38" i="77"/>
  <c r="F13" i="77"/>
  <c r="L48" i="77"/>
  <c r="D22" i="70"/>
  <c r="L49" i="44"/>
  <c r="B14" i="67"/>
  <c r="F13" i="15"/>
  <c r="F36" i="15"/>
  <c r="J4" i="65"/>
  <c r="N5" i="65"/>
  <c r="M27" i="15"/>
  <c r="L47" i="77"/>
  <c r="M29" i="77"/>
  <c r="D22" i="69"/>
  <c r="M25" i="44"/>
  <c r="F11" i="44"/>
  <c r="E12" i="67"/>
  <c r="F16" i="15"/>
  <c r="M9" i="15"/>
  <c r="M8" i="44"/>
  <c r="F39" i="44"/>
  <c r="F43" i="44"/>
  <c r="F9" i="67"/>
  <c r="D21" i="69"/>
  <c r="J7" i="65"/>
  <c r="M8" i="77"/>
  <c r="F7" i="15"/>
  <c r="F33" i="69"/>
  <c r="F7" i="77"/>
  <c r="B7" i="67"/>
  <c r="E7" i="67"/>
  <c r="I5" i="65"/>
  <c r="E8" i="67"/>
  <c r="M23" i="15"/>
  <c r="J36" i="77"/>
  <c r="D16" i="69"/>
  <c r="M26" i="44"/>
  <c r="L47" i="15"/>
  <c r="M9" i="77"/>
  <c r="C14" i="77"/>
  <c r="C15" i="77"/>
  <c r="C18" i="77"/>
  <c r="F67" i="77"/>
  <c r="F63" i="77"/>
  <c r="L58" i="15"/>
  <c r="L59" i="15"/>
  <c r="Q62" i="15"/>
  <c r="C29" i="44"/>
  <c r="C16" i="69"/>
  <c r="D19" i="69"/>
  <c r="C19" i="69"/>
  <c r="C22" i="12"/>
  <c r="Q72" i="77"/>
  <c r="E20" i="46"/>
  <c r="P28" i="46"/>
  <c r="E20" i="71"/>
  <c r="E20" i="72"/>
  <c r="P28" i="72"/>
  <c r="J20" i="77"/>
  <c r="E3" i="67"/>
  <c r="F31" i="77"/>
  <c r="C6" i="77"/>
  <c r="B2" i="67"/>
  <c r="F49" i="77"/>
  <c r="M7" i="77"/>
  <c r="M17" i="77"/>
  <c r="C34" i="69"/>
  <c r="D33" i="69"/>
  <c r="M7" i="15"/>
  <c r="J6" i="15"/>
  <c r="F49" i="15"/>
  <c r="F64" i="77"/>
  <c r="F33" i="44"/>
  <c r="C8" i="44"/>
  <c r="C34" i="44"/>
  <c r="C21" i="69"/>
  <c r="Q73" i="44"/>
  <c r="Q72" i="15"/>
  <c r="C14" i="70"/>
  <c r="C17" i="70"/>
  <c r="C22" i="69"/>
  <c r="C36" i="44"/>
  <c r="L58" i="77"/>
  <c r="Q61" i="77"/>
  <c r="L59" i="77"/>
  <c r="F63" i="15"/>
  <c r="J54" i="44"/>
  <c r="I55" i="44"/>
  <c r="J61" i="44"/>
  <c r="Q50" i="44"/>
  <c r="J58" i="44"/>
  <c r="J56" i="44"/>
  <c r="J59" i="44"/>
  <c r="Q52" i="44"/>
  <c r="L47" i="44"/>
  <c r="L57" i="44"/>
  <c r="J60" i="44"/>
  <c r="F31" i="15"/>
  <c r="C6" i="15"/>
  <c r="C22" i="70"/>
  <c r="D19" i="12"/>
  <c r="C19" i="12"/>
  <c r="C16" i="12"/>
  <c r="J53" i="77"/>
  <c r="I54" i="77"/>
  <c r="L60" i="77"/>
  <c r="J59" i="77"/>
  <c r="L56" i="77"/>
  <c r="J57" i="77"/>
  <c r="J55" i="77"/>
  <c r="J58" i="77"/>
  <c r="Q51" i="77"/>
  <c r="L57" i="77"/>
  <c r="J60" i="77"/>
  <c r="Q49" i="77"/>
  <c r="F65" i="77"/>
  <c r="L56" i="15"/>
  <c r="J53" i="15"/>
  <c r="J60" i="15"/>
  <c r="Q49" i="15"/>
  <c r="J59" i="15"/>
  <c r="L46" i="15"/>
  <c r="J57" i="15"/>
  <c r="J55" i="15"/>
  <c r="J58" i="15"/>
  <c r="Q51" i="15"/>
  <c r="I54" i="15"/>
  <c r="L57" i="15"/>
  <c r="L60" i="15"/>
  <c r="Q58" i="15"/>
  <c r="F50" i="15"/>
  <c r="C48" i="15"/>
  <c r="L59" i="44"/>
  <c r="Q62" i="44"/>
  <c r="L60" i="44"/>
  <c r="Q76" i="44"/>
  <c r="C21" i="70"/>
  <c r="C20" i="70"/>
  <c r="C14" i="69"/>
  <c r="C17" i="69"/>
  <c r="J22" i="44"/>
  <c r="D19" i="70"/>
  <c r="C19" i="70"/>
  <c r="C16" i="70"/>
  <c r="C17" i="44"/>
  <c r="C20" i="44"/>
  <c r="E4" i="67"/>
  <c r="F70" i="15"/>
  <c r="C27" i="77"/>
  <c r="F50" i="77"/>
  <c r="C48" i="77"/>
  <c r="C34" i="12"/>
  <c r="D33" i="12"/>
  <c r="F65" i="15"/>
  <c r="J1" i="65"/>
  <c r="C21" i="12"/>
  <c r="C27" i="15"/>
  <c r="F64" i="15"/>
  <c r="M9" i="44"/>
  <c r="M19" i="44"/>
  <c r="J20" i="15"/>
  <c r="C15" i="15"/>
  <c r="C18" i="15"/>
  <c r="F70" i="77"/>
  <c r="C34" i="70"/>
  <c r="D33" i="70"/>
  <c r="F67" i="15"/>
  <c r="C4" i="65"/>
  <c r="B39" i="1"/>
  <c r="M11" i="77"/>
  <c r="J10" i="77"/>
  <c r="M17" i="15"/>
  <c r="C17" i="12"/>
  <c r="C14" i="12"/>
  <c r="C18" i="12"/>
  <c r="Q63" i="44"/>
  <c r="F11" i="77"/>
  <c r="C52" i="77"/>
  <c r="C47" i="77"/>
  <c r="F13" i="44"/>
  <c r="C12" i="44"/>
  <c r="M11" i="15"/>
  <c r="J10" i="15"/>
  <c r="J5" i="15"/>
  <c r="M28" i="72"/>
  <c r="O28" i="72"/>
  <c r="M28" i="71"/>
  <c r="G20" i="71"/>
  <c r="P28" i="71"/>
  <c r="O28" i="71"/>
  <c r="N28" i="71"/>
  <c r="Q75" i="15"/>
  <c r="Q75" i="77"/>
  <c r="Q62" i="77"/>
  <c r="F58" i="77"/>
  <c r="Q58" i="77"/>
  <c r="Q67" i="77"/>
  <c r="F1" i="77"/>
  <c r="Q53" i="77"/>
  <c r="B3" i="67"/>
  <c r="F1" i="44"/>
  <c r="Q54" i="44"/>
  <c r="J18" i="15"/>
  <c r="M28" i="46"/>
  <c r="O28" i="46"/>
  <c r="G20" i="46"/>
  <c r="Q74" i="15"/>
  <c r="Q61" i="15"/>
  <c r="F1" i="15"/>
  <c r="Q53" i="15"/>
  <c r="Q74" i="77"/>
  <c r="F58" i="15"/>
  <c r="C32" i="77"/>
  <c r="C32" i="15"/>
  <c r="E2" i="65"/>
  <c r="C16" i="15"/>
  <c r="C17" i="77"/>
  <c r="C16" i="77"/>
  <c r="C18" i="44"/>
  <c r="C17" i="15"/>
  <c r="AE7" i="1"/>
  <c r="E3" i="65"/>
  <c r="AE8" i="1"/>
  <c r="B40" i="1"/>
  <c r="Q75" i="44"/>
  <c r="Q67" i="15"/>
  <c r="B4" i="67"/>
  <c r="C10" i="77"/>
  <c r="C5" i="77"/>
  <c r="C38" i="77"/>
  <c r="N28" i="46"/>
  <c r="J6" i="77"/>
  <c r="N28" i="72"/>
  <c r="G20" i="72"/>
  <c r="E41" i="72"/>
  <c r="C41" i="72"/>
  <c r="C7" i="44"/>
  <c r="C20" i="12"/>
  <c r="C23" i="12"/>
  <c r="C18" i="70"/>
  <c r="J8" i="44"/>
  <c r="J20" i="44"/>
  <c r="C23" i="70"/>
  <c r="C18" i="69"/>
  <c r="C21" i="44"/>
  <c r="F17" i="11"/>
  <c r="C17" i="11"/>
  <c r="C19" i="11"/>
  <c r="C19" i="77"/>
  <c r="C19" i="15"/>
  <c r="C20" i="15"/>
  <c r="C20" i="69"/>
  <c r="M13" i="44"/>
  <c r="J12" i="44"/>
  <c r="F11" i="15"/>
  <c r="C52" i="15"/>
  <c r="C47" i="15"/>
  <c r="C59" i="15"/>
  <c r="L46" i="77"/>
  <c r="C10" i="15"/>
  <c r="C5" i="15"/>
  <c r="C38" i="15"/>
  <c r="E41" i="46"/>
  <c r="C41" i="46"/>
  <c r="C20" i="46"/>
  <c r="J24" i="15"/>
  <c r="J26" i="15"/>
  <c r="J5" i="77"/>
  <c r="J18" i="77"/>
  <c r="C40" i="44"/>
  <c r="C65" i="15"/>
  <c r="E41" i="71"/>
  <c r="C41" i="71"/>
  <c r="C20" i="71"/>
  <c r="C20" i="72"/>
  <c r="C20" i="11"/>
  <c r="C21" i="11"/>
  <c r="C22" i="11"/>
  <c r="C23" i="11"/>
  <c r="B2" i="11"/>
  <c r="C65" i="77"/>
  <c r="C59" i="77"/>
  <c r="C20" i="77"/>
  <c r="C26" i="77"/>
  <c r="C22" i="44"/>
  <c r="C28" i="44"/>
  <c r="F41" i="15"/>
  <c r="F41" i="77"/>
  <c r="F24" i="77"/>
  <c r="C24" i="77"/>
  <c r="F21" i="43"/>
  <c r="F26" i="69"/>
  <c r="C27" i="69"/>
  <c r="D26" i="69"/>
  <c r="C32" i="69"/>
  <c r="D30" i="69"/>
  <c r="F26" i="12"/>
  <c r="C27" i="12"/>
  <c r="D26" i="12"/>
  <c r="C32" i="12"/>
  <c r="D30" i="12"/>
  <c r="F26" i="70"/>
  <c r="C27" i="70"/>
  <c r="D26" i="70"/>
  <c r="C32" i="70"/>
  <c r="D30" i="70"/>
  <c r="F26" i="44"/>
  <c r="C26" i="44"/>
  <c r="F24" i="15"/>
  <c r="C24" i="15"/>
  <c r="C35" i="12"/>
  <c r="C33" i="12"/>
  <c r="J7" i="44"/>
  <c r="C23" i="69"/>
  <c r="F68" i="77"/>
  <c r="F68" i="15"/>
  <c r="J29" i="15"/>
  <c r="C26" i="15"/>
  <c r="B5" i="11"/>
  <c r="B3" i="11"/>
  <c r="B4" i="11"/>
  <c r="C25" i="44"/>
  <c r="C31" i="44"/>
  <c r="C23" i="77"/>
  <c r="C29" i="77"/>
  <c r="C38" i="72"/>
  <c r="C39" i="72"/>
  <c r="T16" i="71"/>
  <c r="V16" i="71"/>
  <c r="T13" i="71"/>
  <c r="V13" i="71"/>
  <c r="G3" i="68"/>
  <c r="J3" i="68"/>
  <c r="T12" i="71"/>
  <c r="V12" i="71"/>
  <c r="T9" i="71"/>
  <c r="V9" i="71"/>
  <c r="C37" i="71"/>
  <c r="T15" i="71"/>
  <c r="V15" i="71"/>
  <c r="C33" i="71"/>
  <c r="C34" i="71"/>
  <c r="C36" i="71"/>
  <c r="T11" i="71"/>
  <c r="V11" i="71"/>
  <c r="T14" i="71"/>
  <c r="V14" i="71"/>
  <c r="T3" i="71"/>
  <c r="V3" i="71"/>
  <c r="T6" i="71"/>
  <c r="V6" i="71"/>
  <c r="T4" i="71"/>
  <c r="V4" i="71"/>
  <c r="C35" i="71"/>
  <c r="T8" i="71"/>
  <c r="V8" i="71"/>
  <c r="T10" i="71"/>
  <c r="V10" i="71"/>
  <c r="T7" i="71"/>
  <c r="V7" i="71"/>
  <c r="T2" i="71"/>
  <c r="V2" i="71"/>
  <c r="T5" i="71"/>
  <c r="V5" i="71"/>
  <c r="C29" i="71"/>
  <c r="J26" i="77"/>
  <c r="J29" i="77"/>
  <c r="J24" i="77"/>
  <c r="C38" i="46"/>
  <c r="C39" i="46"/>
  <c r="T13" i="72"/>
  <c r="V13" i="72"/>
  <c r="T12" i="72"/>
  <c r="V12" i="72"/>
  <c r="C33" i="72"/>
  <c r="T10" i="72"/>
  <c r="V10" i="72"/>
  <c r="T8" i="72"/>
  <c r="V8" i="72"/>
  <c r="C37" i="72"/>
  <c r="T14" i="72"/>
  <c r="V14" i="72"/>
  <c r="T11" i="72"/>
  <c r="V11" i="72"/>
  <c r="T15" i="72"/>
  <c r="V15" i="72"/>
  <c r="C35" i="72"/>
  <c r="T9" i="72"/>
  <c r="V9" i="72"/>
  <c r="C36" i="72"/>
  <c r="C34" i="72"/>
  <c r="G4" i="68"/>
  <c r="J4" i="68"/>
  <c r="T16" i="72"/>
  <c r="V16" i="72"/>
  <c r="T7" i="72"/>
  <c r="V7" i="72"/>
  <c r="T3" i="72"/>
  <c r="V3" i="72"/>
  <c r="T6" i="72"/>
  <c r="V6" i="72"/>
  <c r="T2" i="72"/>
  <c r="V2" i="72"/>
  <c r="T4" i="72"/>
  <c r="V4" i="72"/>
  <c r="T5" i="72"/>
  <c r="V5" i="72"/>
  <c r="C29" i="72"/>
  <c r="C38" i="71"/>
  <c r="C39" i="71"/>
  <c r="C35" i="46"/>
  <c r="C37" i="46"/>
  <c r="T16" i="46"/>
  <c r="V16" i="46"/>
  <c r="T12" i="46"/>
  <c r="V12" i="46"/>
  <c r="T15" i="46"/>
  <c r="V15" i="46"/>
  <c r="T11" i="46"/>
  <c r="V11" i="46"/>
  <c r="T13" i="46"/>
  <c r="V13" i="46"/>
  <c r="T9" i="46"/>
  <c r="V9" i="46"/>
  <c r="C36" i="46"/>
  <c r="C34" i="46"/>
  <c r="T10" i="46"/>
  <c r="V10" i="46"/>
  <c r="C33" i="46"/>
  <c r="T14" i="46"/>
  <c r="V14" i="46"/>
  <c r="T5" i="46"/>
  <c r="V5" i="46"/>
  <c r="T7" i="46"/>
  <c r="V7" i="46"/>
  <c r="T6" i="46"/>
  <c r="V6" i="46"/>
  <c r="T8" i="46"/>
  <c r="V8" i="46"/>
  <c r="T2" i="46"/>
  <c r="V2" i="46"/>
  <c r="T3" i="46"/>
  <c r="V3" i="46"/>
  <c r="T4" i="46"/>
  <c r="V4" i="46"/>
  <c r="C29" i="46"/>
  <c r="C23" i="15"/>
  <c r="C29" i="15"/>
  <c r="C28" i="12"/>
  <c r="C26" i="12"/>
  <c r="C31" i="12"/>
  <c r="C30" i="12"/>
  <c r="C36" i="12"/>
  <c r="C37" i="12"/>
  <c r="C22" i="43"/>
  <c r="C21" i="43"/>
  <c r="C23" i="43"/>
  <c r="D21" i="43"/>
  <c r="J26" i="44"/>
  <c r="J28" i="44"/>
  <c r="J31" i="44"/>
  <c r="C33" i="77"/>
  <c r="C31" i="77"/>
  <c r="C56" i="77"/>
  <c r="J14" i="77"/>
  <c r="C36" i="77"/>
  <c r="C13" i="77"/>
  <c r="J19" i="77"/>
  <c r="J17" i="77"/>
  <c r="Q50" i="77"/>
  <c r="Q51" i="44"/>
  <c r="J16" i="44"/>
  <c r="C15" i="44"/>
  <c r="C38" i="44"/>
  <c r="J21" i="44"/>
  <c r="J19" i="44"/>
  <c r="C35" i="44"/>
  <c r="C33" i="44"/>
  <c r="E33" i="46"/>
  <c r="G33" i="46"/>
  <c r="I33" i="46"/>
  <c r="G37" i="46"/>
  <c r="I37" i="46"/>
  <c r="E37" i="46"/>
  <c r="E38" i="71"/>
  <c r="G38" i="71"/>
  <c r="I38" i="71"/>
  <c r="E34" i="72"/>
  <c r="G34" i="72"/>
  <c r="I34" i="72"/>
  <c r="E33" i="72"/>
  <c r="G33" i="72"/>
  <c r="I33" i="72"/>
  <c r="G38" i="46"/>
  <c r="I38" i="46"/>
  <c r="E38" i="46"/>
  <c r="E29" i="71"/>
  <c r="C30" i="71"/>
  <c r="E30" i="71"/>
  <c r="E35" i="71"/>
  <c r="G35" i="71"/>
  <c r="I35" i="71"/>
  <c r="E36" i="71"/>
  <c r="G36" i="71"/>
  <c r="I36" i="71"/>
  <c r="G33" i="71"/>
  <c r="I33" i="71"/>
  <c r="E33" i="71"/>
  <c r="E37" i="71"/>
  <c r="G37" i="71"/>
  <c r="I37" i="71"/>
  <c r="E39" i="72"/>
  <c r="G39" i="72"/>
  <c r="I39" i="72"/>
  <c r="E34" i="46"/>
  <c r="G34" i="46"/>
  <c r="I34" i="46"/>
  <c r="E29" i="46"/>
  <c r="C30" i="46"/>
  <c r="E30" i="46"/>
  <c r="G36" i="46"/>
  <c r="I36" i="46"/>
  <c r="E36" i="46"/>
  <c r="G35" i="46"/>
  <c r="I35" i="46"/>
  <c r="E35" i="46"/>
  <c r="G39" i="71"/>
  <c r="I39" i="71"/>
  <c r="E39" i="71"/>
  <c r="C30" i="72"/>
  <c r="E30" i="72"/>
  <c r="E29" i="72"/>
  <c r="K4" i="68"/>
  <c r="B12" i="68"/>
  <c r="G36" i="72"/>
  <c r="I36" i="72"/>
  <c r="E36" i="72"/>
  <c r="E35" i="72"/>
  <c r="G35" i="72"/>
  <c r="I35" i="72"/>
  <c r="E37" i="72"/>
  <c r="G37" i="72"/>
  <c r="I37" i="72"/>
  <c r="E39" i="46"/>
  <c r="G39" i="46"/>
  <c r="I39" i="46"/>
  <c r="G34" i="71"/>
  <c r="I34" i="71"/>
  <c r="E34" i="71"/>
  <c r="K3" i="68"/>
  <c r="B11" i="68"/>
  <c r="E38" i="72"/>
  <c r="G38" i="72"/>
  <c r="I38" i="72"/>
  <c r="C13" i="15"/>
  <c r="C37" i="15"/>
  <c r="J19" i="15"/>
  <c r="J17" i="15"/>
  <c r="C36" i="15"/>
  <c r="B2" i="12"/>
  <c r="C28" i="43"/>
  <c r="C30" i="43"/>
  <c r="C32" i="43"/>
  <c r="B2" i="43"/>
  <c r="B4" i="43"/>
  <c r="C56" i="15"/>
  <c r="C60" i="15"/>
  <c r="C58" i="15"/>
  <c r="C33" i="15"/>
  <c r="C31" i="15"/>
  <c r="C30" i="15"/>
  <c r="C39" i="15"/>
  <c r="C40" i="15"/>
  <c r="Q50" i="15"/>
  <c r="J14" i="15"/>
  <c r="J13" i="15"/>
  <c r="J23" i="15"/>
  <c r="B3" i="43"/>
  <c r="Q49" i="44"/>
  <c r="Q55" i="44"/>
  <c r="Q58" i="44"/>
  <c r="Q67" i="44"/>
  <c r="Q71" i="15"/>
  <c r="J35" i="15"/>
  <c r="C63" i="15"/>
  <c r="C27" i="72"/>
  <c r="C26" i="46"/>
  <c r="B2" i="46"/>
  <c r="C26" i="71"/>
  <c r="B2" i="71"/>
  <c r="C39" i="44"/>
  <c r="C32" i="44"/>
  <c r="C42" i="44"/>
  <c r="Q72" i="44"/>
  <c r="C43" i="44"/>
  <c r="C60" i="77"/>
  <c r="C58" i="77"/>
  <c r="C63" i="77"/>
  <c r="C26" i="72"/>
  <c r="B2" i="72"/>
  <c r="C27" i="46"/>
  <c r="C27" i="71"/>
  <c r="J24" i="44"/>
  <c r="J15" i="44"/>
  <c r="J25" i="44"/>
  <c r="C55" i="77"/>
  <c r="C64" i="77"/>
  <c r="C37" i="77"/>
  <c r="C30" i="77"/>
  <c r="C39" i="77"/>
  <c r="Q71" i="77"/>
  <c r="J35" i="77"/>
  <c r="J22" i="77"/>
  <c r="J13" i="77"/>
  <c r="J23" i="77"/>
  <c r="B3" i="12"/>
  <c r="B5" i="12"/>
  <c r="C19" i="9"/>
  <c r="L51" i="15"/>
  <c r="B4" i="12"/>
  <c r="C55" i="15"/>
  <c r="C64" i="15"/>
  <c r="C57" i="15"/>
  <c r="C66" i="15"/>
  <c r="C67" i="15"/>
  <c r="C46" i="15"/>
  <c r="B5" i="43"/>
  <c r="J22" i="15"/>
  <c r="J16" i="15"/>
  <c r="J25" i="15"/>
  <c r="Q70" i="15"/>
  <c r="Q69" i="15"/>
  <c r="J39" i="15"/>
  <c r="J40" i="15"/>
  <c r="J16" i="77"/>
  <c r="J25" i="77"/>
  <c r="J18" i="44"/>
  <c r="J27" i="44"/>
  <c r="C57" i="77"/>
  <c r="C66" i="77"/>
  <c r="C67" i="77"/>
  <c r="C70" i="77"/>
  <c r="Q68" i="15"/>
  <c r="L43" i="9"/>
  <c r="Q71" i="44"/>
  <c r="Q70" i="44"/>
  <c r="C44" i="44"/>
  <c r="C45" i="44"/>
  <c r="C10" i="70"/>
  <c r="C6" i="70"/>
  <c r="Q57" i="15"/>
  <c r="Q63" i="15"/>
  <c r="C43" i="15"/>
  <c r="C8" i="70"/>
  <c r="B8" i="68"/>
  <c r="I8" i="68"/>
  <c r="Q48" i="15"/>
  <c r="Q54" i="15"/>
  <c r="B2" i="15"/>
  <c r="B3" i="15"/>
  <c r="Q66" i="15"/>
  <c r="Q76" i="15"/>
  <c r="J42" i="15"/>
  <c r="J43" i="15"/>
  <c r="B3" i="71"/>
  <c r="D4" i="71"/>
  <c r="B4" i="71"/>
  <c r="J39" i="77"/>
  <c r="J40" i="77"/>
  <c r="B3" i="72"/>
  <c r="B4" i="72"/>
  <c r="D4" i="72"/>
  <c r="B3" i="46"/>
  <c r="B4" i="46"/>
  <c r="D4" i="46"/>
  <c r="Q70" i="77"/>
  <c r="Q69" i="77"/>
  <c r="C40" i="77"/>
  <c r="L51" i="77"/>
  <c r="C21" i="9"/>
  <c r="C20" i="9"/>
  <c r="C70" i="15"/>
  <c r="C46" i="77"/>
  <c r="Q68" i="77"/>
  <c r="C29" i="70"/>
  <c r="C24" i="70"/>
  <c r="C10" i="69"/>
  <c r="C6" i="69"/>
  <c r="C43" i="77"/>
  <c r="C8" i="69"/>
  <c r="B9" i="68"/>
  <c r="I9" i="68"/>
  <c r="Q48" i="77"/>
  <c r="Q54" i="77"/>
  <c r="Q57" i="77"/>
  <c r="Q63" i="77"/>
  <c r="Q66" i="77"/>
  <c r="Q76" i="77"/>
  <c r="B2" i="77"/>
  <c r="B3" i="77"/>
  <c r="J42" i="77"/>
  <c r="J43" i="77"/>
  <c r="L52" i="44"/>
  <c r="B2" i="44"/>
  <c r="B4" i="44"/>
  <c r="B3" i="44"/>
  <c r="B5" i="44"/>
  <c r="C29" i="69"/>
  <c r="C24" i="69"/>
  <c r="C28" i="70"/>
  <c r="C26" i="70"/>
  <c r="C31" i="70"/>
  <c r="C30" i="70"/>
  <c r="C35" i="70"/>
  <c r="C33" i="70"/>
  <c r="Q69" i="44"/>
  <c r="L58" i="44"/>
  <c r="L61" i="44"/>
  <c r="C36" i="70"/>
  <c r="C37" i="70"/>
  <c r="J8" i="68"/>
  <c r="Q68" i="44"/>
  <c r="Q77" i="44"/>
  <c r="Q59" i="44"/>
  <c r="Q64" i="44"/>
  <c r="C28" i="69"/>
  <c r="C26" i="69"/>
  <c r="C31" i="69"/>
  <c r="C30" i="69"/>
  <c r="C35" i="69"/>
  <c r="C33" i="69"/>
  <c r="B2" i="70"/>
  <c r="C36" i="69"/>
  <c r="C37" i="69"/>
  <c r="J9" i="68"/>
  <c r="D11" i="68"/>
  <c r="J11" i="68"/>
  <c r="K8" i="68"/>
  <c r="B4" i="70"/>
  <c r="B5" i="70"/>
  <c r="B3" i="70"/>
  <c r="B2" i="69"/>
  <c r="K9" i="68"/>
  <c r="D12" i="68"/>
  <c r="J12" i="68"/>
  <c r="B3" i="73"/>
  <c r="B8" i="73"/>
  <c r="K11" i="68"/>
  <c r="B5" i="69"/>
  <c r="B3" i="69"/>
  <c r="B4" i="69"/>
  <c r="D19" i="9"/>
  <c r="L44" i="9"/>
  <c r="G19" i="9"/>
  <c r="N43" i="9"/>
  <c r="D22" i="9"/>
  <c r="I12" i="68"/>
  <c r="I13" i="68"/>
  <c r="B4" i="73"/>
  <c r="K12" i="68"/>
  <c r="D21" i="9"/>
  <c r="D20" i="9"/>
  <c r="G22" i="9"/>
  <c r="C32" i="9"/>
  <c r="O43" i="9"/>
  <c r="G20" i="9"/>
  <c r="G21" i="9"/>
  <c r="B9" i="73"/>
  <c r="D9" i="73"/>
  <c r="D10" i="73"/>
  <c r="D4" i="73"/>
  <c r="D5" i="73"/>
  <c r="L12" i="68"/>
  <c r="I20" i="68"/>
  <c r="I14" i="68"/>
  <c r="I16" i="68"/>
  <c r="C42" i="9"/>
  <c r="O38" i="9"/>
  <c r="K26" i="9"/>
  <c r="C33" i="9"/>
  <c r="C34" i="9"/>
  <c r="M38" i="9"/>
  <c r="K27" i="9"/>
  <c r="C35" i="9"/>
  <c r="F42" i="9"/>
  <c r="K25" i="9"/>
  <c r="D63" i="9"/>
  <c r="R5" i="54"/>
  <c r="B48" i="63"/>
  <c r="D14" i="66"/>
  <c r="N68" i="9"/>
  <c r="N38" i="9"/>
  <c r="K28" i="9"/>
  <c r="D42" i="9"/>
  <c r="Q5" i="54"/>
  <c r="B47" i="63"/>
  <c r="E42" i="9"/>
  <c r="P5" i="54"/>
  <c r="B46" i="63"/>
  <c r="F14" i="66"/>
  <c r="E14" i="66"/>
  <c r="B5" i="66"/>
  <c r="C111" i="9"/>
  <c r="C104" i="9"/>
  <c r="D70" i="9"/>
  <c r="C82" i="9"/>
  <c r="C81" i="9"/>
  <c r="C85" i="9"/>
  <c r="C86" i="9"/>
  <c r="D72" i="9"/>
  <c r="D73" i="9"/>
  <c r="N73" i="9"/>
  <c r="C103" i="9"/>
  <c r="C113" i="9"/>
  <c r="C96" i="9"/>
  <c r="C91" i="9"/>
  <c r="C90" i="9"/>
  <c r="D71" i="9"/>
  <c r="C97" i="9"/>
  <c r="C114" i="9"/>
  <c r="E114" i="9"/>
  <c r="E115" i="9"/>
  <c r="C5" i="66"/>
  <c r="D5" i="66"/>
  <c r="C98" i="9"/>
  <c r="E98" i="9"/>
  <c r="E99" i="9"/>
  <c r="C115" i="9"/>
  <c r="D76" i="9"/>
  <c r="D74" i="9"/>
  <c r="N74" i="9"/>
  <c r="O77" i="9"/>
  <c r="C99" i="9"/>
  <c r="O78" i="9"/>
  <c r="O79"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<sst xmlns="http://schemas.openxmlformats.org/spreadsheetml/2006/main" count="8359" uniqueCount="3177">
  <si>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</si>
  <si>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</si>
  <si>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</si>
  <si>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</si>
  <si>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</si>
  <si>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</si>
  <si>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</si>
  <si>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</si>
  <si>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</si>
  <si>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</si>
  <si>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</si>
  <si>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</si>
  <si>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</si>
  <si>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</si>
  <si>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</si>
  <si>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</si>
  <si>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</si>
  <si>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</si>
  <si>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</si>
  <si>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</si>
  <si>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</si>
  <si>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</si>
  <si>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</si>
  <si>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</si>
  <si>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</si>
  <si>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</si>
  <si>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</si>
  <si>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</si>
  <si>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</si>
  <si>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</si>
  <si>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</si>
  <si>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</si>
  <si>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</si>
  <si>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</si>
  <si>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</si>
  <si>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</si>
  <si>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</si>
  <si>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</si>
  <si>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</si>
  <si>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</si>
  <si>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</si>
  <si>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</si>
  <si>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</si>
  <si>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</si>
  <si>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</si>
  <si>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</si>
  <si>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</si>
  <si>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</si>
  <si>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</si>
  <si>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</si>
  <si>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</si>
  <si>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</si>
  <si>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</si>
  <si>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</si>
  <si>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</si>
  <si>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</si>
  <si>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</si>
  <si>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</si>
  <si>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</si>
  <si>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</si>
  <si>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</si>
  <si>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</si>
  <si>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</si>
  <si>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</si>
  <si>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</si>
  <si>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</si>
  <si>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</si>
  <si>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</si>
  <si>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</si>
  <si>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</si>
  <si>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</si>
  <si>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</si>
  <si>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</si>
  <si>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</si>
  <si>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</si>
  <si>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</si>
  <si>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</si>
  <si>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</si>
  <si>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</si>
  <si>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</si>
  <si>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</si>
  <si>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</si>
  <si>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</si>
  <si>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</si>
  <si>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</si>
  <si>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</si>
  <si>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</si>
  <si>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</si>
  <si>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</si>
  <si>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</si>
  <si>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</si>
  <si>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</si>
  <si>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</si>
  <si>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</si>
  <si>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</si>
  <si>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</si>
  <si>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</si>
  <si>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</si>
  <si>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</si>
  <si>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</si>
  <si>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</si>
  <si>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</si>
  <si>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</si>
  <si>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</si>
  <si>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</si>
  <si>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</si>
  <si>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</si>
  <si>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</si>
  <si>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</si>
  <si>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</si>
  <si>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</si>
  <si>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</si>
  <si>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</si>
  <si>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</si>
  <si>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</si>
  <si>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</si>
  <si>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</si>
  <si>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</si>
  <si>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</si>
  <si>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</si>
  <si>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</si>
  <si>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</si>
  <si>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</si>
  <si>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</si>
  <si>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</si>
  <si>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</si>
  <si>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</si>
  <si>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</si>
  <si>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</si>
  <si>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</si>
  <si>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</si>
  <si>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</si>
  <si>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</si>
  <si>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</si>
  <si>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</si>
  <si>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</si>
  <si>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</si>
  <si>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</si>
  <si>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</si>
  <si>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</si>
  <si>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</si>
  <si>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</si>
  <si>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</si>
  <si>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</si>
  <si>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</si>
  <si>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</si>
  <si>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</si>
  <si>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</si>
  <si>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</si>
  <si>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</si>
  <si>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</si>
  <si>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</si>
  <si>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</si>
  <si>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</si>
  <si>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</si>
  <si>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</si>
  <si>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</si>
  <si>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</si>
  <si>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</si>
  <si>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</si>
  <si>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</si>
  <si>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</si>
  <si>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</si>
  <si>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</si>
  <si>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</si>
  <si>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</si>
  <si>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</si>
  <si>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</si>
  <si>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</si>
  <si>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</si>
  <si>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</si>
  <si>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</si>
  <si>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</si>
  <si>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</si>
  <si>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</si>
  <si>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</si>
  <si>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</si>
  <si>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</si>
  <si>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</si>
  <si>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</si>
  <si>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</si>
  <si>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</si>
  <si>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</si>
  <si>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</si>
  <si>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</si>
  <si>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</si>
  <si>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</si>
  <si>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</si>
  <si>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</si>
  <si>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</si>
  <si>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</si>
  <si>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</si>
  <si>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</si>
  <si>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</si>
  <si>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</si>
  <si>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</si>
  <si>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</si>
  <si>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</si>
  <si>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</si>
  <si>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</si>
  <si>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</si>
  <si>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</si>
  <si>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</si>
  <si>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</si>
  <si>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</si>
  <si>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</si>
  <si>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</si>
  <si>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</si>
  <si>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</si>
  <si>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</si>
  <si>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</si>
  <si>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</si>
  <si>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</si>
  <si>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</si>
  <si>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</si>
  <si>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</si>
  <si>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</si>
  <si>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</si>
  <si>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</si>
  <si>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</si>
  <si>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</si>
  <si>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</si>
  <si>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</si>
  <si>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</si>
  <si>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</si>
  <si>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</si>
  <si>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</si>
  <si>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</si>
  <si>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</si>
  <si>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</si>
  <si>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</si>
  <si>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</si>
  <si>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</si>
  <si>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</si>
  <si>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</si>
  <si>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</si>
  <si>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</si>
  <si>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</si>
  <si>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</si>
  <si>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</si>
  <si>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</si>
  <si>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</si>
  <si>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</si>
  <si>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</si>
  <si>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</si>
  <si>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</si>
  <si>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</si>
  <si>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</si>
  <si>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</si>
  <si>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</si>
  <si>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</si>
  <si>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</si>
  <si>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</si>
  <si>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</si>
  <si>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</si>
  <si>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</si>
  <si>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</si>
  <si>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</si>
  <si>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</si>
  <si>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</si>
  <si>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</si>
  <si>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</si>
  <si>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</si>
  <si>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</si>
  <si>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</si>
  <si>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</si>
  <si>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</si>
  <si>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</si>
  <si>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</si>
  <si>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</si>
  <si>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</si>
  <si>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</si>
  <si>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</si>
  <si>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</si>
  <si>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</si>
  <si>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</si>
  <si>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</si>
  <si>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</si>
  <si>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</si>
  <si>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</si>
  <si>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</si>
  <si>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</si>
  <si>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</si>
  <si>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</si>
  <si>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</si>
  <si>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</si>
  <si>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</si>
  <si>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</si>
  <si>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</si>
  <si>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</si>
  <si>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</si>
  <si>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</si>
  <si>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</si>
  <si>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</si>
  <si>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</si>
  <si>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</si>
  <si>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</si>
  <si>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</si>
  <si>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</si>
  <si>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</si>
  <si>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</si>
  <si>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</si>
  <si>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</si>
  <si>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</si>
  <si>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</si>
  <si>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</si>
  <si>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</si>
  <si>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</si>
  <si>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</si>
  <si>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</si>
  <si>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</si>
  <si>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</si>
  <si>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</si>
  <si>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</si>
  <si>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</si>
  <si>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</si>
  <si>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</si>
  <si>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</si>
  <si>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</si>
  <si>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</si>
  <si>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</si>
  <si>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</si>
  <si>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</si>
  <si>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</si>
  <si>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</si>
  <si>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</si>
  <si>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</si>
  <si>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</si>
  <si>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</si>
  <si>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</si>
  <si>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</si>
  <si>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</si>
  <si>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</si>
  <si>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</si>
  <si>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</si>
  <si>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</si>
  <si>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</si>
  <si>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</si>
  <si>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</si>
  <si>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</si>
  <si>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</si>
  <si>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</si>
  <si>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</si>
  <si>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</si>
  <si>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</si>
  <si>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</si>
  <si>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</si>
  <si>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</si>
  <si>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</si>
  <si>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</si>
  <si>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</si>
  <si>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</si>
  <si>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</si>
  <si>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</si>
  <si>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</si>
  <si>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</si>
  <si>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</si>
  <si>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</si>
  <si>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</si>
  <si>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</si>
  <si>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</si>
  <si>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</si>
  <si>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</si>
  <si>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</si>
  <si>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</si>
  <si>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</si>
  <si>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</si>
  <si>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</si>
  <si>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</si>
  <si>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</si>
  <si>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</si>
  <si>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</si>
  <si>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</si>
  <si>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</si>
  <si>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</si>
  <si>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</si>
  <si>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</si>
  <si>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</si>
  <si>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</si>
  <si>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</si>
  <si>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</si>
  <si>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</si>
  <si>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</si>
  <si>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</si>
  <si>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</si>
  <si>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</si>
  <si>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</si>
  <si>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</si>
  <si>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</si>
  <si>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</si>
  <si>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</si>
  <si>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</si>
  <si>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</si>
  <si>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</si>
  <si>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</si>
  <si>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</si>
  <si>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</si>
  <si>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</si>
  <si>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</si>
  <si>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</si>
  <si>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</si>
  <si>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</si>
  <si>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</si>
  <si>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</si>
  <si>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</si>
  <si>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</si>
  <si>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</si>
  <si>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</si>
  <si>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</si>
  <si>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</si>
  <si>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</si>
  <si>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</si>
  <si>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</si>
  <si>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</si>
  <si>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</si>
  <si>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</si>
  <si>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</si>
  <si>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</si>
  <si>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</si>
  <si>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</si>
  <si>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</si>
  <si>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</si>
  <si>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</si>
  <si>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</si>
  <si>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</si>
  <si>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</si>
  <si>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</si>
  <si>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</si>
  <si>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</si>
  <si>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</si>
  <si>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</si>
  <si>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</si>
  <si>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</si>
  <si>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</si>
  <si>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</si>
  <si>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</si>
  <si>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</si>
  <si>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</si>
  <si>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</si>
  <si>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</si>
  <si>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</si>
  <si>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</si>
  <si>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</si>
  <si>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</si>
  <si>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</si>
  <si>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</si>
  <si>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</si>
  <si>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</si>
  <si>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</si>
  <si>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</si>
  <si>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</si>
  <si>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</si>
  <si>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</si>
  <si>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</si>
  <si>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</si>
  <si>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</si>
  <si>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</si>
  <si>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</si>
  <si>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</si>
  <si>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</si>
  <si>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</si>
  <si>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</si>
  <si>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</si>
  <si>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</si>
  <si>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</si>
  <si>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</si>
  <si>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</si>
  <si>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</si>
  <si>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</si>
  <si>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</si>
  <si>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</si>
  <si>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</si>
  <si>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</si>
  <si>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</si>
  <si>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</si>
  <si>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</si>
  <si>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</si>
  <si>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</si>
  <si>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</si>
  <si>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</si>
  <si>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</si>
  <si>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</si>
  <si>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</si>
  <si>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</si>
  <si>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</si>
  <si>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</si>
  <si>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</si>
  <si>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</si>
  <si>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</si>
  <si>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</si>
  <si>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</si>
  <si>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</si>
  <si>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</si>
  <si>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</si>
  <si>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</si>
  <si>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</si>
  <si>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</si>
  <si>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</si>
  <si>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</si>
  <si>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</si>
  <si>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</si>
  <si>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</si>
  <si>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</si>
  <si>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</si>
  <si>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</si>
  <si>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</si>
  <si>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</si>
  <si>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</si>
  <si>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</si>
  <si>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</si>
  <si>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</si>
  <si>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</si>
  <si>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</si>
  <si>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</si>
  <si>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</si>
  <si>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</si>
  <si>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</si>
  <si>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</si>
  <si>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</si>
  <si>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</si>
  <si>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</si>
  <si>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</si>
  <si>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</si>
  <si>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</si>
  <si>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</si>
  <si>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</si>
  <si>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</si>
  <si>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</si>
  <si>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</si>
  <si>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</si>
  <si>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</si>
  <si>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</si>
  <si>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</si>
  <si>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</si>
  <si>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</si>
  <si>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</si>
  <si>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</si>
  <si>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</si>
  <si>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</si>
  <si>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</si>
  <si>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</si>
  <si>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</si>
  <si>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</si>
  <si>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</si>
  <si>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</si>
  <si>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</si>
  <si>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</si>
  <si>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</si>
  <si>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</si>
  <si>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</si>
  <si>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</si>
  <si>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</si>
  <si>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</si>
  <si>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</si>
  <si>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</si>
  <si>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</si>
  <si>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</si>
  <si>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</si>
  <si>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</si>
  <si>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</si>
  <si>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</si>
  <si>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</si>
  <si>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</si>
  <si>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</si>
  <si>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</si>
  <si>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</si>
  <si>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</si>
  <si>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</si>
  <si>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</si>
  <si>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</si>
  <si>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</si>
  <si>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</si>
  <si>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</si>
  <si>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</si>
  <si>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</si>
  <si>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</si>
  <si>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</si>
  <si>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</si>
  <si>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</si>
  <si>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</si>
  <si>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</si>
  <si>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</si>
  <si>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</si>
  <si>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</si>
  <si>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</si>
  <si>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</si>
  <si>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</si>
  <si>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</si>
  <si>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</si>
  <si>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</si>
  <si>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</si>
  <si>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</si>
  <si>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</si>
  <si>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</si>
  <si>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</si>
  <si>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</si>
  <si>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</si>
  <si>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</si>
  <si>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</si>
  <si>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</si>
  <si>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</si>
  <si>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</si>
  <si>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</si>
  <si>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</si>
  <si>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</si>
  <si>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</si>
  <si>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</si>
  <si>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</si>
  <si>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</si>
  <si>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</si>
  <si>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</si>
  <si>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</si>
  <si>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</si>
  <si>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</si>
  <si>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</si>
  <si>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</si>
  <si>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</si>
  <si>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</si>
  <si>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</si>
  <si>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</si>
  <si>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</si>
  <si>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</si>
  <si>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</si>
  <si>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</si>
  <si>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</si>
  <si>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</si>
  <si>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</si>
  <si>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</si>
  <si>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</si>
  <si>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</si>
  <si>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</si>
  <si>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</si>
  <si>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</si>
  <si>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</si>
  <si>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</si>
  <si>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</si>
  <si>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</si>
  <si>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</si>
  <si>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</si>
  <si>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</si>
  <si>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</si>
  <si>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</si>
  <si>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</si>
  <si>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</si>
  <si>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</si>
  <si>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</si>
  <si>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</si>
  <si>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</si>
  <si>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</si>
  <si>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</si>
  <si>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</si>
  <si>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</si>
  <si>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</si>
  <si>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</si>
  <si>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</si>
  <si>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</si>
  <si>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</si>
  <si>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</si>
  <si>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</si>
  <si>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</si>
  <si>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</si>
  <si>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</si>
  <si>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</si>
  <si>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</si>
  <si>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</si>
  <si>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</si>
  <si>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</si>
  <si>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</si>
  <si>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</si>
  <si>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</si>
  <si>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</si>
  <si>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</si>
  <si>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</si>
  <si>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</si>
  <si>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</si>
  <si>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</si>
  <si>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</si>
  <si>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</si>
  <si>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</si>
  <si>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</si>
  <si>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</si>
  <si>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</si>
  <si>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</si>
  <si>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</si>
  <si>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</si>
  <si>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</si>
  <si>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</si>
  <si>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</si>
  <si>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</si>
  <si>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</si>
  <si>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</si>
  <si>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</si>
  <si>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</si>
  <si>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</si>
  <si>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</si>
  <si>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</si>
  <si>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</si>
  <si>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</si>
  <si>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</si>
  <si>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</si>
  <si>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</si>
  <si>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</si>
  <si>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</si>
  <si>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</si>
  <si>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</si>
  <si>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</si>
  <si>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</si>
  <si>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</si>
  <si>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</si>
  <si>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</si>
  <si>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</si>
  <si>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</si>
  <si>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</si>
  <si>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</si>
  <si>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</si>
  <si>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</si>
  <si>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</si>
  <si>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</si>
  <si>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</si>
  <si>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</si>
  <si>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</si>
  <si>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</si>
  <si>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</si>
  <si>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</si>
  <si>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</si>
  <si>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</si>
  <si>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</si>
  <si>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</si>
  <si>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</si>
  <si>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</si>
  <si>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</si>
  <si>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</si>
  <si>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</si>
  <si>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</si>
  <si>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</si>
  <si>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</si>
  <si>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</si>
  <si>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</si>
  <si>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</si>
  <si>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</si>
  <si>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</si>
  <si>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</si>
  <si>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</si>
  <si>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</si>
  <si>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</si>
  <si>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</si>
  <si>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</si>
  <si>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</si>
  <si>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</si>
  <si>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</si>
  <si>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</si>
  <si>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</si>
  <si>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</si>
  <si>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</si>
  <si>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</si>
  <si>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</si>
  <si>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</si>
  <si>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</si>
  <si>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</si>
  <si>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</si>
  <si>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</si>
  <si>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</si>
  <si>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</si>
  <si>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</si>
  <si>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</si>
  <si>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</si>
  <si>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</si>
  <si>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</si>
  <si>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</si>
  <si>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</si>
  <si>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</si>
  <si>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</si>
  <si>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</si>
  <si>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</si>
  <si>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</si>
  <si>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</si>
  <si>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</si>
  <si>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</si>
  <si>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</si>
  <si>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</si>
  <si>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</si>
  <si>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</si>
  <si>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</si>
  <si>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</si>
  <si>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</si>
  <si>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</si>
  <si>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</si>
  <si>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</si>
  <si>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</si>
  <si>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</si>
  <si>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</si>
  <si>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</si>
  <si>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</si>
  <si>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</si>
  <si>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</si>
  <si>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</si>
  <si>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</si>
  <si>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</si>
  <si>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</si>
  <si>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</si>
  <si>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</si>
  <si>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</si>
  <si>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</si>
  <si>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</si>
  <si>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</si>
  <si>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</si>
  <si>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</si>
  <si>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</si>
  <si>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</si>
  <si>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</si>
  <si>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</si>
  <si>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</si>
  <si>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</si>
  <si>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</si>
  <si>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</si>
  <si>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</si>
  <si>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</si>
  <si>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</si>
  <si>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</si>
  <si>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</si>
  <si>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</si>
  <si>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</si>
  <si>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</si>
  <si>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</si>
  <si>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</si>
  <si>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</si>
  <si>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</si>
  <si>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</si>
  <si>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</si>
  <si>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</si>
  <si>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</si>
  <si>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</si>
  <si>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</si>
  <si>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</si>
  <si>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</si>
  <si>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</si>
  <si>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</si>
  <si>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</si>
  <si>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</si>
  <si>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</si>
  <si>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</si>
  <si>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</si>
  <si>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</si>
  <si>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</si>
  <si>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</si>
  <si>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</si>
  <si>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</si>
  <si>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</si>
  <si>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</si>
  <si>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</si>
  <si>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</si>
  <si>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</si>
  <si>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</si>
  <si>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</si>
  <si>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</si>
  <si>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</si>
  <si>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</si>
  <si>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</si>
  <si>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</si>
  <si>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</si>
  <si>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</si>
  <si>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</si>
  <si>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</si>
  <si>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</si>
  <si>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</si>
  <si>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</si>
  <si>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</si>
  <si>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</si>
  <si>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</si>
  <si>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</si>
  <si>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</si>
  <si>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</si>
  <si>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</si>
  <si>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</si>
  <si>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</si>
  <si>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</si>
  <si>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</si>
  <si>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</si>
  <si>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</si>
  <si>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</si>
  <si>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</si>
  <si>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</si>
  <si>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</si>
  <si>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</si>
  <si>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</si>
  <si>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</si>
  <si>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</si>
  <si>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</si>
  <si>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</si>
  <si>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</si>
  <si>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</si>
  <si>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</si>
  <si>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</si>
  <si>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</si>
  <si>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</si>
  <si>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</si>
  <si>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</si>
  <si>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</si>
  <si>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</si>
  <si>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</si>
  <si>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</si>
  <si>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</si>
  <si>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</si>
  <si>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</si>
  <si>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</si>
  <si>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</si>
  <si>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</si>
  <si>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</si>
  <si>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</si>
  <si>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</si>
  <si>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</si>
  <si>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</si>
  <si>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</si>
  <si>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</si>
  <si>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</si>
  <si>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</si>
  <si>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</si>
  <si>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</si>
  <si>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</si>
  <si>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</si>
  <si>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</si>
  <si>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</si>
  <si>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</si>
  <si>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</si>
  <si>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</si>
  <si>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</si>
  <si>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</si>
  <si>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</si>
  <si>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</si>
  <si>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</si>
  <si>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</si>
  <si>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</si>
  <si>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</si>
  <si>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</si>
  <si>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</si>
  <si>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</si>
  <si>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</si>
  <si>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</si>
  <si>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</si>
  <si>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</si>
  <si>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</si>
  <si>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</si>
  <si>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</si>
  <si>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</si>
  <si>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</si>
  <si>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</si>
  <si>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</si>
  <si>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</si>
  <si>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</si>
  <si>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</si>
  <si>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</si>
  <si>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</si>
  <si>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</si>
  <si>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</si>
  <si>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</si>
  <si>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</si>
  <si>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</si>
  <si>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</si>
  <si>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</si>
  <si>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</si>
  <si>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</si>
  <si>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</si>
  <si>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</si>
  <si>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</si>
  <si>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</si>
  <si>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</si>
  <si>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</si>
  <si>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</si>
  <si>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</si>
  <si>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</si>
  <si>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</si>
  <si>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</si>
  <si>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</si>
  <si>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</si>
  <si>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</si>
  <si>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</si>
  <si>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</si>
  <si>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</si>
  <si>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</si>
  <si>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</si>
  <si>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</si>
  <si>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</si>
  <si>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</si>
  <si>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</si>
  <si>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</si>
  <si>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</si>
  <si>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</si>
  <si>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</si>
  <si>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</si>
  <si>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</si>
  <si>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</si>
  <si>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</si>
  <si>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</si>
  <si>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</si>
  <si>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</si>
  <si>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</si>
  <si>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</si>
  <si>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</si>
  <si>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</si>
  <si>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</si>
  <si>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</si>
  <si>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</si>
  <si>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</si>
  <si>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</si>
  <si>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</si>
  <si>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</si>
  <si>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</si>
  <si>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</si>
  <si>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</si>
  <si>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</si>
  <si>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</si>
  <si>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</si>
  <si>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</si>
  <si>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</si>
  <si>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</si>
  <si>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</si>
  <si>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</si>
  <si>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</si>
  <si>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</si>
  <si>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</si>
  <si>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</si>
  <si>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</si>
  <si>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</si>
  <si>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</si>
  <si>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</si>
  <si>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</si>
  <si>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</si>
  <si>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</si>
  <si>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</si>
  <si>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</si>
  <si>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</si>
  <si>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</si>
  <si>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</si>
  <si>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</si>
  <si>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</si>
  <si>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</si>
  <si>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</si>
  <si>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</si>
  <si>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</si>
  <si>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</si>
  <si>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</si>
  <si>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</si>
  <si>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</si>
  <si>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</si>
  <si>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</si>
  <si>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</si>
  <si>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</si>
  <si>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</si>
  <si>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</si>
  <si>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</si>
  <si>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</si>
  <si>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</si>
  <si>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</si>
  <si>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</si>
  <si>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</si>
  <si>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</si>
  <si>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</si>
  <si>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</si>
  <si>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</si>
  <si>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</si>
  <si>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</si>
  <si>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</si>
  <si>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</si>
  <si>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</si>
  <si>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</si>
  <si>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</si>
  <si>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</si>
  <si>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</si>
  <si>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</si>
  <si>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</si>
  <si>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</si>
  <si>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</si>
  <si>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</si>
  <si>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</si>
  <si>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</si>
  <si>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</si>
  <si>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</si>
  <si>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</si>
  <si>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</si>
  <si>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</si>
  <si>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</si>
  <si>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</si>
  <si>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</si>
  <si>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</si>
  <si>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</si>
  <si>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</si>
  <si>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</si>
  <si>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</si>
  <si>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</si>
  <si>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</si>
  <si>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</si>
  <si>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</si>
  <si>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</si>
  <si>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</si>
  <si>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</si>
  <si>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</si>
  <si>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</si>
  <si>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</si>
  <si>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</si>
  <si>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</si>
  <si>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</si>
  <si>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</si>
  <si>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</si>
  <si>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</si>
  <si>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</si>
  <si>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</si>
  <si>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</si>
  <si>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</si>
  <si>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</si>
  <si>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</si>
  <si>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</si>
  <si>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</si>
  <si>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</si>
  <si>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</si>
  <si>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</si>
  <si>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</si>
  <si>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</si>
  <si>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</si>
  <si>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</si>
  <si>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</si>
  <si>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</si>
  <si>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</si>
  <si>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</si>
  <si>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</si>
  <si>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</si>
  <si>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</si>
  <si>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</si>
  <si>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</si>
  <si>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</si>
  <si>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</si>
  <si>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</si>
  <si>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</si>
  <si>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</si>
  <si>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</si>
  <si>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</si>
  <si>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</si>
  <si>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</si>
  <si>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</si>
  <si>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</si>
  <si>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</si>
  <si>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</si>
  <si>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</si>
  <si>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</si>
  <si>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</si>
  <si>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</si>
  <si>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</si>
  <si>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</si>
  <si>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</si>
  <si>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</si>
  <si>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</si>
  <si>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</si>
  <si>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</si>
  <si>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</si>
  <si>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</si>
  <si>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</si>
  <si>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</si>
  <si>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</si>
  <si>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</si>
  <si>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</si>
  <si>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</si>
  <si>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</si>
  <si>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</si>
  <si>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</si>
  <si>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</si>
  <si>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</si>
  <si>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</si>
  <si>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</si>
  <si>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</si>
  <si>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</si>
  <si>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</si>
  <si>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</si>
  <si>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</si>
  <si>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</si>
  <si>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</si>
  <si>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</si>
  <si>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</si>
  <si>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</si>
  <si>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</si>
  <si>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</si>
  <si>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</si>
  <si>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</si>
  <si>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</si>
  <si>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</si>
  <si>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</si>
  <si>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</si>
  <si>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</si>
  <si>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</si>
  <si>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</si>
  <si>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</si>
  <si>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</si>
  <si>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</si>
  <si>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</si>
  <si>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</si>
  <si>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</si>
  <si>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</si>
  <si>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</si>
  <si>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</si>
  <si>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</si>
  <si>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</si>
  <si>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</si>
  <si>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</si>
  <si>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</si>
  <si>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</si>
  <si>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</si>
  <si>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</si>
  <si>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</si>
  <si>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</si>
  <si>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</si>
  <si>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</si>
  <si>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</si>
  <si>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</si>
  <si>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</si>
  <si>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</si>
  <si>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</si>
  <si>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</si>
  <si>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</si>
  <si>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</si>
  <si>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</si>
  <si>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</si>
  <si>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</si>
  <si>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</si>
  <si>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</si>
  <si>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</si>
  <si>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</si>
  <si>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</si>
  <si>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</si>
  <si>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</si>
  <si>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</si>
  <si>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</si>
  <si>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</si>
  <si>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</si>
  <si>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</si>
  <si>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</si>
  <si>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</si>
  <si>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</si>
  <si>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</si>
  <si>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</si>
  <si>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</si>
  <si>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</si>
  <si>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</si>
  <si>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</si>
  <si>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</si>
  <si>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</si>
  <si>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</si>
  <si>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</si>
  <si>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</si>
  <si>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</si>
  <si>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</si>
  <si>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</si>
  <si>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</si>
  <si>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</si>
  <si>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</si>
  <si>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</si>
  <si>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</si>
  <si>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</si>
  <si>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</si>
  <si>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</si>
  <si>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</si>
  <si>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</si>
  <si>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</si>
  <si>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</si>
  <si>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</si>
  <si>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</si>
  <si>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</si>
  <si>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</si>
  <si>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</si>
  <si>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</si>
  <si>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</si>
  <si>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</si>
  <si>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</si>
  <si>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</si>
  <si>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</si>
  <si>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</si>
  <si>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</si>
  <si>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</si>
  <si>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</si>
  <si>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</si>
  <si>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</si>
  <si>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</si>
  <si>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</si>
  <si>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</si>
  <si>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</si>
  <si>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</si>
  <si>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</si>
  <si>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</si>
  <si>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</si>
  <si>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</si>
  <si>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</si>
  <si>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</si>
  <si>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</si>
  <si>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</si>
  <si>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</si>
  <si>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</si>
  <si>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</si>
  <si>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</si>
  <si>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</si>
  <si>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</si>
  <si>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</si>
  <si>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</si>
  <si>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</si>
  <si>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</si>
  <si>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</si>
  <si>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</si>
  <si>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</si>
  <si>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</si>
  <si>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</si>
  <si>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</si>
  <si>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</si>
  <si>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</si>
  <si>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</si>
  <si>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</si>
  <si>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</si>
  <si>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</si>
  <si>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</si>
  <si>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</si>
  <si>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</si>
  <si>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</si>
  <si>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</si>
  <si>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</si>
  <si>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</si>
  <si>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</si>
  <si>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</si>
  <si>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</si>
  <si>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</si>
  <si>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</si>
  <si>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</si>
  <si>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</si>
  <si>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</si>
  <si>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</si>
  <si>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</si>
  <si>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</si>
  <si>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</si>
  <si>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</si>
  <si>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</si>
  <si>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</si>
  <si>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</si>
  <si>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</si>
  <si>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</si>
  <si>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</si>
  <si>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</si>
  <si>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</si>
  <si>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</si>
  <si>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</si>
  <si>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</si>
  <si>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</si>
  <si>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</si>
  <si>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</si>
  <si>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</si>
  <si>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</si>
  <si>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</si>
  <si>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</si>
  <si>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</si>
  <si>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</si>
  <si>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</si>
  <si>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</si>
  <si>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</si>
  <si>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</si>
  <si>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</si>
  <si>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</si>
  <si>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</si>
  <si>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</si>
  <si>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</si>
  <si>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</si>
  <si>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</si>
  <si>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</si>
  <si>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</si>
  <si>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</si>
  <si>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</si>
  <si>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</si>
  <si>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</si>
  <si>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</si>
  <si>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</si>
  <si>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</si>
  <si>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</si>
  <si>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</si>
  <si>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</si>
  <si>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</si>
  <si>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</si>
  <si>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</si>
  <si>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</si>
  <si>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</si>
  <si>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</si>
  <si>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</si>
  <si>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</si>
  <si>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</si>
  <si>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</si>
  <si>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</si>
  <si>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</si>
  <si>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</si>
  <si>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</si>
  <si>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</si>
  <si>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</si>
  <si>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</si>
  <si>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</si>
  <si>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</si>
  <si>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</si>
  <si>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</si>
  <si>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</si>
  <si>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</si>
  <si>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</si>
  <si>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</si>
  <si>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</si>
  <si>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</si>
  <si>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</si>
  <si>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</si>
  <si>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</si>
  <si>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</si>
  <si>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</si>
  <si>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</si>
  <si>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</si>
  <si>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</si>
  <si>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</si>
  <si>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</si>
  <si>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</si>
  <si>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</si>
  <si>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</si>
  <si>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</si>
  <si>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</si>
  <si>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</si>
  <si>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</si>
  <si>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</si>
  <si>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</si>
  <si>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</si>
  <si>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</si>
  <si>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</si>
  <si>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</si>
  <si>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</si>
  <si>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</si>
  <si>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</si>
  <si>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</si>
  <si>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</si>
  <si>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</si>
  <si>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</si>
  <si>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</si>
  <si>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</si>
  <si>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</si>
  <si>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</si>
  <si>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</si>
  <si>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</si>
  <si>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</si>
  <si>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</si>
  <si>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</si>
  <si>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</si>
  <si>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</si>
  <si>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</si>
  <si>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</si>
  <si>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</si>
  <si>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</si>
  <si>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</si>
  <si>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</si>
  <si>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</si>
  <si>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</si>
  <si>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</si>
  <si>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</si>
  <si>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</si>
  <si>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</si>
  <si>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</si>
  <si>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</si>
  <si>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</si>
  <si>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</si>
  <si>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</si>
  <si>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</si>
  <si>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</si>
  <si>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</si>
  <si>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</si>
  <si>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</si>
  <si>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</si>
  <si>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</si>
  <si>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</si>
  <si>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</si>
  <si>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</si>
  <si>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</si>
  <si>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</si>
  <si>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</si>
  <si>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</si>
  <si>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</si>
  <si>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</si>
  <si>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</si>
  <si>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</si>
  <si>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</si>
  <si>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</si>
  <si>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</si>
  <si>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</si>
  <si>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</si>
  <si>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</si>
  <si>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</si>
  <si>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</si>
  <si>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</si>
  <si>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</si>
  <si>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</si>
  <si>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</si>
  <si>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</si>
  <si>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</si>
  <si>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</si>
  <si>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</si>
  <si>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</si>
  <si>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</si>
  <si>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</si>
  <si>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</si>
  <si>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</si>
  <si>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</si>
  <si>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</si>
  <si>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</si>
  <si>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</si>
  <si>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</si>
  <si>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</si>
  <si>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</si>
  <si>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</si>
  <si>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</si>
  <si>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</si>
  <si>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</si>
  <si>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</si>
  <si>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</si>
  <si>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</si>
  <si>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</si>
  <si>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</si>
  <si>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</si>
  <si>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</si>
  <si>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</si>
  <si>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</si>
  <si>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</si>
  <si>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</si>
  <si>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</si>
  <si>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</si>
  <si>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</si>
  <si>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</si>
  <si>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</si>
  <si>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</si>
  <si>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</si>
  <si>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</si>
  <si>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</si>
  <si>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</si>
  <si>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</si>
  <si>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</si>
  <si>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</si>
  <si>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</si>
  <si>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</si>
  <si>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</si>
  <si>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</si>
  <si>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</si>
  <si>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</si>
  <si>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</si>
  <si>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</si>
  <si>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</si>
  <si>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</si>
  <si>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</si>
  <si>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</si>
  <si>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</si>
  <si>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</si>
  <si>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</si>
  <si>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</si>
  <si>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</si>
  <si>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</si>
  <si>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</si>
  <si>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</si>
  <si>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</si>
  <si>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</si>
  <si>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</si>
  <si>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</si>
  <si>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</si>
  <si>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</si>
  <si>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</si>
  <si>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</si>
  <si>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</si>
  <si>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</si>
  <si>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</si>
  <si>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</si>
  <si>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</si>
  <si>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</si>
  <si>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</si>
  <si>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</si>
  <si>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</si>
  <si>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</si>
  <si>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</si>
  <si>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</si>
  <si>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</si>
  <si>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</si>
  <si>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</si>
  <si>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</si>
  <si>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</si>
  <si>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</si>
  <si>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</si>
  <si>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</si>
  <si>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</si>
  <si>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</si>
  <si>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</si>
  <si>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</si>
  <si>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</si>
  <si>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</si>
  <si>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</si>
  <si>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</si>
  <si>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</si>
  <si>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</si>
  <si>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</si>
  <si>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</si>
  <si>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</si>
  <si>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</si>
  <si>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</si>
  <si>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</si>
  <si>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</si>
  <si>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</si>
  <si>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</si>
  <si>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</si>
  <si>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</si>
  <si>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</si>
  <si>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</si>
  <si>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</si>
  <si>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</si>
  <si>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</si>
  <si>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</si>
  <si>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</si>
  <si>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</si>
  <si>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</si>
  <si>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</si>
  <si>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</si>
  <si>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</si>
  <si>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</si>
  <si>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</si>
  <si>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</si>
  <si>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</si>
  <si>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</si>
  <si>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</si>
  <si>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</si>
  <si>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</si>
  <si>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</si>
  <si>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</si>
  <si>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</si>
  <si>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</si>
  <si>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</si>
  <si>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</si>
  <si>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</si>
  <si>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</si>
  <si>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</si>
  <si>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</si>
  <si>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</si>
  <si>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</si>
  <si>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</si>
  <si>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</si>
  <si>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</si>
  <si>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</si>
  <si>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</si>
  <si>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</si>
  <si>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</si>
  <si>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</si>
  <si>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</si>
  <si>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</si>
  <si>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</si>
  <si>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</si>
  <si>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</si>
  <si>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</si>
  <si>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</si>
  <si>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</si>
  <si>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</si>
  <si>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</si>
  <si>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</si>
  <si>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</si>
  <si>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</si>
  <si>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</si>
  <si>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</si>
  <si>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</si>
  <si>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</si>
  <si>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</si>
  <si>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</si>
  <si>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</si>
  <si>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</si>
  <si>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</si>
  <si>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</si>
  <si>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</si>
  <si>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</si>
  <si>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</si>
  <si>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</si>
  <si>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</si>
  <si>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</si>
  <si>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</si>
  <si>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</si>
  <si>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</si>
  <si>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</si>
  <si>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</si>
  <si>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</si>
  <si>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</si>
  <si>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</si>
  <si>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</si>
  <si>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</si>
  <si>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</si>
  <si>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</si>
  <si>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</si>
  <si>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</si>
  <si>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</si>
  <si>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</si>
  <si>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</si>
  <si>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</si>
  <si>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</si>
  <si>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</si>
  <si>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</si>
  <si>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</si>
  <si>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</si>
  <si>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</si>
  <si>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</si>
  <si>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</si>
  <si>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</si>
  <si>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</si>
  <si>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</si>
  <si>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</si>
  <si>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</si>
  <si>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</si>
  <si>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</si>
  <si>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</si>
  <si>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</si>
  <si>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</si>
  <si>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</si>
  <si>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</si>
  <si>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</si>
  <si>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</si>
  <si>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</si>
  <si>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</si>
  <si>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</si>
  <si>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</si>
  <si>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</si>
  <si>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</si>
  <si>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</si>
  <si>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</si>
  <si>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</si>
  <si>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</si>
  <si>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</si>
  <si>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</si>
  <si>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</si>
  <si>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</si>
  <si>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</si>
  <si>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</si>
  <si>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</si>
  <si>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</si>
  <si>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</si>
  <si>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</si>
  <si>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</si>
  <si>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</si>
  <si>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</si>
  <si>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</si>
  <si>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</si>
  <si>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</si>
  <si>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</si>
  <si>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</si>
  <si>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</si>
  <si>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</si>
  <si>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</si>
  <si>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</si>
  <si>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</si>
  <si>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</si>
  <si>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</si>
  <si>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</si>
  <si>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</si>
  <si>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</si>
  <si>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</si>
  <si>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</si>
  <si>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</si>
  <si>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</si>
  <si>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</si>
  <si>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</si>
  <si>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</si>
  <si>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</si>
  <si>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</si>
  <si>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</si>
  <si>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</si>
  <si>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</si>
  <si>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</si>
  <si>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</si>
  <si>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</si>
  <si>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</si>
  <si>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</si>
  <si>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</si>
  <si>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</si>
  <si>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</si>
  <si>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</si>
  <si>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</si>
  <si>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</si>
  <si>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</si>
  <si>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</si>
  <si>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</si>
  <si>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</si>
  <si>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</si>
  <si>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</si>
  <si>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</si>
  <si>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</si>
  <si>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</si>
  <si>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</si>
  <si>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</si>
  <si>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</si>
  <si>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</si>
  <si>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</si>
  <si>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</si>
  <si>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</si>
  <si>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</si>
  <si>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</si>
  <si>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</si>
  <si>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</si>
  <si>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</si>
  <si>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</si>
  <si>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</si>
  <si>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</si>
  <si>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</si>
  <si>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</si>
  <si>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</si>
  <si>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</si>
  <si>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</si>
  <si>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</si>
  <si>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</si>
  <si>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</si>
  <si>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</si>
  <si>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</si>
  <si>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</si>
  <si>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</si>
  <si>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</si>
  <si>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</si>
  <si>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</si>
  <si>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</si>
  <si>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</si>
  <si>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</si>
  <si>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</si>
  <si>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</si>
  <si>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</si>
  <si>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</si>
  <si>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</si>
  <si>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</si>
  <si>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</si>
  <si>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</si>
  <si>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</si>
  <si>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</si>
  <si>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</si>
  <si>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</si>
  <si>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</si>
  <si>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</si>
  <si>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</si>
  <si>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</si>
  <si>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</si>
  <si>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</si>
  <si>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</si>
  <si>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</si>
  <si>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</si>
  <si>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</si>
  <si>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</si>
  <si>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</si>
  <si>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</si>
  <si>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</si>
  <si>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</si>
  <si>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</si>
  <si>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</si>
  <si>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</si>
  <si>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</si>
  <si>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</si>
  <si>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</si>
  <si>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</si>
  <si>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</si>
  <si>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</si>
  <si>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</si>
  <si>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</si>
  <si>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</si>
  <si>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</si>
  <si>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</si>
  <si>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</si>
  <si>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</si>
  <si>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</si>
  <si>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</si>
  <si>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</si>
  <si>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</si>
  <si>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</si>
  <si>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</si>
  <si>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</si>
  <si>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</si>
  <si>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</si>
  <si>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</si>
  <si>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</si>
  <si>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</si>
  <si>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</si>
  <si>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</si>
  <si>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</si>
  <si>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</si>
  <si>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</si>
  <si>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</si>
  <si>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</si>
  <si>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</si>
  <si>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</si>
  <si>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</si>
  <si>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</si>
  <si>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</si>
  <si>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</si>
  <si>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</si>
  <si>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</si>
  <si>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</si>
  <si>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</si>
  <si>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</si>
  <si>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</si>
  <si>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</si>
  <si>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</si>
  <si>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</si>
  <si>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</si>
  <si>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</si>
  <si>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</si>
  <si>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</si>
  <si>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</si>
  <si>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</si>
  <si>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</si>
  <si>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</si>
  <si>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</si>
  <si>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</si>
  <si>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</si>
  <si>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</si>
  <si>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</si>
  <si>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</si>
  <si>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</si>
  <si>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</si>
  <si>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</si>
  <si>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</si>
  <si>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</si>
  <si>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</si>
  <si>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</si>
  <si>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</si>
  <si>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</si>
  <si>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</si>
  <si>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</si>
  <si>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</si>
  <si>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</si>
  <si>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</si>
  <si>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</si>
  <si>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</si>
  <si>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</si>
  <si>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</si>
  <si>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</si>
  <si>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</si>
  <si>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</si>
  <si>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</si>
  <si>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</si>
  <si>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</si>
  <si>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</si>
  <si>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</si>
  <si>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</si>
  <si>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</si>
  <si>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</si>
  <si>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</si>
  <si>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</si>
  <si>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</si>
  <si>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</si>
  <si>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</si>
  <si>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</si>
  <si>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</si>
  <si>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</si>
  <si>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</si>
  <si>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</si>
  <si>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</si>
  <si>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</si>
  <si>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</si>
  <si>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</si>
  <si>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</si>
  <si>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</si>
  <si>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</si>
  <si>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</si>
  <si>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</si>
  <si>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</si>
  <si>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</si>
  <si>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</si>
  <si>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</si>
  <si>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</si>
  <si>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</si>
  <si>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</si>
  <si>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</si>
  <si>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</si>
  <si>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</si>
  <si>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</si>
  <si>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</si>
  <si>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</si>
  <si>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</si>
  <si>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</si>
  <si>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</si>
  <si>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</si>
  <si>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</si>
  <si>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</si>
  <si>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</si>
  <si>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</si>
  <si>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</si>
  <si>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</si>
  <si>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</si>
  <si>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</si>
  <si>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</si>
  <si>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</si>
  <si>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</si>
  <si>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</si>
  <si>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</si>
  <si>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</si>
  <si>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</si>
  <si>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</si>
  <si>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</si>
  <si>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</si>
  <si>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</si>
  <si>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</si>
  <si>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</si>
  <si>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</si>
  <si>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</si>
  <si>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</si>
  <si>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</si>
  <si>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</si>
  <si>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</si>
  <si>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</si>
  <si>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</si>
  <si>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</si>
  <si>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</si>
  <si>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</si>
  <si>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</si>
  <si>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</si>
  <si>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</si>
  <si>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</si>
  <si>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</si>
  <si>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</si>
  <si>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</si>
  <si>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</si>
  <si>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</si>
  <si>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</si>
  <si>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</si>
  <si>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</si>
  <si>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</si>
  <si>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</si>
  <si>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</si>
  <si>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</si>
  <si>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</si>
  <si>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</si>
  <si>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</si>
  <si>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</si>
  <si>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</si>
  <si>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</si>
  <si>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</si>
  <si>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</si>
  <si>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</si>
  <si>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</si>
  <si>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</si>
  <si>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</si>
  <si>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</si>
  <si>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</si>
  <si>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</si>
  <si>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</si>
  <si>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</si>
  <si>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</si>
  <si>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</si>
  <si>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</si>
  <si>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</si>
  <si>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</si>
  <si>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</si>
  <si>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</si>
  <si>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</si>
  <si>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</si>
  <si>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</si>
  <si>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</si>
  <si>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</si>
  <si>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</si>
  <si>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</si>
  <si>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</si>
  <si>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</si>
  <si>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</si>
  <si>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</si>
  <si>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</si>
  <si>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</si>
  <si>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</si>
  <si>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</si>
  <si>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</si>
  <si>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</si>
  <si>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</si>
  <si>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</si>
  <si>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</si>
  <si>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</si>
  <si>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</si>
  <si>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</si>
  <si>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</si>
  <si>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</si>
  <si>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</si>
  <si>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</si>
  <si>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</si>
  <si>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</si>
  <si>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</si>
  <si>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</si>
  <si>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</si>
  <si>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</si>
  <si>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</si>
  <si>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</si>
  <si>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</si>
  <si>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</si>
  <si>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</si>
  <si>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</si>
  <si>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</si>
  <si>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</si>
  <si>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</si>
  <si>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</si>
  <si>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</si>
  <si>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</si>
  <si>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</si>
  <si>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</si>
  <si>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</si>
  <si>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</si>
  <si>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</si>
  <si>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</si>
  <si>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</si>
  <si>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</si>
  <si>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</si>
  <si>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</si>
  <si>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</si>
  <si>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</si>
  <si>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</si>
  <si>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</si>
  <si>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</si>
  <si>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</si>
  <si>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</si>
  <si>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</si>
  <si>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</si>
  <si>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</si>
  <si>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</si>
  <si>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</si>
  <si>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</si>
  <si>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</si>
  <si>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</si>
  <si>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</si>
  <si>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</si>
  <si>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</si>
  <si>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</si>
  <si>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</si>
  <si>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</si>
  <si>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</si>
  <si>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</si>
  <si>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</si>
  <si>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</si>
  <si>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</si>
  <si>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</si>
  <si>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</si>
  <si>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</si>
  <si>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</si>
  <si>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</si>
  <si>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</si>
  <si>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</si>
  <si>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</si>
  <si>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</si>
  <si>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</si>
  <si>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</si>
  <si>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</si>
  <si>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</si>
  <si>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</si>
  <si>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</si>
  <si>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</si>
  <si>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</si>
  <si>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</si>
  <si>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</si>
  <si>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</si>
  <si>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</si>
  <si>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</si>
  <si>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</si>
  <si>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</si>
  <si>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</si>
  <si>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</si>
  <si>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</si>
  <si>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</si>
  <si>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</si>
  <si>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</si>
  <si>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</si>
  <si>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</si>
  <si>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</si>
  <si>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</si>
  <si>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</si>
  <si>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</si>
  <si>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</si>
  <si>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</si>
  <si>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</si>
  <si>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</si>
  <si>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</si>
  <si>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</si>
  <si>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</si>
  <si>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</si>
  <si>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</si>
  <si>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</si>
  <si>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</si>
  <si>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</si>
  <si>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</si>
  <si>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</si>
  <si>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</si>
  <si>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</si>
  <si>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</si>
  <si>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</si>
  <si>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</si>
  <si>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</si>
  <si>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</si>
  <si>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</si>
  <si>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</si>
  <si>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</si>
  <si>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</si>
  <si>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</si>
  <si>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</si>
  <si>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</si>
  <si>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</si>
  <si>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</si>
  <si>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</si>
  <si>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</si>
  <si>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</si>
  <si>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</si>
  <si>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</si>
  <si>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</si>
  <si>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</si>
  <si>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</si>
  <si>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</si>
  <si>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</si>
  <si>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</si>
  <si>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</si>
  <si>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</si>
  <si>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</si>
  <si>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</si>
  <si>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</si>
  <si>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</si>
  <si>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</si>
  <si>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</si>
  <si>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</si>
  <si>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</si>
  <si>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</si>
  <si>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</si>
  <si>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</si>
  <si>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</si>
  <si>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</si>
  <si>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</si>
  <si>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</si>
  <si>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</si>
  <si>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</si>
  <si>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</si>
  <si>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</si>
  <si>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</si>
  <si>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</si>
  <si>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</si>
  <si>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</si>
  <si>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</si>
  <si>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</si>
  <si>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</si>
  <si>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</si>
  <si>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</si>
  <si>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</si>
  <si>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</si>
  <si>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</si>
  <si>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</si>
  <si>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</si>
  <si>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</si>
  <si>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</si>
  <si>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</si>
  <si>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</si>
  <si>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</si>
  <si>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</si>
  <si>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</si>
  <si>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</si>
  <si>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</si>
  <si>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</si>
  <si>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</si>
  <si>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</si>
  <si>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</si>
  <si>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</si>
  <si>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</si>
  <si>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</si>
  <si>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</si>
  <si>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</si>
  <si>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</si>
  <si>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</si>
  <si>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</si>
  <si>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</si>
  <si>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</si>
  <si>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</si>
  <si>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</si>
  <si>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</si>
  <si>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</si>
  <si>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</si>
  <si>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</si>
  <si>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</si>
  <si>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</si>
  <si>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</si>
  <si>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</si>
  <si>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</si>
  <si>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</si>
  <si>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</si>
  <si>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</si>
  <si>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</si>
  <si>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</si>
  <si>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</si>
  <si>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</si>
  <si>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</si>
  <si>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</si>
  <si>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</si>
  <si>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</si>
  <si>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</si>
  <si>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</si>
  <si>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</si>
  <si>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</si>
  <si>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</si>
  <si>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</si>
  <si>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</si>
  <si>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</si>
  <si>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</si>
  <si>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</si>
  <si>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</si>
  <si>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</si>
  <si>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</si>
  <si>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</si>
  <si>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</si>
  <si>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</si>
  <si>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</si>
  <si>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</si>
  <si>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</si>
  <si>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</si>
  <si>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</si>
  <si>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</si>
  <si>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</si>
  <si>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</si>
  <si>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</si>
  <si>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</si>
  <si>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</si>
  <si>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</si>
  <si>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</si>
  <si>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</si>
  <si>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</si>
  <si>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</si>
  <si>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</si>
  <si>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</si>
  <si>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</si>
  <si>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</si>
  <si>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</si>
  <si>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</si>
  <si>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</si>
  <si>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</si>
  <si>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</si>
  <si>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</si>
  <si>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</si>
  <si>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</si>
  <si>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</si>
  <si>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</si>
  <si>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</si>
  <si>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</si>
  <si>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</si>
  <si>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</si>
  <si>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</si>
  <si>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</si>
  <si>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</si>
  <si>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</si>
  <si>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</si>
  <si>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</si>
  <si>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</si>
  <si>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</si>
  <si>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</si>
  <si>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</si>
  <si>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</si>
  <si>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</si>
  <si>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</si>
  <si>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</si>
  <si>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</si>
  <si>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</si>
  <si>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</si>
  <si>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</si>
  <si>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</si>
  <si>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</si>
  <si>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</si>
  <si>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</si>
  <si>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</si>
  <si>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</si>
  <si>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</si>
  <si>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</si>
  <si>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</si>
  <si>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</si>
  <si>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</si>
  <si>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</si>
  <si>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</si>
  <si>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</si>
  <si>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</si>
  <si>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</si>
  <si>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</si>
  <si>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</si>
  <si>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</si>
  <si>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</si>
  <si>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</si>
  <si>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</si>
  <si>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</si>
  <si>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</si>
  <si>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</si>
  <si>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</si>
  <si>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</si>
  <si>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</si>
  <si>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</si>
  <si>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</si>
  <si>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</si>
  <si>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</si>
  <si>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</si>
  <si>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</si>
  <si>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</si>
  <si>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</si>
  <si>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</si>
  <si>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</si>
  <si>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</si>
  <si>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</si>
  <si>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</si>
  <si>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</si>
  <si>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</si>
  <si>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</si>
  <si>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</si>
  <si>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</si>
  <si>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</si>
  <si>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</si>
  <si>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</si>
  <si>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</si>
  <si>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</si>
  <si>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</si>
  <si>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</si>
  <si>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</si>
  <si>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</si>
  <si>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</si>
  <si>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</si>
  <si>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</si>
  <si>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</si>
  <si>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</si>
  <si>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</si>
  <si>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</si>
  <si>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</si>
  <si>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</si>
  <si>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</si>
  <si>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</si>
  <si>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</si>
  <si>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</si>
  <si>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</si>
  <si>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</si>
  <si>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</si>
  <si>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</si>
  <si>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</si>
  <si>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</si>
  <si>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</si>
  <si>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</si>
  <si>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</si>
  <si>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</si>
  <si>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</si>
  <si>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</si>
  <si>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</si>
  <si>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</si>
  <si>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</si>
  <si>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</si>
  <si>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</si>
  <si>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</si>
  <si>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</si>
  <si>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</si>
  <si>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</si>
  <si>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</si>
  <si>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</si>
  <si>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</si>
  <si>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</si>
  <si>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</si>
  <si>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</si>
  <si>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</si>
  <si>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</si>
  <si>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</si>
  <si>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</si>
  <si>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</si>
  <si>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</si>
  <si>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</si>
  <si>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</si>
  <si>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</si>
  <si>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</si>
  <si>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</si>
  <si>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</si>
  <si>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</si>
  <si>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</si>
  <si>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</si>
  <si>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</si>
  <si>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</si>
  <si>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</si>
  <si>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</si>
  <si>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</si>
  <si>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</si>
  <si>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</si>
  <si>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</si>
  <si>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</si>
  <si>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</si>
  <si>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</si>
  <si>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</si>
  <si>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</si>
  <si>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</si>
  <si>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</si>
  <si>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</si>
  <si>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</si>
  <si>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</si>
  <si>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</si>
  <si>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</si>
  <si>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</si>
  <si>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</si>
  <si>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</si>
  <si>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</si>
  <si>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</si>
  <si>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</si>
  <si>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</si>
  <si>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</si>
  <si>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</si>
  <si>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</si>
  <si>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</si>
  <si>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</si>
  <si>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</si>
  <si>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</si>
  <si>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</si>
  <si>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</si>
  <si>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</si>
  <si>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</si>
  <si>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</si>
  <si>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</si>
  <si>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</si>
  <si>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</si>
  <si>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</si>
  <si>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</si>
  <si>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</si>
  <si>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</si>
  <si>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</si>
  <si>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</si>
  <si>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</si>
  <si>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</si>
  <si>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</si>
  <si>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</si>
  <si>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</si>
  <si>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</si>
  <si>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</si>
  <si>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</si>
  <si>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</si>
  <si>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</si>
  <si>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</si>
  <si>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</si>
  <si>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</si>
  <si>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</si>
  <si>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</si>
  <si>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</si>
  <si>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</si>
  <si>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</si>
  <si>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</si>
  <si>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</si>
  <si>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</si>
  <si>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</si>
  <si>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</si>
  <si>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</si>
  <si>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</si>
  <si>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</si>
  <si>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</si>
  <si>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</si>
  <si>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</si>
  <si>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</si>
  <si>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</si>
  <si>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</si>
  <si>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</si>
  <si>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</si>
  <si>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</si>
  <si>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</si>
  <si>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</si>
  <si>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</si>
  <si>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</si>
  <si>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</si>
  <si>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</si>
  <si>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</si>
  <si>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</si>
  <si>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</si>
  <si>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</si>
  <si>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</si>
  <si>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</si>
  <si>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</si>
  <si>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</si>
  <si>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</si>
  <si>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</si>
  <si>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</si>
  <si>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</si>
  <si>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</si>
  <si>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</si>
  <si>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</si>
  <si>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</si>
  <si>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</si>
  <si>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</si>
  <si>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</si>
  <si>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</si>
  <si>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</si>
  <si>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</si>
  <si>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</si>
  <si>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</si>
  <si>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</si>
  <si>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</si>
  <si>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</si>
  <si>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</si>
  <si>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</si>
  <si>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</si>
  <si>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</si>
  <si>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</si>
  <si>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</si>
  <si>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</si>
  <si>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</si>
  <si>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</si>
  <si>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</si>
  <si>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</si>
  <si>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</si>
  <si>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</si>
  <si>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</si>
  <si>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</si>
  <si>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</si>
  <si>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</si>
  <si>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</si>
  <si>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</si>
  <si>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</si>
  <si>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</si>
  <si>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</si>
  <si>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</si>
  <si>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</si>
  <si>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</si>
  <si>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</si>
  <si>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</si>
  <si>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</si>
  <si>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</si>
  <si>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</si>
  <si>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</si>
  <si>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</si>
  <si>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</si>
  <si>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</si>
  <si>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</si>
  <si>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</si>
  <si>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</si>
  <si>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</si>
  <si>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</si>
  <si>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</si>
  <si>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</si>
  <si>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</si>
  <si>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</si>
  <si>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</si>
  <si>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</si>
  <si>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</si>
  <si>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</si>
  <si>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</si>
  <si>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</si>
  <si>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</si>
  <si>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</si>
  <si>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</si>
  <si>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</si>
  <si>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</si>
  <si>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</si>
  <si>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</si>
  <si>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</si>
  <si>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</si>
  <si>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</si>
  <si>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</si>
  <si>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</si>
  <si>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</si>
  <si>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</si>
  <si>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</si>
  <si>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</si>
  <si>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</si>
  <si>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</si>
  <si>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</si>
  <si>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</si>
  <si>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</si>
  <si>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</si>
  <si>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</si>
  <si>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</si>
  <si>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</si>
  <si>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</si>
  <si>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</si>
  <si>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</si>
  <si>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</si>
  <si>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</si>
  <si>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</si>
  <si>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</si>
  <si>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</si>
  <si>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</si>
  <si>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</si>
  <si>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</si>
  <si>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</si>
  <si>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</si>
  <si>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</si>
  <si>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</si>
  <si>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</si>
  <si>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</si>
  <si>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</si>
  <si>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</si>
  <si>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</si>
  <si>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</si>
  <si>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</si>
  <si>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</si>
  <si>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</si>
  <si>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</si>
  <si>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</si>
  <si>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</si>
  <si>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</si>
  <si>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</si>
  <si>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</si>
  <si>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</si>
  <si>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</si>
  <si>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</si>
  <si>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</si>
  <si>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</si>
  <si>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</si>
  <si>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</si>
  <si>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</si>
  <si>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</si>
  <si>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</si>
  <si>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</si>
  <si>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</si>
  <si>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</si>
  <si>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</si>
  <si>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</si>
  <si>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</si>
  <si>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</si>
  <si>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</si>
  <si>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</si>
  <si>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</si>
  <si>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</si>
  <si>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</si>
  <si>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</si>
  <si>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</si>
  <si>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</si>
  <si>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</si>
  <si>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</si>
  <si>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</si>
  <si>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</si>
  <si>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</si>
  <si>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</si>
  <si>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</si>
  <si>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</si>
  <si>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</si>
  <si>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</si>
  <si>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</si>
  <si>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</si>
  <si>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</si>
  <si>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</si>
  <si>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</si>
  <si>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</si>
  <si>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</si>
  <si>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</si>
  <si>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</si>
  <si>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</si>
  <si>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</si>
  <si>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</si>
  <si>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</si>
  <si>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</si>
  <si>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</si>
  <si>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</si>
  <si>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</si>
  <si>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</si>
  <si>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</si>
  <si>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</si>
  <si>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</si>
  <si>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</si>
  <si>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</si>
  <si>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</si>
  <si>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</si>
  <si>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</si>
  <si>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</si>
  <si>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</si>
  <si>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</si>
  <si>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</si>
  <si>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</si>
  <si>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</si>
  <si>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</si>
  <si>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</si>
  <si>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</si>
  <si>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</si>
  <si>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</si>
  <si>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</si>
  <si>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</si>
  <si>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</si>
  <si>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</si>
  <si>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</si>
  <si>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</si>
  <si>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</si>
  <si>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</si>
  <si>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</si>
  <si>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</si>
  <si>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</si>
  <si>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</si>
  <si>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</si>
  <si>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</si>
  <si>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</si>
  <si>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</si>
  <si>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</si>
  <si>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</si>
  <si>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</si>
  <si>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</si>
  <si>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</si>
  <si>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</si>
  <si>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</si>
  <si>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</si>
  <si>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</si>
  <si>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</si>
  <si>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</si>
  <si>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</si>
  <si>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</si>
  <si>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</si>
  <si>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</si>
  <si>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</si>
  <si>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</si>
  <si>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</si>
  <si>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</si>
  <si>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</si>
  <si>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</si>
  <si>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</si>
  <si>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</si>
  <si>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</si>
  <si>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</si>
  <si>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</si>
  <si>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</si>
  <si>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</si>
  <si>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</si>
  <si>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</si>
  <si>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</si>
  <si>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</si>
  <si>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</si>
  <si>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</si>
  <si>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</si>
  <si>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</si>
  <si>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</si>
  <si>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</si>
  <si>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</si>
  <si>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</si>
  <si>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</si>
  <si>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</si>
  <si>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</si>
  <si>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</si>
  <si>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</si>
  <si>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</si>
  <si>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</si>
  <si>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</si>
  <si>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</si>
  <si>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</si>
  <si>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</si>
  <si>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</si>
  <si>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</si>
  <si>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</si>
  <si>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</si>
  <si>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</si>
  <si>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</si>
  <si>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</si>
  <si>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</si>
  <si>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</si>
  <si>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</si>
  <si>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</si>
  <si>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</si>
  <si>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</si>
  <si>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</si>
  <si>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</si>
  <si>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</si>
  <si>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</si>
  <si>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</si>
  <si>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</si>
  <si>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</si>
  <si>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</si>
  <si>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</si>
  <si>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</si>
  <si>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</si>
  <si>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</si>
  <si>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</si>
  <si>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</si>
  <si>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</si>
  <si>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</si>
  <si>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</si>
  <si>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</si>
  <si>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</si>
  <si>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</si>
  <si>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</si>
  <si>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</si>
  <si>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</si>
  <si>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</si>
  <si>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</si>
  <si>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</si>
  <si>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</si>
  <si>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</si>
  <si>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</si>
  <si>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</si>
  <si>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</si>
  <si>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</si>
  <si>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</si>
  <si>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</si>
  <si>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</si>
  <si>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</si>
  <si>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</si>
  <si>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</si>
  <si>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</si>
  <si>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</si>
  <si>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</si>
  <si>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</si>
  <si>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</si>
  <si>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</si>
  <si>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</si>
  <si>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</si>
  <si>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</si>
  <si>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</si>
  <si>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</si>
  <si>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</si>
  <si>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</si>
  <si>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</si>
  <si>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</si>
  <si>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</si>
  <si>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</si>
  <si>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</si>
  <si>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</si>
  <si>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</si>
  <si>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</si>
  <si>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</si>
  <si>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</si>
  <si>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</si>
  <si>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</si>
  <si>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</si>
  <si>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</si>
  <si>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</si>
  <si>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</si>
  <si>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</si>
  <si>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</si>
  <si>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</si>
  <si>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</si>
  <si>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</si>
  <si>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</si>
  <si>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</si>
  <si>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</si>
  <si>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</si>
  <si>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</si>
  <si>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</si>
  <si>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</si>
  <si>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</si>
  <si>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</si>
  <si>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</si>
  <si>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</si>
  <si>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</si>
  <si>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</si>
  <si>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</si>
  <si>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</si>
  <si>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</si>
  <si>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</si>
  <si>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</si>
  <si>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</si>
  <si>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</si>
  <si>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</si>
  <si>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</si>
  <si>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</si>
  <si>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</si>
  <si>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</si>
  <si>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</si>
  <si>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</si>
  <si>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</si>
  <si>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</si>
  <si>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</si>
  <si>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</si>
  <si>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</si>
  <si>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</si>
  <si>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</si>
  <si>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</si>
  <si>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</si>
  <si>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</si>
  <si>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</si>
  <si>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</si>
  <si>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</si>
  <si>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</si>
  <si>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</si>
  <si>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</si>
  <si>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</si>
  <si>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</si>
  <si>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</si>
  <si>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</si>
  <si>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</si>
  <si>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</si>
  <si>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</si>
  <si>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</si>
  <si>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</si>
  <si>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</si>
  <si>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</si>
  <si>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</si>
  <si>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</si>
  <si>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</si>
  <si>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</si>
  <si>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</si>
  <si>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</si>
  <si>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</si>
  <si>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</si>
  <si>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</si>
  <si>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</si>
  <si>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</si>
  <si>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</si>
  <si>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</si>
  <si>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</si>
  <si>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</si>
  <si>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</si>
  <si>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</si>
  <si>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</si>
  <si>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</si>
  <si>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</si>
  <si>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</si>
  <si>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</si>
  <si>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</si>
  <si>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</si>
  <si>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</si>
  <si>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</si>
  <si>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</si>
  <si>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</si>
  <si>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</si>
  <si>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</si>
  <si>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</si>
  <si>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</si>
  <si>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</si>
  <si>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</si>
  <si>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</si>
  <si>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</si>
  <si>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</si>
  <si>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</si>
  <si>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</si>
  <si>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</si>
  <si>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</si>
  <si>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</si>
  <si>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</si>
  <si>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</si>
  <si>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</si>
  <si>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</si>
  <si>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</si>
  <si>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</si>
  <si>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</si>
  <si>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</si>
  <si>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</si>
  <si>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</si>
  <si>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</si>
  <si>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</si>
  <si>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</si>
  <si>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</si>
  <si>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</si>
  <si>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</si>
  <si>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</si>
  <si>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</si>
  <si>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</si>
  <si>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</si>
  <si>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</si>
  <si>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</si>
  <si>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</si>
  <si>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</si>
  <si>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</si>
  <si>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</si>
  <si>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</si>
  <si>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</si>
  <si>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</si>
  <si>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</si>
  <si>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</si>
  <si>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</si>
  <si>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</si>
  <si>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</si>
  <si>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</si>
  <si>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</si>
  <si>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</si>
  <si>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</si>
  <si>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</si>
  <si>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</si>
  <si>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</si>
  <si>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</si>
  <si>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</si>
  <si>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</si>
  <si>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</si>
  <si>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</si>
  <si>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</si>
  <si>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</si>
  <si>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</si>
  <si>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</si>
  <si>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</si>
  <si>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</si>
  <si>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</si>
  <si>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</si>
  <si>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</si>
  <si>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</si>
  <si>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</si>
  <si>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</si>
  <si>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</si>
  <si>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</si>
  <si>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</si>
  <si>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</si>
  <si>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</si>
  <si>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</si>
  <si>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</si>
  <si>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</si>
  <si>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</si>
  <si>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</si>
  <si>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</si>
  <si>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</si>
  <si>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</si>
  <si>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</si>
  <si>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</si>
  <si>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</si>
  <si>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</si>
  <si>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</si>
  <si>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</si>
  <si>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</si>
  <si>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</si>
  <si>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</si>
  <si>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</si>
  <si>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</si>
  <si>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</si>
  <si>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</si>
  <si>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</si>
  <si>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</si>
  <si>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</si>
  <si>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</si>
  <si>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</si>
  <si>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</si>
  <si>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</si>
  <si>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</si>
  <si>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</si>
  <si>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</si>
  <si>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</si>
  <si>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</si>
  <si>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</si>
  <si>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</si>
  <si>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</si>
  <si>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</si>
  <si>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</si>
  <si>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</si>
  <si>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</si>
  <si>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</si>
  <si>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</si>
  <si>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</si>
  <si>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</si>
  <si>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</si>
  <si>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</si>
  <si>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</si>
  <si>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</si>
  <si>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</si>
  <si>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</si>
  <si>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</si>
  <si>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</si>
  <si>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</si>
  <si>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</si>
  <si>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</si>
  <si>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</si>
  <si>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</si>
  <si>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</si>
  <si>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</si>
  <si>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</si>
  <si>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</si>
  <si>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</si>
  <si>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</si>
  <si>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</si>
  <si>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</si>
  <si>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</si>
  <si>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</si>
  <si>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</si>
  <si>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</si>
  <si>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</si>
  <si>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</si>
  <si>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</si>
  <si>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</si>
  <si>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</si>
  <si>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</si>
  <si>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</si>
  <si>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</si>
  <si>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</si>
  <si>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</si>
  <si>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</si>
  <si>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</si>
  <si>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</si>
  <si>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</si>
  <si>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</si>
  <si>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</si>
  <si>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</si>
  <si>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</si>
  <si>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</si>
  <si>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</si>
  <si>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</si>
  <si>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</si>
  <si>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</si>
  <si>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</si>
  <si>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</si>
  <si>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</si>
  <si>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</si>
  <si>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</si>
  <si>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</si>
  <si>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</si>
  <si>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</si>
  <si>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</si>
  <si>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</si>
  <si>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</si>
  <si>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</si>
  <si>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</si>
  <si>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</si>
  <si>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</si>
  <si>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</si>
  <si>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商务金融用地（商业类）</t>
  </si>
  <si>
    <t>六通</t>
  </si>
  <si>
    <t>高速路</t>
  </si>
  <si>
    <t>商业配套</t>
  </si>
  <si>
    <t>商业配套</t>
    <phoneticPr fontId="27" type="noConversion"/>
  </si>
  <si>
    <t>1、北京市通州区永顺镇0401街区46号地（西马庄收储）B4综合性商业金融服务业用地(住商办六级VI-通2)</t>
    <phoneticPr fontId="28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</si>
</sst>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center" vertical="center" wrapText="1"/>
    </xf>
    <xf numFmtId="10" fontId="75" fillId="9"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twoCellAnchor editAs="oneCell">
    <xdr:from>
      <xdr:col>11</xdr:col>
      <xdr:colOff>552450</xdr:colOff>
      <xdr:row>1</xdr:row>
      <xdr:rowOff>9525</xdr:rowOff>
    </xdr:from>
    <xdr:to>
      <xdr:col>12</xdr:col>
      <xdr:colOff>485775</xdr:colOff>
      <xdr:row>13</xdr:row>
      <xdr:rowOff>66675</xdr:rowOff>
    </xdr:to>
    <xdr:pic>
      <xdr:nvPicPr>
        <xdr:cNvPr id="12185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829550" y="190500"/>
          <a:ext cx="885825" cy="24955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a16="http://schemas.microsoft.com/office/drawing/2014/main" xmlns=""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a16="http://schemas.microsoft.com/office/drawing/2014/main" xmlns=""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36576</v>
      </c>
    </row>
    <row r="47" spans="1:2">
      <c r="A47" s="2592" t="s">
        <v>2702</v>
      </c>
      <c r="B47" s="2593">
        <f ca="1">'预评函-2'!Q5</f>
        <v>6531</v>
      </c>
    </row>
    <row r="48" spans="1:2">
      <c r="A48" s="2592" t="s">
        <v>2703</v>
      </c>
      <c r="B48" s="2593">
        <f ca="1">'预评函-2'!R5</f>
        <v>20119</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47" t="str">
        <f>IF(B10="北京市","北京市",C10)&amp;F10&amp;B16&amp;"国有建设用地使用权"&amp;B9&amp;"预评估"</f>
        <v>北京市国有建设用地使用权预评估</v>
      </c>
      <c r="C1" s="3448"/>
      <c r="D1" s="3448"/>
      <c r="E1" s="3448"/>
      <c r="F1" s="3448"/>
      <c r="G1" s="3448"/>
      <c r="H1" s="3448"/>
      <c r="I1" s="3449"/>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53"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54"/>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50"/>
      <c r="C12" s="3451"/>
      <c r="D12" s="3452"/>
      <c r="E12" s="1618" t="s">
        <v>2047</v>
      </c>
      <c r="F12" s="3468" t="s">
        <v>2866</v>
      </c>
      <c r="G12" s="3469"/>
      <c r="H12" s="3469"/>
      <c r="I12" s="3470"/>
      <c r="J12" s="3071"/>
      <c r="K12" s="3054"/>
      <c r="L12" s="3050"/>
      <c r="M12" s="3050"/>
      <c r="N12" s="3051"/>
      <c r="O12" s="3052"/>
      <c r="P12" s="3051"/>
      <c r="Q12" s="3051"/>
      <c r="R12" s="3051"/>
      <c r="S12" s="3051"/>
      <c r="T12" s="3051"/>
      <c r="U12" s="3051"/>
    </row>
    <row r="13" spans="1:21">
      <c r="A13" s="1609" t="s">
        <v>2045</v>
      </c>
      <c r="B13" s="3450"/>
      <c r="C13" s="3451"/>
      <c r="D13" s="3452"/>
      <c r="E13" s="1618" t="s">
        <v>2047</v>
      </c>
      <c r="F13" s="3468" t="s">
        <v>2867</v>
      </c>
      <c r="G13" s="3469"/>
      <c r="H13" s="3469"/>
      <c r="I13" s="3470"/>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65"/>
      <c r="E20" s="3466"/>
      <c r="F20" s="3466"/>
      <c r="G20" s="3466"/>
      <c r="H20" s="3466"/>
      <c r="I20" s="3467"/>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55" t="s">
        <v>1984</v>
      </c>
      <c r="F21" s="3456"/>
      <c r="G21" s="3456"/>
      <c r="H21" s="3456"/>
      <c r="I21" s="3457"/>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55" t="s">
        <v>2868</v>
      </c>
      <c r="F22" s="3456"/>
      <c r="G22" s="3456"/>
      <c r="H22" s="3456"/>
      <c r="I22" s="3457"/>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58" t="s">
        <v>1952</v>
      </c>
      <c r="C24" s="3459"/>
      <c r="D24" s="3460" t="s">
        <v>1953</v>
      </c>
      <c r="E24" s="3461"/>
      <c r="F24" s="1626" t="s">
        <v>1954</v>
      </c>
      <c r="G24" s="3071"/>
      <c r="H24" s="3071"/>
      <c r="I24" s="3075"/>
      <c r="J24" s="3071"/>
      <c r="K24" s="3446"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46"/>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46"/>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32" t="s">
        <v>1987</v>
      </c>
      <c r="B31" s="1678" t="s">
        <v>1988</v>
      </c>
      <c r="C31" s="3471"/>
      <c r="D31" s="3472"/>
      <c r="E31" s="3071"/>
      <c r="F31" s="3071"/>
      <c r="G31" s="3071"/>
      <c r="H31" s="3071"/>
      <c r="I31" s="3075"/>
      <c r="J31" s="3071"/>
      <c r="K31" s="3057"/>
      <c r="L31" s="3051"/>
      <c r="M31" s="3051"/>
      <c r="N31" s="3051"/>
      <c r="O31" s="3051"/>
      <c r="P31" s="3051"/>
      <c r="Q31" s="3051"/>
      <c r="R31" s="3051"/>
      <c r="S31" s="3051"/>
      <c r="T31" s="3051"/>
      <c r="U31" s="3051"/>
    </row>
    <row r="32" spans="1:21">
      <c r="A32" s="3432"/>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32"/>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33"/>
      <c r="B34" s="1586" t="s">
        <v>1991</v>
      </c>
      <c r="C34" s="3434"/>
      <c r="D34" s="3435"/>
      <c r="E34" s="3071"/>
      <c r="F34" s="3071"/>
      <c r="G34" s="3071"/>
      <c r="H34" s="3071"/>
      <c r="I34" s="3075"/>
      <c r="J34" s="3071"/>
      <c r="K34" s="3057"/>
      <c r="L34" s="3051"/>
      <c r="M34" s="3051"/>
      <c r="N34" s="3051"/>
      <c r="O34" s="3051"/>
      <c r="P34" s="3051"/>
      <c r="Q34" s="3051"/>
      <c r="R34" s="3051"/>
      <c r="S34" s="3051"/>
      <c r="T34" s="3051"/>
      <c r="U34" s="3051"/>
    </row>
    <row r="35" spans="1:28">
      <c r="A35" s="3436" t="s">
        <v>837</v>
      </c>
      <c r="B35" s="1640"/>
      <c r="C35" s="1687" t="str">
        <f>IF(B35="场地平整","——","具体情况：")</f>
        <v>具体情况：</v>
      </c>
      <c r="D35" s="3438"/>
      <c r="E35" s="3439"/>
      <c r="F35" s="3439"/>
      <c r="G35" s="3439"/>
      <c r="H35" s="3439"/>
      <c r="I35" s="3440"/>
      <c r="J35" s="3071"/>
      <c r="K35" s="3058"/>
      <c r="L35" s="3050"/>
      <c r="M35" s="3050"/>
      <c r="N35" s="3051"/>
      <c r="O35" s="3052"/>
      <c r="P35" s="3051"/>
      <c r="Q35" s="3051"/>
      <c r="R35" s="3051"/>
      <c r="S35" s="3051"/>
      <c r="T35" s="3051"/>
      <c r="U35" s="3051"/>
    </row>
    <row r="36" spans="1:28">
      <c r="A36" s="3432"/>
      <c r="B36" s="3441" t="s">
        <v>2040</v>
      </c>
      <c r="C36" s="3442"/>
      <c r="D36" s="1703"/>
      <c r="E36" s="3443"/>
      <c r="F36" s="3443"/>
      <c r="G36" s="1609" t="str">
        <f>IF(B35="场地未平整","估价结果处理","")</f>
        <v/>
      </c>
      <c r="H36" s="3444"/>
      <c r="I36" s="3444"/>
      <c r="J36" s="3071"/>
      <c r="K36" s="3058"/>
      <c r="L36" s="3050"/>
      <c r="M36" s="3050"/>
      <c r="N36" s="3051"/>
      <c r="O36" s="3052"/>
      <c r="P36" s="3051"/>
      <c r="Q36" s="3051"/>
      <c r="R36" s="3051"/>
      <c r="S36" s="3051"/>
      <c r="T36" s="3051"/>
      <c r="U36" s="3051"/>
    </row>
    <row r="37" spans="1:28" ht="28.5">
      <c r="A37" s="3432"/>
      <c r="B37" s="3462"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32"/>
      <c r="B38" s="3463"/>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33"/>
      <c r="B39" s="3464"/>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45" t="s">
        <v>1971</v>
      </c>
      <c r="T40" s="1649" t="str">
        <f>NUMBERSTRING(7-K40,1)&amp;"通"</f>
        <v>七通</v>
      </c>
      <c r="U40" s="3051"/>
    </row>
    <row r="41" spans="1:28">
      <c r="A41" s="1588"/>
      <c r="B41" s="3437" t="s">
        <v>1709</v>
      </c>
      <c r="C41" s="3437"/>
      <c r="D41" s="3437"/>
      <c r="E41" s="3437"/>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45"/>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3" t="s">
        <v>0</v>
      </c>
      <c r="B1" s="3473" t="s">
        <v>4</v>
      </c>
      <c r="C1" s="3473" t="s">
        <v>5</v>
      </c>
      <c r="D1" s="3474" t="s">
        <v>40</v>
      </c>
      <c r="E1" s="3474" t="s">
        <v>41</v>
      </c>
      <c r="F1" s="3474"/>
      <c r="G1" s="3474"/>
      <c r="H1" s="3474"/>
      <c r="I1" s="3474"/>
      <c r="J1" s="3474"/>
      <c r="K1" s="3474"/>
      <c r="L1" s="3474"/>
      <c r="M1" s="3474"/>
    </row>
    <row r="2" spans="1:13" ht="27" customHeight="1">
      <c r="A2" s="3473"/>
      <c r="B2" s="3473"/>
      <c r="C2" s="3473"/>
      <c r="D2" s="3474"/>
      <c r="E2" s="3474" t="s">
        <v>24</v>
      </c>
      <c r="F2" s="3474" t="s">
        <v>25</v>
      </c>
      <c r="G2" s="3474"/>
      <c r="H2" s="3474"/>
      <c r="I2" s="3474"/>
      <c r="J2" s="3474" t="s">
        <v>26</v>
      </c>
      <c r="K2" s="3474"/>
      <c r="L2" s="3474"/>
      <c r="M2" s="3474"/>
    </row>
    <row r="3" spans="1:13" ht="28.5">
      <c r="A3" s="3473"/>
      <c r="B3" s="3473"/>
      <c r="C3" s="3473"/>
      <c r="D3" s="3474"/>
      <c r="E3" s="34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4" t="s">
        <v>42</v>
      </c>
      <c r="B9" s="3474"/>
      <c r="C9" s="34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4" t="s">
        <v>201</v>
      </c>
      <c r="B2" s="3484"/>
      <c r="C2" s="3484"/>
      <c r="D2" s="1886" t="s">
        <v>202</v>
      </c>
      <c r="E2" s="105" t="s">
        <v>203</v>
      </c>
      <c r="F2" s="3080"/>
      <c r="G2" s="1179"/>
      <c r="H2" s="1180"/>
      <c r="I2" s="1181" t="s">
        <v>847</v>
      </c>
      <c r="J2" s="3080"/>
      <c r="K2" s="3080"/>
      <c r="L2" s="3080"/>
      <c r="M2" s="3080"/>
      <c r="N2" s="3080"/>
      <c r="O2" s="3080"/>
      <c r="P2" s="3080"/>
    </row>
    <row r="3" spans="1:16" ht="15.75" thickBot="1">
      <c r="A3" s="3485" t="s">
        <v>204</v>
      </c>
      <c r="B3" s="3485"/>
      <c r="C3" s="3485"/>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6"/>
      <c r="B4" s="3487"/>
      <c r="C4" s="3488"/>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9" t="s">
        <v>228</v>
      </c>
      <c r="C5" s="3489"/>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9" t="s">
        <v>206</v>
      </c>
      <c r="C6" s="3489"/>
      <c r="D6" s="110">
        <f>ROUND($D$3*E6/$E$3,2)</f>
        <v>5500.65</v>
      </c>
      <c r="E6" s="111">
        <f>E3-E5</f>
        <v>30803.628000000001</v>
      </c>
      <c r="F6" s="3080"/>
      <c r="G6" s="1182"/>
      <c r="H6" s="271" t="s">
        <v>850</v>
      </c>
      <c r="I6" s="1887">
        <f>ROUND(F31/D31,2)</f>
        <v>5.6</v>
      </c>
      <c r="J6" s="3080"/>
      <c r="K6" s="3080"/>
      <c r="L6" s="3080"/>
      <c r="M6" s="3080"/>
      <c r="N6" s="3080"/>
      <c r="O6" s="3080"/>
      <c r="P6" s="3080"/>
    </row>
    <row r="7" spans="1:16" ht="15">
      <c r="A7" s="3481"/>
      <c r="B7" s="3482"/>
      <c r="C7" s="3483"/>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5" t="s">
        <v>2545</v>
      </c>
      <c r="L16" s="3476"/>
      <c r="M16" s="3476"/>
      <c r="N16" s="3476"/>
      <c r="O16" s="3476"/>
      <c r="P16" s="3477"/>
    </row>
    <row r="17" spans="1:19" ht="15">
      <c r="A17" s="120" t="s">
        <v>214</v>
      </c>
      <c r="B17" s="121" t="s">
        <v>215</v>
      </c>
      <c r="C17" s="2175" t="s">
        <v>2298</v>
      </c>
      <c r="D17" s="107" t="s">
        <v>202</v>
      </c>
      <c r="E17" s="123" t="s">
        <v>203</v>
      </c>
      <c r="F17" s="124"/>
      <c r="G17" s="1317"/>
      <c r="H17" s="956" t="s">
        <v>216</v>
      </c>
      <c r="I17" s="957" t="s">
        <v>2297</v>
      </c>
      <c r="J17" s="1895"/>
      <c r="K17" s="3478" t="s">
        <v>2546</v>
      </c>
      <c r="L17" s="3479"/>
      <c r="M17" s="3480"/>
      <c r="N17" s="3478" t="s">
        <v>2547</v>
      </c>
      <c r="O17" s="3479"/>
      <c r="P17" s="3480"/>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U6" activePane="bottomRight" state="frozen"/>
      <selection pane="topRight" activeCell="D1" sqref="D1"/>
      <selection pane="bottomLeft" activeCell="A4" sqref="A4"/>
      <selection pane="bottomRight" activeCell="AL9" sqref="AL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5.4</v>
      </c>
      <c r="V7" s="178">
        <v>0</v>
      </c>
      <c r="W7" s="3393">
        <v>0.05</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0.02</v>
      </c>
      <c r="AL7" s="3391">
        <v>2E-3</v>
      </c>
      <c r="AM7" s="3392">
        <v>0.02</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0.05</v>
      </c>
      <c r="X8" s="2198"/>
      <c r="Y8" s="179">
        <v>1</v>
      </c>
      <c r="Z8" s="180"/>
      <c r="AA8" s="173"/>
      <c r="AB8" s="173"/>
      <c r="AC8" s="2201"/>
      <c r="AD8" s="181"/>
      <c r="AE8" s="958">
        <f t="shared" ca="1" si="6"/>
        <v>50</v>
      </c>
      <c r="AF8" s="138"/>
      <c r="AG8" s="1194">
        <f t="shared" si="7"/>
        <v>0</v>
      </c>
      <c r="AH8" s="138"/>
      <c r="AI8" s="184">
        <v>365</v>
      </c>
      <c r="AJ8" s="185"/>
      <c r="AK8" s="3390">
        <v>4.0000000000000001E-3</v>
      </c>
      <c r="AL8" s="3391">
        <v>5.0000000000000001E-4</v>
      </c>
      <c r="AM8" s="3392">
        <v>5.0000000000000001E-3</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8.0000000000000002E-3</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8.0000000000000002E-3</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90" t="s">
        <v>1651</v>
      </c>
      <c r="B1" s="3491"/>
      <c r="C1" s="3491"/>
      <c r="D1" s="3491"/>
      <c r="E1" s="3491"/>
      <c r="F1" s="3491"/>
      <c r="G1" s="3491"/>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3165</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3166</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3161</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3164</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3163</v>
      </c>
      <c r="D8" s="3133"/>
      <c r="E8" s="3133"/>
      <c r="F8" s="3137"/>
      <c r="G8" s="3137"/>
      <c r="H8" s="3121"/>
      <c r="I8" s="3121"/>
      <c r="J8" s="3121"/>
      <c r="K8" s="3121"/>
      <c r="L8" s="3121"/>
      <c r="M8" s="3121"/>
      <c r="N8" s="3121"/>
      <c r="O8" s="3121"/>
      <c r="P8" s="3121"/>
      <c r="Q8" s="3121"/>
      <c r="R8" s="3121"/>
    </row>
    <row r="9" spans="1:18" ht="81">
      <c r="A9" s="3126"/>
      <c r="B9" s="3129" t="s">
        <v>1644</v>
      </c>
      <c r="C9" s="3371" t="s">
        <v>3162</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20119</v>
      </c>
      <c r="C5" s="3181">
        <f ca="1">ROUND(B5*10000/$B$1,0)</f>
        <v>6531</v>
      </c>
      <c r="D5" s="3181">
        <f ca="1">ROUND(B5*10000/$B$2,0)</f>
        <v>36576</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20119</v>
      </c>
      <c r="E14" s="3187">
        <f ca="1">ROUND(D14*10000/B14,0)</f>
        <v>6531</v>
      </c>
      <c r="F14" s="3187">
        <f ca="1">ROUND(D14*10000/C14,0)</f>
        <v>36576</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92" t="s">
        <v>3073</v>
      </c>
      <c r="B1" s="3492"/>
      <c r="C1" s="3492"/>
      <c r="D1" s="3492"/>
    </row>
    <row r="2" spans="1:4" ht="28.5">
      <c r="A2" s="3329"/>
      <c r="B2" s="3329" t="s">
        <v>3041</v>
      </c>
      <c r="C2" s="3329" t="s">
        <v>3042</v>
      </c>
      <c r="D2" s="3329" t="s">
        <v>3043</v>
      </c>
    </row>
    <row r="3" spans="1:4" ht="39" customHeight="1">
      <c r="A3" s="3329" t="s">
        <v>3044</v>
      </c>
      <c r="B3" s="3329">
        <f ca="1">土储要求测算表!J11</f>
        <v>14262</v>
      </c>
      <c r="C3" s="3329" t="s">
        <v>3045</v>
      </c>
      <c r="D3" s="3329" t="s">
        <v>3045</v>
      </c>
    </row>
    <row r="4" spans="1:4" ht="39" customHeight="1">
      <c r="A4" s="3329" t="s">
        <v>3046</v>
      </c>
      <c r="B4" s="3329">
        <f ca="1">土储要求测算表!J12</f>
        <v>13018</v>
      </c>
      <c r="C4" s="3329">
        <f>土储要求测算表!H9</f>
        <v>15401.814</v>
      </c>
      <c r="D4" s="3329">
        <f ca="1">ROUND(B4*C4/10000,2)</f>
        <v>20050.080000000002</v>
      </c>
    </row>
    <row r="5" spans="1:4" ht="14.25">
      <c r="A5" s="3329" t="s">
        <v>3047</v>
      </c>
      <c r="B5" s="3329" t="s">
        <v>3048</v>
      </c>
      <c r="C5" s="3329">
        <f>C4</f>
        <v>15401.814</v>
      </c>
      <c r="D5" s="3330">
        <f ca="1">D4</f>
        <v>20050.080000000002</v>
      </c>
    </row>
    <row r="6" spans="1:4" ht="14.25">
      <c r="A6" s="3331"/>
      <c r="B6" s="3331"/>
      <c r="C6" s="3331"/>
      <c r="D6" s="3331"/>
    </row>
    <row r="7" spans="1:4" ht="28.5">
      <c r="A7" s="3329"/>
      <c r="B7" s="3329" t="s">
        <v>3049</v>
      </c>
      <c r="C7" s="3329" t="s">
        <v>3050</v>
      </c>
      <c r="D7" s="3329" t="s">
        <v>3043</v>
      </c>
    </row>
    <row r="8" spans="1:4" ht="28.5">
      <c r="A8" s="3329" t="s">
        <v>3052</v>
      </c>
      <c r="B8" s="3329">
        <f ca="1">ROUND(B3*0.25,0)</f>
        <v>3566</v>
      </c>
      <c r="C8" s="3329" t="str">
        <f>C3</f>
        <v>——</v>
      </c>
      <c r="D8" s="3329" t="str">
        <f>D3</f>
        <v>——</v>
      </c>
    </row>
    <row r="9" spans="1:4" ht="28.5">
      <c r="A9" s="3329" t="s">
        <v>3053</v>
      </c>
      <c r="B9" s="3329">
        <f ca="1">ROUND(B4*0.25,0)</f>
        <v>3255</v>
      </c>
      <c r="C9" s="3329">
        <f>C4</f>
        <v>15401.814</v>
      </c>
      <c r="D9" s="3329">
        <f ca="1">ROUND(B9*C9/10000,2)</f>
        <v>5013.29</v>
      </c>
    </row>
    <row r="10" spans="1:4" ht="28.5">
      <c r="A10" s="3329" t="s">
        <v>3051</v>
      </c>
      <c r="B10" s="3329" t="s">
        <v>3048</v>
      </c>
      <c r="C10" s="3329">
        <f>C9</f>
        <v>15401.814</v>
      </c>
      <c r="D10" s="3330">
        <f ca="1">D9</f>
        <v>5013.29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
  <sheetViews>
    <sheetView tabSelected="1" workbookViewId="0">
      <selection activeCell="G11" sqref="G11"/>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3" t="s">
        <v>3176</v>
      </c>
      <c r="B1" s="3493"/>
      <c r="C1" s="3493"/>
      <c r="D1" s="3493"/>
      <c r="E1" s="3493"/>
      <c r="F1" s="3493"/>
      <c r="G1" s="3493"/>
      <c r="H1" s="3493"/>
      <c r="I1" s="3494"/>
      <c r="J1" s="3493"/>
      <c r="K1" s="3494"/>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5" t="s">
        <v>3032</v>
      </c>
      <c r="B5" s="3495"/>
      <c r="C5" s="3495"/>
      <c r="D5" s="3495"/>
      <c r="E5" s="3495"/>
      <c r="F5" s="3495"/>
      <c r="G5" s="3495"/>
      <c r="H5" s="3495"/>
      <c r="I5" s="3495"/>
      <c r="J5" s="3495" t="s">
        <v>3008</v>
      </c>
      <c r="K5" s="3495"/>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29271</v>
      </c>
      <c r="C8" s="3299">
        <v>0</v>
      </c>
      <c r="D8" s="3298">
        <v>0</v>
      </c>
      <c r="E8" s="3298">
        <v>0</v>
      </c>
      <c r="F8" s="3298">
        <v>0</v>
      </c>
      <c r="G8" s="3298">
        <v>0</v>
      </c>
      <c r="H8" s="3299">
        <v>0</v>
      </c>
      <c r="I8" s="3301">
        <f t="shared" ref="I8:I9" ca="1" si="2">B8</f>
        <v>29271</v>
      </c>
      <c r="J8" s="3305">
        <f ca="1">剩余法商业!C37</f>
        <v>14339</v>
      </c>
      <c r="K8" s="3303">
        <f t="shared" ca="1" si="1"/>
        <v>3584.75</v>
      </c>
    </row>
    <row r="9" spans="1:16" s="3281" customFormat="1" ht="14.25">
      <c r="A9" s="3283" t="s">
        <v>3020</v>
      </c>
      <c r="B9" s="3298">
        <f ca="1">剩余法办公!C8</f>
        <v>26331</v>
      </c>
      <c r="C9" s="3306">
        <f>H9</f>
        <v>15401.814</v>
      </c>
      <c r="D9" s="3300">
        <v>0</v>
      </c>
      <c r="E9" s="3306">
        <v>0</v>
      </c>
      <c r="F9" s="3306">
        <v>0</v>
      </c>
      <c r="G9" s="3306">
        <v>0</v>
      </c>
      <c r="H9" s="3306">
        <f>'数据-汇总表'!F20</f>
        <v>15401.814</v>
      </c>
      <c r="I9" s="3301">
        <f t="shared" ca="1" si="2"/>
        <v>26331</v>
      </c>
      <c r="J9" s="3305">
        <f ca="1">剩余法办公!C37</f>
        <v>13130</v>
      </c>
      <c r="K9" s="3303">
        <f t="shared" ca="1" si="1"/>
        <v>3282.5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0.5</v>
      </c>
      <c r="D11" s="3310">
        <f ca="1">J8</f>
        <v>14339</v>
      </c>
      <c r="E11" s="3311">
        <f t="shared" ref="E11:E12" si="3">1-C11</f>
        <v>0.5</v>
      </c>
      <c r="F11" s="3300"/>
      <c r="G11" s="3311"/>
      <c r="H11" s="3306">
        <v>0</v>
      </c>
      <c r="I11" s="3312">
        <v>0</v>
      </c>
      <c r="J11" s="3305">
        <f ca="1">ROUND(B11*C11+D11*E11,0)</f>
        <v>14262</v>
      </c>
      <c r="K11" s="3313">
        <f ca="1">ROUND(J11*0.25,0)</f>
        <v>3566</v>
      </c>
      <c r="L11" s="3314"/>
      <c r="M11" s="3314">
        <v>12385</v>
      </c>
      <c r="N11" s="3314"/>
      <c r="O11" s="3314"/>
    </row>
    <row r="12" spans="1:16" s="3281" customFormat="1" ht="14.25">
      <c r="A12" s="3283" t="s">
        <v>1665</v>
      </c>
      <c r="B12" s="3309">
        <f ca="1">J4</f>
        <v>12906</v>
      </c>
      <c r="C12" s="3394">
        <f>C11</f>
        <v>0.5</v>
      </c>
      <c r="D12" s="3310">
        <f ca="1">J9</f>
        <v>13130</v>
      </c>
      <c r="E12" s="3311">
        <f t="shared" si="3"/>
        <v>0.5</v>
      </c>
      <c r="F12" s="3300"/>
      <c r="G12" s="3311"/>
      <c r="H12" s="3306">
        <f>H9</f>
        <v>15401.814</v>
      </c>
      <c r="I12" s="3312">
        <f ca="1">ROUND(J12*H12/10000,2)</f>
        <v>20050.080000000002</v>
      </c>
      <c r="J12" s="3305">
        <f ca="1">ROUND(B12*C12+D12*E12,0)</f>
        <v>13018</v>
      </c>
      <c r="K12" s="3313">
        <f ca="1">ROUND(J12*0.25,0)</f>
        <v>3255</v>
      </c>
      <c r="L12" s="3377">
        <f ca="1">K12*H12/10000</f>
        <v>5013.2904570000001</v>
      </c>
      <c r="M12" s="3377">
        <v>11192</v>
      </c>
      <c r="N12" s="3377"/>
      <c r="P12" s="3315"/>
    </row>
    <row r="13" spans="1:16" s="3281" customFormat="1" ht="14.25">
      <c r="A13" s="3316" t="s">
        <v>3026</v>
      </c>
      <c r="B13" s="3317"/>
      <c r="C13" s="3317"/>
      <c r="D13" s="3317"/>
      <c r="E13" s="3317"/>
      <c r="F13" s="3317"/>
      <c r="G13" s="3317"/>
      <c r="H13" s="3317"/>
      <c r="I13" s="3318">
        <f ca="1">I12</f>
        <v>20050.080000000002</v>
      </c>
      <c r="J13" s="3317"/>
      <c r="K13" s="3319"/>
    </row>
    <row r="14" spans="1:16" s="3281" customFormat="1" ht="14.25">
      <c r="A14" s="3285" t="s">
        <v>3029</v>
      </c>
      <c r="B14" s="3320"/>
      <c r="C14" s="3320"/>
      <c r="D14" s="3320"/>
      <c r="E14" s="3320"/>
      <c r="F14" s="3320"/>
      <c r="G14" s="3320"/>
      <c r="H14" s="3320"/>
      <c r="I14" s="3312">
        <f ca="1">ROUND(K12*H12/10000,2)</f>
        <v>5013.29</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13312.61</v>
      </c>
      <c r="J16" s="3320"/>
      <c r="K16" s="3321"/>
    </row>
    <row r="17" spans="9:11" s="3323" customFormat="1">
      <c r="I17" s="3324"/>
      <c r="J17" s="3324"/>
      <c r="K17" s="3325"/>
    </row>
    <row r="19" spans="9:11">
      <c r="I19" s="3327">
        <v>199429</v>
      </c>
    </row>
    <row r="20" spans="9:11">
      <c r="I20" s="3376">
        <f ca="1">L12</f>
        <v>5013.2904570000001</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40" t="str">
        <f>项目基本情况!K2</f>
        <v>北京市国有建设用地使用权</v>
      </c>
      <c r="B2" s="3541"/>
      <c r="C2" s="3542"/>
      <c r="D2" s="3542"/>
      <c r="E2" s="3542"/>
      <c r="F2" s="3542"/>
      <c r="G2" s="3541"/>
      <c r="H2" s="3541"/>
      <c r="I2" s="3543"/>
      <c r="J2" s="1910"/>
      <c r="K2" s="1909"/>
      <c r="L2" s="1909"/>
      <c r="M2" s="1909"/>
      <c r="N2" s="1909"/>
      <c r="O2" s="1909"/>
      <c r="P2" s="1909"/>
      <c r="Q2" s="1909"/>
      <c r="R2" s="1909"/>
      <c r="S2" s="1909"/>
      <c r="T2" s="1909"/>
      <c r="U2" s="1909"/>
      <c r="V2" s="1909"/>
    </row>
    <row r="3" spans="1:22" ht="14.25">
      <c r="A3" s="3533" t="s">
        <v>296</v>
      </c>
      <c r="B3" s="3534"/>
      <c r="C3" s="3534"/>
      <c r="D3" s="3534"/>
      <c r="E3" s="3534"/>
      <c r="F3" s="3534"/>
      <c r="G3" s="3534"/>
      <c r="H3" s="3534"/>
      <c r="I3" s="3534"/>
      <c r="J3" s="1910"/>
      <c r="K3" s="1909"/>
      <c r="L3" s="1909"/>
      <c r="M3" s="1909"/>
      <c r="N3" s="1909"/>
      <c r="O3" s="1909"/>
      <c r="P3" s="1909"/>
      <c r="Q3" s="1909"/>
      <c r="R3" s="1909"/>
      <c r="S3" s="1909"/>
      <c r="T3" s="1909"/>
      <c r="U3" s="1909"/>
      <c r="V3" s="1909"/>
    </row>
    <row r="4" spans="1:22" ht="14.25">
      <c r="A4" s="254" t="s">
        <v>297</v>
      </c>
      <c r="B4" s="255" t="s">
        <v>298</v>
      </c>
      <c r="C4" s="256" t="s">
        <v>3159</v>
      </c>
      <c r="D4" s="256" t="s">
        <v>3160</v>
      </c>
      <c r="E4" s="3499" t="s">
        <v>299</v>
      </c>
      <c r="F4" s="3500"/>
      <c r="G4" s="3500"/>
      <c r="H4" s="3500"/>
      <c r="I4" s="3535"/>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498" t="s">
        <v>300</v>
      </c>
      <c r="B5" s="3527">
        <v>25</v>
      </c>
      <c r="C5" s="3525">
        <v>3</v>
      </c>
      <c r="D5" s="3529">
        <v>7</v>
      </c>
      <c r="E5" s="257" t="s">
        <v>301</v>
      </c>
      <c r="F5" s="258"/>
      <c r="G5" s="258"/>
      <c r="H5" s="258"/>
      <c r="I5" s="259"/>
      <c r="J5" s="1910"/>
      <c r="K5" s="1909"/>
      <c r="L5" s="1909"/>
      <c r="M5" s="1909"/>
      <c r="N5" s="1909"/>
      <c r="O5" s="1909"/>
      <c r="P5" s="1909"/>
      <c r="Q5" s="1909"/>
      <c r="R5" s="1909"/>
      <c r="S5" s="1909"/>
      <c r="T5" s="1909"/>
      <c r="U5" s="1909"/>
      <c r="V5" s="1909"/>
    </row>
    <row r="6" spans="1:22" ht="14.25">
      <c r="A6" s="3498"/>
      <c r="B6" s="3527"/>
      <c r="C6" s="3528"/>
      <c r="D6" s="3529"/>
      <c r="E6" s="257" t="s">
        <v>302</v>
      </c>
      <c r="F6" s="258"/>
      <c r="G6" s="258"/>
      <c r="H6" s="258"/>
      <c r="I6" s="259"/>
      <c r="J6" s="1910"/>
      <c r="K6" s="1909"/>
      <c r="L6" s="1909"/>
      <c r="M6" s="1909"/>
      <c r="N6" s="1909"/>
      <c r="O6" s="1909"/>
      <c r="P6" s="1909"/>
      <c r="Q6" s="1909"/>
      <c r="R6" s="1909"/>
      <c r="S6" s="1909"/>
      <c r="T6" s="1909"/>
      <c r="U6" s="1909"/>
      <c r="V6" s="1909"/>
    </row>
    <row r="7" spans="1:22" ht="14.25">
      <c r="A7" s="3498"/>
      <c r="B7" s="3527"/>
      <c r="C7" s="3526"/>
      <c r="D7" s="3529"/>
      <c r="E7" s="257" t="s">
        <v>303</v>
      </c>
      <c r="F7" s="258"/>
      <c r="G7" s="258"/>
      <c r="H7" s="258"/>
      <c r="I7" s="259"/>
      <c r="J7" s="1910"/>
      <c r="K7" s="1909"/>
      <c r="L7" s="1909"/>
      <c r="M7" s="1909"/>
      <c r="N7" s="1909"/>
      <c r="O7" s="1909"/>
      <c r="P7" s="1909"/>
      <c r="Q7" s="1909"/>
      <c r="R7" s="1909"/>
      <c r="S7" s="1909"/>
      <c r="T7" s="1909"/>
      <c r="U7" s="1909"/>
      <c r="V7" s="1909"/>
    </row>
    <row r="8" spans="1:22" ht="14.25">
      <c r="A8" s="3498" t="s">
        <v>304</v>
      </c>
      <c r="B8" s="3527">
        <v>15</v>
      </c>
      <c r="C8" s="3525"/>
      <c r="D8" s="3529"/>
      <c r="E8" s="257" t="s">
        <v>305</v>
      </c>
      <c r="F8" s="258"/>
      <c r="G8" s="258"/>
      <c r="H8" s="258"/>
      <c r="I8" s="259"/>
      <c r="J8" s="1910"/>
      <c r="K8" s="1909"/>
      <c r="L8" s="1909"/>
      <c r="M8" s="1909"/>
      <c r="N8" s="1909"/>
      <c r="O8" s="1909"/>
      <c r="P8" s="1909"/>
      <c r="Q8" s="1909"/>
      <c r="R8" s="1909"/>
      <c r="S8" s="1909"/>
      <c r="T8" s="1909"/>
      <c r="U8" s="1909"/>
      <c r="V8" s="1909"/>
    </row>
    <row r="9" spans="1:22" ht="14.25">
      <c r="A9" s="3498"/>
      <c r="B9" s="3527"/>
      <c r="C9" s="3526"/>
      <c r="D9" s="3529"/>
      <c r="E9" s="257" t="s">
        <v>306</v>
      </c>
      <c r="F9" s="258"/>
      <c r="G9" s="258"/>
      <c r="H9" s="258"/>
      <c r="I9" s="259"/>
      <c r="J9" s="1910"/>
      <c r="K9" s="1909"/>
      <c r="L9" s="1909"/>
      <c r="M9" s="1909"/>
      <c r="N9" s="1909"/>
      <c r="O9" s="1909"/>
      <c r="P9" s="1909"/>
      <c r="Q9" s="1909"/>
      <c r="R9" s="1909"/>
      <c r="S9" s="1909"/>
      <c r="T9" s="1909"/>
      <c r="U9" s="1909"/>
      <c r="V9" s="1909"/>
    </row>
    <row r="10" spans="1:22" ht="14.25">
      <c r="A10" s="3498" t="s">
        <v>307</v>
      </c>
      <c r="B10" s="3527">
        <v>15</v>
      </c>
      <c r="C10" s="3525"/>
      <c r="D10" s="3529"/>
      <c r="E10" s="257" t="s">
        <v>308</v>
      </c>
      <c r="F10" s="258"/>
      <c r="G10" s="258"/>
      <c r="H10" s="258"/>
      <c r="I10" s="259"/>
      <c r="J10" s="1910"/>
      <c r="K10" s="1909"/>
      <c r="L10" s="1909"/>
      <c r="M10" s="1909"/>
      <c r="N10" s="1909"/>
      <c r="O10" s="1909"/>
      <c r="P10" s="1909"/>
      <c r="Q10" s="1909"/>
      <c r="R10" s="1909"/>
      <c r="S10" s="1909"/>
      <c r="T10" s="1909"/>
      <c r="U10" s="1909"/>
      <c r="V10" s="1909"/>
    </row>
    <row r="11" spans="1:22" ht="14.25">
      <c r="A11" s="3498"/>
      <c r="B11" s="3527"/>
      <c r="C11" s="3526"/>
      <c r="D11" s="3529"/>
      <c r="E11" s="257" t="s">
        <v>309</v>
      </c>
      <c r="F11" s="258"/>
      <c r="G11" s="258"/>
      <c r="H11" s="258"/>
      <c r="I11" s="259"/>
      <c r="J11" s="1910"/>
      <c r="K11" s="1909"/>
      <c r="L11" s="1909"/>
      <c r="M11" s="1909"/>
      <c r="N11" s="1909"/>
      <c r="O11" s="1909"/>
      <c r="P11" s="1909"/>
      <c r="Q11" s="1909"/>
      <c r="R11" s="1909"/>
      <c r="S11" s="1909"/>
      <c r="T11" s="1909"/>
      <c r="U11" s="1909"/>
      <c r="V11" s="1909"/>
    </row>
    <row r="12" spans="1:22" ht="14.25">
      <c r="A12" s="3498" t="s">
        <v>310</v>
      </c>
      <c r="B12" s="3527">
        <v>15</v>
      </c>
      <c r="C12" s="3525"/>
      <c r="D12" s="3529"/>
      <c r="E12" s="257" t="s">
        <v>311</v>
      </c>
      <c r="F12" s="258"/>
      <c r="G12" s="258"/>
      <c r="H12" s="258"/>
      <c r="I12" s="259"/>
      <c r="J12" s="1910"/>
      <c r="K12" s="1909"/>
      <c r="L12" s="1909"/>
      <c r="M12" s="1909"/>
      <c r="N12" s="1909"/>
      <c r="O12" s="1909"/>
      <c r="P12" s="1909"/>
      <c r="Q12" s="1909"/>
      <c r="R12" s="1909"/>
      <c r="S12" s="1909"/>
      <c r="T12" s="1909"/>
      <c r="U12" s="1909"/>
      <c r="V12" s="1909"/>
    </row>
    <row r="13" spans="1:22" ht="14.25">
      <c r="A13" s="3498"/>
      <c r="B13" s="3527"/>
      <c r="C13" s="3526"/>
      <c r="D13" s="3529"/>
      <c r="E13" s="257" t="s">
        <v>312</v>
      </c>
      <c r="F13" s="258"/>
      <c r="G13" s="258"/>
      <c r="H13" s="258"/>
      <c r="I13" s="259"/>
      <c r="J13" s="1910"/>
      <c r="K13" s="1909"/>
      <c r="L13" s="1909"/>
      <c r="M13" s="1909"/>
      <c r="N13" s="1909"/>
      <c r="O13" s="1909"/>
      <c r="P13" s="1909"/>
      <c r="Q13" s="1909"/>
      <c r="R13" s="1909"/>
      <c r="S13" s="1909"/>
      <c r="T13" s="1909"/>
      <c r="U13" s="1909"/>
      <c r="V13" s="1909"/>
    </row>
    <row r="14" spans="1:22" ht="14.25">
      <c r="A14" s="3498" t="s">
        <v>313</v>
      </c>
      <c r="B14" s="3527">
        <v>30</v>
      </c>
      <c r="C14" s="3525"/>
      <c r="D14" s="3529"/>
      <c r="E14" s="257" t="s">
        <v>314</v>
      </c>
      <c r="F14" s="258"/>
      <c r="G14" s="258"/>
      <c r="H14" s="258"/>
      <c r="I14" s="259"/>
      <c r="J14" s="1910"/>
      <c r="K14" s="1909"/>
      <c r="L14" s="1909"/>
      <c r="M14" s="1909"/>
      <c r="N14" s="1909"/>
      <c r="O14" s="1909"/>
      <c r="P14" s="1909"/>
      <c r="Q14" s="1909"/>
      <c r="R14" s="1909"/>
      <c r="S14" s="1909"/>
      <c r="T14" s="1909"/>
      <c r="U14" s="1909"/>
      <c r="V14" s="1909"/>
    </row>
    <row r="15" spans="1:22" ht="14.25">
      <c r="A15" s="3498"/>
      <c r="B15" s="3527"/>
      <c r="C15" s="3528"/>
      <c r="D15" s="3529"/>
      <c r="E15" s="257" t="s">
        <v>315</v>
      </c>
      <c r="F15" s="258"/>
      <c r="G15" s="258"/>
      <c r="H15" s="258"/>
      <c r="I15" s="259"/>
      <c r="J15" s="1910"/>
      <c r="K15" s="1909"/>
      <c r="L15" s="1909"/>
      <c r="M15" s="1909"/>
      <c r="N15" s="1909"/>
      <c r="O15" s="1909"/>
      <c r="P15" s="1909"/>
      <c r="Q15" s="1909"/>
      <c r="R15" s="1909"/>
      <c r="S15" s="1909"/>
      <c r="T15" s="1909"/>
      <c r="U15" s="1909"/>
      <c r="V15" s="1909"/>
    </row>
    <row r="16" spans="1:22" ht="14.25">
      <c r="A16" s="3498"/>
      <c r="B16" s="3527"/>
      <c r="C16" s="3526"/>
      <c r="D16" s="3529"/>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30" t="s">
        <v>2956</v>
      </c>
      <c r="F18" s="3531"/>
      <c r="G18" s="3531"/>
      <c r="H18" s="3531"/>
      <c r="I18" s="3531"/>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20222</v>
      </c>
      <c r="E19" s="264" t="s">
        <v>321</v>
      </c>
      <c r="F19" s="265" t="s">
        <v>320</v>
      </c>
      <c r="G19" s="268">
        <f ca="1">ROUND(C19*$C$18+D19*$D$18,0)</f>
        <v>20119</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13130</v>
      </c>
      <c r="E20" s="270"/>
      <c r="F20" s="271" t="s">
        <v>323</v>
      </c>
      <c r="G20" s="274">
        <f ca="1">ROUND(C20*$C$18+D20*$D$18,0)</f>
        <v>13063</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73526</v>
      </c>
      <c r="E21" s="270"/>
      <c r="F21" s="276" t="s">
        <v>325</v>
      </c>
      <c r="G21" s="278">
        <f ca="1">ROUND(C21*$C$18+D21*$D$18,0)</f>
        <v>62310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1.730556394003413E-2</v>
      </c>
      <c r="E22" s="280"/>
      <c r="F22" s="281"/>
      <c r="G22" s="282">
        <f ca="1">ROUND(G19/('数据-汇总表'!D3/666.67),0)</f>
        <v>2438</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04"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05"/>
      <c r="B25" s="1273" t="s">
        <v>329</v>
      </c>
      <c r="C25" s="286">
        <f>IF(B30=0,0,C30)</f>
        <v>0</v>
      </c>
      <c r="D25" s="287"/>
      <c r="E25" s="307"/>
      <c r="F25" s="307"/>
      <c r="G25" s="307"/>
      <c r="H25" s="307"/>
      <c r="I25" s="307"/>
      <c r="J25" s="1909"/>
      <c r="K25" s="1207" t="str">
        <f ca="1">项目基本情况!B16&amp;"国有建设用地使用权价格："&amp;O38&amp;"万元"</f>
        <v>国有建设用地使用权价格：20119万元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大写金额：人民币贰亿零壹佰壹拾玖万元整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单位面积地价：36576元/平方米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楼面地价：6531元/平方米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32" t="s">
        <v>2958</v>
      </c>
      <c r="B31" s="3532"/>
      <c r="C31" s="3532"/>
      <c r="D31" s="3532"/>
      <c r="E31" s="3532"/>
      <c r="F31" s="3532"/>
      <c r="G31" s="3532"/>
      <c r="H31" s="3532"/>
      <c r="I31" s="3532"/>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20119</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6531</v>
      </c>
      <c r="D33" s="1332" t="s">
        <v>1679</v>
      </c>
      <c r="E33" s="3504"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36576</v>
      </c>
      <c r="D34" s="1334" t="s">
        <v>1679</v>
      </c>
      <c r="E34" s="3548"/>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2438</v>
      </c>
      <c r="D35" s="1337" t="s">
        <v>1681</v>
      </c>
      <c r="E35" s="3549"/>
      <c r="F35" s="297" t="s">
        <v>340</v>
      </c>
      <c r="G35" s="968"/>
      <c r="H35" s="967" t="s">
        <v>341</v>
      </c>
      <c r="I35" s="307"/>
      <c r="J35" s="1909"/>
      <c r="K35" s="3522" t="s">
        <v>348</v>
      </c>
      <c r="L35" s="3522" t="s">
        <v>349</v>
      </c>
      <c r="M35" s="1216" t="s">
        <v>350</v>
      </c>
      <c r="N35" s="3522" t="s">
        <v>351</v>
      </c>
      <c r="O35" s="3522" t="s">
        <v>352</v>
      </c>
      <c r="P35" s="1909"/>
      <c r="V35" s="1909"/>
    </row>
    <row r="36" spans="1:26" ht="16.5" customHeight="1">
      <c r="A36" s="299" t="s">
        <v>342</v>
      </c>
      <c r="B36" s="300" t="s">
        <v>331</v>
      </c>
      <c r="C36" s="301" t="s">
        <v>343</v>
      </c>
      <c r="D36" s="301" t="s">
        <v>344</v>
      </c>
      <c r="E36" s="302" t="s">
        <v>345</v>
      </c>
      <c r="F36" s="307"/>
      <c r="G36" s="307"/>
      <c r="H36" s="307"/>
      <c r="I36" s="307"/>
      <c r="J36" s="1911"/>
      <c r="K36" s="3523"/>
      <c r="L36" s="3523"/>
      <c r="M36" s="1218" t="s">
        <v>353</v>
      </c>
      <c r="N36" s="3523"/>
      <c r="O36" s="3523"/>
      <c r="P36" s="1909"/>
      <c r="V36" s="1909"/>
    </row>
    <row r="37" spans="1:26" ht="16.5" customHeight="1" thickBot="1">
      <c r="A37" s="1212" t="s">
        <v>346</v>
      </c>
      <c r="B37" s="303"/>
      <c r="C37" s="290"/>
      <c r="D37" s="290"/>
      <c r="E37" s="291"/>
      <c r="F37" s="307"/>
      <c r="G37" s="307"/>
      <c r="H37" s="307"/>
      <c r="I37" s="307"/>
      <c r="J37" s="1911"/>
      <c r="K37" s="3524"/>
      <c r="L37" s="3524"/>
      <c r="M37" s="1219"/>
      <c r="N37" s="3524"/>
      <c r="O37" s="3524"/>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36576</v>
      </c>
      <c r="N38" s="1221">
        <f ca="1">C33</f>
        <v>6531</v>
      </c>
      <c r="O38" s="1222">
        <f ca="1">C32</f>
        <v>20119</v>
      </c>
      <c r="P38" s="1909"/>
      <c r="V38" s="1909"/>
    </row>
    <row r="39" spans="1:26" ht="16.5" customHeight="1" thickBot="1">
      <c r="A39" s="1217"/>
      <c r="B39" s="304"/>
      <c r="C39" s="305"/>
      <c r="D39" s="305"/>
      <c r="E39" s="306"/>
      <c r="F39" s="307"/>
      <c r="G39" s="307"/>
      <c r="H39" s="307"/>
      <c r="I39" s="307"/>
      <c r="J39" s="1911"/>
      <c r="K39" s="3562" t="str">
        <f>MID(A44,3,LEN(A44)-2)</f>
        <v/>
      </c>
      <c r="L39" s="3563"/>
      <c r="M39" s="3563"/>
      <c r="N39" s="3564"/>
      <c r="O39" s="1339" t="str">
        <f>C44</f>
        <v>——</v>
      </c>
      <c r="P39" s="1909"/>
      <c r="V39" s="1909"/>
    </row>
    <row r="40" spans="1:26" ht="19.5" thickBot="1">
      <c r="A40" s="103" t="s">
        <v>862</v>
      </c>
      <c r="B40" s="307"/>
      <c r="C40" s="307"/>
      <c r="D40" s="307"/>
      <c r="E40" s="307"/>
      <c r="F40" s="307"/>
      <c r="G40" s="307"/>
      <c r="H40" s="307"/>
      <c r="I40" s="307"/>
      <c r="J40" s="1911"/>
      <c r="K40" s="3562" t="str">
        <f t="shared" ref="K40:K41" si="0">MID(A45,3,LEN(A45)-2)</f>
        <v/>
      </c>
      <c r="L40" s="3563"/>
      <c r="M40" s="3563"/>
      <c r="N40" s="3564"/>
      <c r="O40" s="1339" t="str">
        <f>C45</f>
        <v>——</v>
      </c>
      <c r="P40" s="1909"/>
      <c r="V40" s="1909"/>
    </row>
    <row r="41" spans="1:26" ht="16.5" thickBot="1">
      <c r="A41" s="308" t="s">
        <v>354</v>
      </c>
      <c r="B41" s="309"/>
      <c r="C41" s="310" t="s">
        <v>355</v>
      </c>
      <c r="D41" s="311" t="s">
        <v>356</v>
      </c>
      <c r="E41" s="311" t="s">
        <v>357</v>
      </c>
      <c r="F41" s="312" t="s">
        <v>358</v>
      </c>
      <c r="G41" s="307"/>
      <c r="H41" s="307"/>
      <c r="I41" s="307"/>
      <c r="J41" s="1911"/>
      <c r="K41" s="3562" t="str">
        <f t="shared" si="0"/>
        <v/>
      </c>
      <c r="L41" s="3563"/>
      <c r="M41" s="3563"/>
      <c r="N41" s="3564"/>
      <c r="O41" s="1339" t="str">
        <f>C46</f>
        <v>——</v>
      </c>
      <c r="P41" s="1909"/>
      <c r="V41" s="1909"/>
    </row>
    <row r="42" spans="1:26" ht="29.25">
      <c r="A42" s="3506" t="s">
        <v>2053</v>
      </c>
      <c r="B42" s="3507"/>
      <c r="C42" s="260">
        <f ca="1">C32</f>
        <v>20119</v>
      </c>
      <c r="D42" s="313">
        <f ca="1">C33</f>
        <v>6531</v>
      </c>
      <c r="E42" s="313">
        <f ca="1">C34</f>
        <v>36576</v>
      </c>
      <c r="F42" s="314">
        <f ca="1">C35</f>
        <v>2438</v>
      </c>
      <c r="G42" s="307"/>
      <c r="H42" s="307"/>
      <c r="I42" s="315"/>
      <c r="J42" s="1911"/>
      <c r="K42" s="1223" t="s">
        <v>359</v>
      </c>
      <c r="L42" s="1928" t="s">
        <v>360</v>
      </c>
      <c r="M42" s="1224" t="s">
        <v>361</v>
      </c>
      <c r="N42" s="1929" t="s">
        <v>362</v>
      </c>
      <c r="O42" s="1930" t="s">
        <v>363</v>
      </c>
      <c r="P42" s="1909"/>
      <c r="V42" s="1909"/>
    </row>
    <row r="43" spans="1:26" ht="30">
      <c r="A43" s="3517" t="s">
        <v>2708</v>
      </c>
      <c r="B43" s="3518"/>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20119</v>
      </c>
      <c r="O43" s="1229">
        <f ca="1">IF(O42="最终结果/万元",C32,C33)</f>
        <v>20119</v>
      </c>
      <c r="P43" s="1909"/>
      <c r="V43" s="1909"/>
    </row>
    <row r="44" spans="1:26" ht="18.75" thickBot="1">
      <c r="A44" s="3506" t="str">
        <f>IF(OR(项目基本情况!E8="抵押价格",项目基本情况!E8="已注销及未注销"),"3.抵押价格","——")</f>
        <v>——</v>
      </c>
      <c r="B44" s="3507"/>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20222</v>
      </c>
      <c r="M44" s="1232">
        <f>D18</f>
        <v>0.7</v>
      </c>
      <c r="N44" s="1233"/>
      <c r="O44" s="1234"/>
      <c r="P44" s="1909"/>
      <c r="V44" s="1909"/>
    </row>
    <row r="45" spans="1:26" ht="15">
      <c r="A45" s="3512" t="str">
        <f>IF(项目基本情况!E8="已注销及未注销","4.抵押担保权已注销时的抵押价格",IF(项目基本情况!E8="已注销","3.抵押担保权已注销时的抵押价格","——"))</f>
        <v>——</v>
      </c>
      <c r="B45" s="3513"/>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08" t="str">
        <f>IF(项目基本情况!E9="抵押净值",IF(A45="——","4.抵押净值","5.抵押净值"),"——")</f>
        <v>——</v>
      </c>
      <c r="B46" s="3509"/>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56" t="s">
        <v>372</v>
      </c>
      <c r="B63" s="3557"/>
      <c r="C63" s="3558"/>
      <c r="D63" s="337">
        <f ca="1">ROUND(C42*F63,0)</f>
        <v>20119</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14" t="s">
        <v>376</v>
      </c>
      <c r="B64" s="3515"/>
      <c r="C64" s="3515"/>
      <c r="D64" s="3515"/>
      <c r="E64" s="3515"/>
      <c r="F64" s="3515"/>
      <c r="G64" s="3516"/>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10" t="s">
        <v>384</v>
      </c>
      <c r="B66" s="3511"/>
      <c r="C66" s="3511"/>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571" t="s">
        <v>383</v>
      </c>
      <c r="M66" s="3572"/>
      <c r="N66" s="2310"/>
      <c r="O66" s="2311"/>
      <c r="P66" s="2312"/>
      <c r="Q66" s="1909"/>
      <c r="R66" s="1909"/>
      <c r="S66" s="1909"/>
      <c r="T66" s="1909"/>
      <c r="U66" s="1909"/>
      <c r="V66" s="1909"/>
    </row>
    <row r="67" spans="1:22" ht="25.5" customHeight="1">
      <c r="A67" s="348" t="s">
        <v>387</v>
      </c>
      <c r="B67" s="3501" t="s">
        <v>388</v>
      </c>
      <c r="C67" s="3501"/>
      <c r="D67" s="349">
        <v>0</v>
      </c>
      <c r="E67" s="40" t="s">
        <v>389</v>
      </c>
      <c r="F67" s="61" t="s">
        <v>21</v>
      </c>
      <c r="G67" s="3559"/>
      <c r="H67" s="3004" t="s">
        <v>2959</v>
      </c>
      <c r="I67" s="3006"/>
      <c r="J67" s="1916"/>
      <c r="K67" s="1888">
        <v>2</v>
      </c>
      <c r="L67" s="3565" t="s">
        <v>386</v>
      </c>
      <c r="M67" s="3565"/>
      <c r="N67" s="1277">
        <f>'数据-取费表'!B2</f>
        <v>44424</v>
      </c>
      <c r="O67" s="1277"/>
      <c r="P67" s="1277"/>
      <c r="Q67" s="1909"/>
      <c r="R67" s="1909"/>
      <c r="S67" s="1909"/>
      <c r="T67" s="1909"/>
      <c r="U67" s="1909"/>
      <c r="V67" s="1909"/>
    </row>
    <row r="68" spans="1:22" ht="25.5" customHeight="1">
      <c r="A68" s="350"/>
      <c r="B68" s="3501" t="s">
        <v>391</v>
      </c>
      <c r="C68" s="3501"/>
      <c r="D68" s="351"/>
      <c r="E68" s="76"/>
      <c r="F68" s="352"/>
      <c r="G68" s="3560"/>
      <c r="H68" s="3005" t="s">
        <v>2960</v>
      </c>
      <c r="I68" s="3006"/>
      <c r="J68" s="1916"/>
      <c r="K68" s="1888">
        <v>3</v>
      </c>
      <c r="L68" s="3565" t="s">
        <v>390</v>
      </c>
      <c r="M68" s="3565"/>
      <c r="N68" s="1245">
        <f ca="1">C42</f>
        <v>20119</v>
      </c>
      <c r="O68" s="1245"/>
      <c r="P68" s="1245"/>
      <c r="Q68" s="1909"/>
      <c r="R68" s="1909"/>
      <c r="S68" s="1909"/>
      <c r="T68" s="1909"/>
      <c r="U68" s="1909"/>
      <c r="V68" s="1909"/>
    </row>
    <row r="69" spans="1:22" ht="23.45" customHeight="1">
      <c r="A69" s="353"/>
      <c r="B69" s="3501" t="s">
        <v>392</v>
      </c>
      <c r="C69" s="3501"/>
      <c r="D69" s="354"/>
      <c r="E69" s="72"/>
      <c r="F69" s="352"/>
      <c r="G69" s="3561"/>
      <c r="H69" s="3005" t="s">
        <v>2961</v>
      </c>
      <c r="I69" s="3006"/>
      <c r="J69" s="1916"/>
      <c r="K69" s="1246">
        <v>4</v>
      </c>
      <c r="L69" s="3575" t="s">
        <v>2860</v>
      </c>
      <c r="M69" s="3576"/>
      <c r="N69" s="1247" t="str">
        <f>C44</f>
        <v>——</v>
      </c>
      <c r="O69" s="1247"/>
      <c r="P69" s="1247"/>
      <c r="Q69" s="1909"/>
      <c r="R69" s="1909"/>
      <c r="S69" s="1909"/>
      <c r="T69" s="1909"/>
      <c r="U69" s="1909"/>
      <c r="V69" s="1909"/>
    </row>
    <row r="70" spans="1:22" ht="24" customHeight="1">
      <c r="A70" s="355" t="s">
        <v>393</v>
      </c>
      <c r="B70" s="3501" t="s">
        <v>394</v>
      </c>
      <c r="C70" s="3501"/>
      <c r="D70" s="354">
        <f ca="1">ROUND(D63*'数据-取费表'!B41/(1+'数据-取费表'!C42),0)</f>
        <v>1054</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502" t="s">
        <v>2990</v>
      </c>
      <c r="C71" s="3503"/>
      <c r="D71" s="354">
        <f ca="1">ROUND(D63*'数据-取费表'!B41/(1+'数据-取费表'!C42),0)</f>
        <v>1054</v>
      </c>
      <c r="E71" s="17" t="s">
        <v>395</v>
      </c>
      <c r="F71" s="356">
        <f>'数据-取费表'!B41</f>
        <v>5.5000000000000007E-2</v>
      </c>
      <c r="G71" s="357"/>
      <c r="H71" s="307"/>
      <c r="I71" s="1244"/>
      <c r="J71" s="1916"/>
      <c r="K71" s="2762" t="s">
        <v>396</v>
      </c>
      <c r="L71" s="3577" t="s">
        <v>397</v>
      </c>
      <c r="M71" s="3577"/>
      <c r="N71" s="2762" t="s">
        <v>398</v>
      </c>
      <c r="O71" s="2762" t="s">
        <v>399</v>
      </c>
      <c r="P71" s="2762" t="s">
        <v>400</v>
      </c>
      <c r="Q71" s="1909"/>
      <c r="R71" s="1909"/>
      <c r="S71" s="1909"/>
      <c r="T71" s="1909"/>
      <c r="U71" s="1909"/>
      <c r="V71" s="1909"/>
    </row>
    <row r="72" spans="1:22" ht="12" customHeight="1">
      <c r="A72" s="355" t="s">
        <v>403</v>
      </c>
      <c r="B72" s="3502" t="s">
        <v>2991</v>
      </c>
      <c r="C72" s="3503"/>
      <c r="D72" s="354">
        <f ca="1">C86</f>
        <v>1054</v>
      </c>
      <c r="E72" s="72" t="s">
        <v>404</v>
      </c>
      <c r="F72" s="356">
        <f>'数据-取费表'!B41</f>
        <v>5.5000000000000007E-2</v>
      </c>
      <c r="G72" s="357"/>
      <c r="H72" s="1250"/>
      <c r="I72" s="1244"/>
      <c r="J72" s="1916"/>
      <c r="K72" s="1888">
        <v>1</v>
      </c>
      <c r="L72" s="3552" t="s">
        <v>402</v>
      </c>
      <c r="M72" s="3552"/>
      <c r="N72" s="1248" t="b">
        <f>D66</f>
        <v>0</v>
      </c>
      <c r="O72" s="1771" t="str">
        <f>E66</f>
        <v>销售额×税（费）率</v>
      </c>
      <c r="P72" s="1249">
        <f>F66</f>
        <v>5.5000000000000007E-2</v>
      </c>
      <c r="Q72" s="1909"/>
      <c r="R72" s="1909"/>
      <c r="S72" s="1909"/>
      <c r="T72" s="1909"/>
      <c r="U72" s="1909"/>
      <c r="V72" s="1909"/>
    </row>
    <row r="73" spans="1:22" ht="24" customHeight="1">
      <c r="A73" s="3547" t="s">
        <v>406</v>
      </c>
      <c r="B73" s="3511"/>
      <c r="C73" s="3511"/>
      <c r="D73" s="358">
        <f ca="1">IF(H73="个人住宅",0,ROUND(D63*I73,0))</f>
        <v>10</v>
      </c>
      <c r="E73" s="17" t="s">
        <v>407</v>
      </c>
      <c r="F73" s="356" t="str">
        <f>IF(H73="正常",I73,"免征")</f>
        <v>免征</v>
      </c>
      <c r="G73" s="357"/>
      <c r="H73" s="188"/>
      <c r="I73" s="356">
        <f>'数据-取费表'!B49</f>
        <v>5.0000000000000001E-4</v>
      </c>
      <c r="J73" s="1916"/>
      <c r="K73" s="1888">
        <v>2</v>
      </c>
      <c r="L73" s="3552" t="s">
        <v>405</v>
      </c>
      <c r="M73" s="3552"/>
      <c r="N73" s="1248">
        <f t="shared" ref="N73:P74" ca="1" si="1">D73</f>
        <v>10</v>
      </c>
      <c r="O73" s="1771" t="str">
        <f t="shared" si="1"/>
        <v>销售额×税（费）率</v>
      </c>
      <c r="P73" s="1249" t="str">
        <f t="shared" si="1"/>
        <v>免征</v>
      </c>
      <c r="Q73" s="1909"/>
      <c r="R73" s="1909"/>
      <c r="S73" s="1909"/>
      <c r="T73" s="1909"/>
      <c r="U73" s="1909"/>
      <c r="V73" s="1909"/>
    </row>
    <row r="74" spans="1:22" ht="24.75">
      <c r="A74" s="3547" t="s">
        <v>409</v>
      </c>
      <c r="B74" s="3511"/>
      <c r="C74" s="3511"/>
      <c r="D74" s="358">
        <f ca="1">IF(H74="个人住宅",D75,D76)</f>
        <v>11405</v>
      </c>
      <c r="E74" s="17" t="s">
        <v>410</v>
      </c>
      <c r="F74" s="356" t="str">
        <f>IF(H74="正常",F76,"免征")</f>
        <v>免征</v>
      </c>
      <c r="G74" s="969" t="s">
        <v>411</v>
      </c>
      <c r="H74" s="359"/>
      <c r="I74" s="41"/>
      <c r="J74" s="1916"/>
      <c r="K74" s="1888">
        <v>3</v>
      </c>
      <c r="L74" s="3552" t="s">
        <v>408</v>
      </c>
      <c r="M74" s="3552"/>
      <c r="N74" s="1248">
        <f t="shared" ca="1" si="1"/>
        <v>11405</v>
      </c>
      <c r="O74" s="1771" t="str">
        <f t="shared" si="1"/>
        <v>增值额×税（费）率</v>
      </c>
      <c r="P74" s="1251" t="str">
        <f t="shared" si="1"/>
        <v>免征</v>
      </c>
      <c r="Q74" s="1909"/>
      <c r="R74" s="1909"/>
      <c r="S74" s="1909"/>
      <c r="T74" s="1909"/>
      <c r="U74" s="1909"/>
      <c r="V74" s="1909"/>
    </row>
    <row r="75" spans="1:22" ht="12.75">
      <c r="A75" s="355" t="s">
        <v>412</v>
      </c>
      <c r="B75" s="3499" t="s">
        <v>413</v>
      </c>
      <c r="C75" s="3535"/>
      <c r="D75" s="360">
        <v>0</v>
      </c>
      <c r="E75" s="40" t="s">
        <v>414</v>
      </c>
      <c r="F75" s="361"/>
      <c r="G75" s="357"/>
      <c r="H75" s="41"/>
      <c r="I75" s="41"/>
      <c r="J75" s="1916"/>
      <c r="K75" s="2756">
        <f>IF(H77="非个人房产","",4)</f>
        <v>4</v>
      </c>
      <c r="L75" s="3552" t="str">
        <f>IF(H77="非个人房产","——","个人所得税")</f>
        <v>个人所得税</v>
      </c>
      <c r="M75" s="3552"/>
      <c r="N75" s="1252">
        <f>D77</f>
        <v>0</v>
      </c>
      <c r="O75" s="1784" t="str">
        <f>E77</f>
        <v>差额计税</v>
      </c>
      <c r="P75" s="1253">
        <f>F77</f>
        <v>0.01</v>
      </c>
      <c r="Q75" s="1909"/>
      <c r="R75" s="1909"/>
      <c r="S75" s="1909"/>
      <c r="T75" s="1909"/>
      <c r="U75" s="1909"/>
      <c r="V75" s="1909"/>
    </row>
    <row r="76" spans="1:22" ht="24.75">
      <c r="A76" s="355" t="s">
        <v>393</v>
      </c>
      <c r="B76" s="3499" t="s">
        <v>416</v>
      </c>
      <c r="C76" s="3500"/>
      <c r="D76" s="358">
        <f ca="1">IF(H76="转让取得",C99,C115)</f>
        <v>11405</v>
      </c>
      <c r="E76" s="17" t="s">
        <v>417</v>
      </c>
      <c r="F76" s="52" t="s">
        <v>21</v>
      </c>
      <c r="G76" s="357"/>
      <c r="H76" s="359"/>
      <c r="I76" s="41"/>
      <c r="J76" s="1916"/>
      <c r="K76" s="2756" t="str">
        <f>IF(项目基本情况!K6="上海银行",IF(K75="",4,K75+1),"")</f>
        <v/>
      </c>
      <c r="L76" s="3567" t="str">
        <f>IF(项目基本情况!K6="上海银行","其他处置费用","")</f>
        <v/>
      </c>
      <c r="M76" s="3568"/>
      <c r="N76" s="1248" t="str">
        <f>IF(项目基本情况!K6="上海银行",N89,"")</f>
        <v/>
      </c>
      <c r="O76" s="3569" t="str">
        <f>IF(项目基本情况!K6="上海银行","包含处置中涉及的律师、诉讼、拍卖、评估等费用","")</f>
        <v/>
      </c>
      <c r="P76" s="3570"/>
      <c r="Q76" s="1909"/>
      <c r="R76" s="1909"/>
      <c r="S76" s="1909"/>
      <c r="T76" s="1909"/>
      <c r="U76" s="1909"/>
      <c r="V76" s="1909"/>
    </row>
    <row r="77" spans="1:22" ht="24.75" thickBot="1">
      <c r="A77" s="3554" t="s">
        <v>419</v>
      </c>
      <c r="B77" s="3555"/>
      <c r="C77" s="3555"/>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53">
        <f>IF(AND(K75="",K76=""),4,IF(项目基本情况!K6="上海银行",K76+1,K75+1))</f>
        <v>5</v>
      </c>
      <c r="L77" s="3552" t="s">
        <v>2861</v>
      </c>
      <c r="M77" s="2761" t="s">
        <v>415</v>
      </c>
      <c r="N77" s="1254"/>
      <c r="O77" s="1255">
        <f ca="1">SUMIF(N72:N76,"&lt;9e307")</f>
        <v>11415</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53"/>
      <c r="L78" s="3552"/>
      <c r="M78" s="2761" t="s">
        <v>418</v>
      </c>
      <c r="N78" s="1254"/>
      <c r="O78" s="1255" t="str">
        <f ca="1">NUMBERSTRING(INT(O77*10000),2)&amp;"元整"</f>
        <v>壹亿壹仟肆佰壹拾伍万元整</v>
      </c>
      <c r="P78" s="1256"/>
      <c r="Q78" s="1909"/>
      <c r="R78" s="1909"/>
      <c r="S78" s="1909"/>
      <c r="T78" s="1909"/>
      <c r="U78" s="1909"/>
      <c r="V78" s="1909"/>
    </row>
    <row r="79" spans="1:22" ht="13.5" thickBot="1">
      <c r="A79" s="3519" t="s">
        <v>420</v>
      </c>
      <c r="B79" s="3519"/>
      <c r="C79" s="3519"/>
      <c r="D79" s="3519"/>
      <c r="E79" s="3519"/>
      <c r="F79" s="41"/>
      <c r="G79" s="41"/>
      <c r="H79" s="989"/>
      <c r="I79" s="307"/>
      <c r="J79" s="1916"/>
      <c r="K79" s="3573">
        <f>K77+1</f>
        <v>6</v>
      </c>
      <c r="L79" s="3552" t="s">
        <v>2862</v>
      </c>
      <c r="M79" s="2761" t="s">
        <v>415</v>
      </c>
      <c r="N79" s="1254"/>
      <c r="O79" s="1255" t="e">
        <f ca="1">N69-O77</f>
        <v>#VALUE!</v>
      </c>
      <c r="P79" s="1256"/>
      <c r="Q79" s="1909"/>
      <c r="R79" s="1909"/>
      <c r="S79" s="1909"/>
      <c r="T79" s="1909"/>
      <c r="U79" s="1909"/>
      <c r="V79" s="1909"/>
    </row>
    <row r="80" spans="1:22" ht="12.75">
      <c r="A80" s="3520" t="s">
        <v>421</v>
      </c>
      <c r="B80" s="3521"/>
      <c r="C80" s="980"/>
      <c r="D80" s="980" t="s">
        <v>422</v>
      </c>
      <c r="E80" s="362" t="s">
        <v>423</v>
      </c>
      <c r="F80" s="41"/>
      <c r="G80" s="41"/>
      <c r="H80" s="989"/>
      <c r="I80" s="307"/>
      <c r="J80" s="1909"/>
      <c r="K80" s="3574"/>
      <c r="L80" s="3552"/>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19161</v>
      </c>
      <c r="D81" s="365"/>
      <c r="E81" s="366"/>
      <c r="F81" s="41"/>
      <c r="G81" s="41"/>
      <c r="H81" s="989"/>
      <c r="I81" s="307"/>
      <c r="J81" s="1909"/>
      <c r="K81" s="2756">
        <f>K79+1</f>
        <v>7</v>
      </c>
      <c r="L81" s="3550" t="s">
        <v>2863</v>
      </c>
      <c r="M81" s="3551"/>
      <c r="N81" s="1258"/>
      <c r="O81" s="1259" t="e">
        <f ca="1">ROUND(O79*10000/'数据-汇总表'!E3,0)</f>
        <v>#VALUE!</v>
      </c>
      <c r="P81" s="1260"/>
      <c r="Q81" s="1909"/>
      <c r="R81" s="1909"/>
      <c r="S81" s="1909"/>
      <c r="T81" s="1909"/>
      <c r="U81" s="1909"/>
      <c r="V81" s="1909"/>
    </row>
    <row r="82" spans="1:26" ht="13.5" thickTop="1">
      <c r="A82" s="367" t="s">
        <v>1812</v>
      </c>
      <c r="B82" s="368" t="s">
        <v>425</v>
      </c>
      <c r="C82" s="369">
        <f ca="1">D63</f>
        <v>20119</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66"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66"/>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19161</v>
      </c>
      <c r="D85" s="370" t="s">
        <v>19</v>
      </c>
      <c r="E85" s="371"/>
      <c r="F85" s="41"/>
      <c r="G85" s="41"/>
      <c r="H85" s="989"/>
      <c r="I85" s="307"/>
      <c r="J85" s="1909"/>
      <c r="K85" s="3566"/>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1054</v>
      </c>
      <c r="D86" s="381">
        <f>'数据-取费表'!B41</f>
        <v>5.5000000000000007E-2</v>
      </c>
      <c r="E86" s="382"/>
      <c r="F86" s="41"/>
      <c r="G86" s="41"/>
      <c r="H86" s="989"/>
      <c r="I86" s="307"/>
      <c r="J86" s="1909"/>
      <c r="K86" s="3566"/>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66"/>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5" t="s">
        <v>430</v>
      </c>
      <c r="B88" s="3546"/>
      <c r="C88" s="3546"/>
      <c r="D88" s="3546"/>
      <c r="E88" s="3546"/>
      <c r="F88" s="3546"/>
      <c r="G88" s="3546"/>
      <c r="H88" s="3546"/>
      <c r="I88" s="1267"/>
      <c r="J88" s="1917"/>
      <c r="K88" s="3566"/>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20" t="s">
        <v>421</v>
      </c>
      <c r="B89" s="3521"/>
      <c r="C89" s="980"/>
      <c r="D89" s="980" t="s">
        <v>422</v>
      </c>
      <c r="E89" s="383" t="s">
        <v>431</v>
      </c>
      <c r="F89" s="384"/>
      <c r="G89" s="384"/>
      <c r="H89" s="385"/>
      <c r="I89" s="1268"/>
      <c r="J89" s="1919"/>
      <c r="K89" s="3566"/>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19161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96</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502" t="s">
        <v>439</v>
      </c>
      <c r="F94" s="3501"/>
      <c r="G94" s="3501"/>
      <c r="H94" s="3544"/>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96</v>
      </c>
      <c r="D96" s="398">
        <f>'数据-取费表'!B43</f>
        <v>5.000000000000001E-3</v>
      </c>
      <c r="E96" s="3536" t="s">
        <v>2410</v>
      </c>
      <c r="F96" s="3537"/>
      <c r="G96" s="3537"/>
      <c r="H96" s="353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19065</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198.59375</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11405</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5" t="s">
        <v>446</v>
      </c>
      <c r="B101" s="3546"/>
      <c r="C101" s="3546"/>
      <c r="D101" s="3546"/>
      <c r="E101" s="3546"/>
      <c r="F101" s="3546"/>
      <c r="G101" s="3546"/>
      <c r="H101" s="3546"/>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20" t="s">
        <v>421</v>
      </c>
      <c r="B102" s="3521"/>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19161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96</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496" t="s">
        <v>2954</v>
      </c>
      <c r="H108" s="3497"/>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9" t="s">
        <v>454</v>
      </c>
      <c r="F109" s="3537"/>
      <c r="G109" s="3537"/>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9" t="s">
        <v>456</v>
      </c>
      <c r="F110" s="3537"/>
      <c r="G110" s="3537"/>
      <c r="H110" s="3538"/>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96</v>
      </c>
      <c r="D111" s="398">
        <f>'数据-取费表'!B43</f>
        <v>5.000000000000001E-3</v>
      </c>
      <c r="E111" s="3536" t="s">
        <v>2410</v>
      </c>
      <c r="F111" s="3537"/>
      <c r="G111" s="3537"/>
      <c r="H111" s="353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9" t="s">
        <v>2433</v>
      </c>
      <c r="F112" s="3537"/>
      <c r="G112" s="3537"/>
      <c r="H112" s="353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19065</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198.59375</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11405</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401" t="str">
        <f>项目基本情况!B1</f>
        <v>北京市国有建设用地使用权预评估</v>
      </c>
      <c r="C37" s="3401"/>
      <c r="D37" s="3401"/>
      <c r="E37" s="3401"/>
      <c r="F37" s="3401"/>
      <c r="G37" s="3401"/>
      <c r="H37" s="3401"/>
      <c r="I37" s="3401"/>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8.0000000000000002E-3</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8.0000000000000002E-3</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F25" sqref="F25"/>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22085</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14339</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80299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5353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45083</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29271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45083</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3400">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451</v>
      </c>
      <c r="D24" s="467"/>
      <c r="E24" s="465"/>
      <c r="F24" s="3400">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305</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305</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2361</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11273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11273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2582</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2582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22085</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14339</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20222</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13130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73526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4902</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40555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26331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40555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65</v>
      </c>
      <c r="D23" s="460"/>
      <c r="E23" s="460"/>
      <c r="F23" s="2571">
        <f>'数据-取费表'!B37</f>
        <v>8.0000000000000002E-3</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324</v>
      </c>
      <c r="D24" s="467"/>
      <c r="E24" s="465"/>
      <c r="F24" s="2571">
        <f>'数据-取费表'!B38</f>
        <v>8.0000000000000002E-3</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2124</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10888</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10888</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2116</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2116</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20222</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13130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121</v>
      </c>
      <c r="D19" s="454"/>
      <c r="E19" s="454"/>
      <c r="F19" s="458">
        <f>'数据-取费表'!B37</f>
        <v>8.0000000000000002E-3</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8.0000000000000002E-3</v>
      </c>
      <c r="D20" s="461" t="s">
        <v>497</v>
      </c>
      <c r="E20" s="461"/>
      <c r="F20" s="478">
        <f>'数据-取费表'!B38</f>
        <v>8.0000000000000002E-3</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539</v>
      </c>
      <c r="D21" s="459">
        <f ca="1">C23</f>
        <v>2.9999999999999997E-4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539</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2.9999999999999997E-4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4262</v>
      </c>
      <c r="D24" s="481">
        <f ca="1">C26</f>
        <v>2.2000000000000001E-3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4262</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2.2000000000000001E-3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21368</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87" t="s">
        <v>514</v>
      </c>
      <c r="D6" s="3588"/>
      <c r="E6" s="3587" t="s">
        <v>515</v>
      </c>
      <c r="F6" s="3588"/>
      <c r="G6" s="3587" t="s">
        <v>516</v>
      </c>
      <c r="H6" s="3588"/>
      <c r="I6" s="3587" t="s">
        <v>517</v>
      </c>
      <c r="J6" s="3588"/>
      <c r="K6" s="506" t="s">
        <v>518</v>
      </c>
      <c r="L6" s="2013"/>
      <c r="M6" s="2012"/>
      <c r="N6" s="2012"/>
      <c r="O6" s="2014"/>
      <c r="P6" s="3589" t="s">
        <v>519</v>
      </c>
      <c r="Q6" s="3590"/>
      <c r="R6" s="3595" t="s">
        <v>515</v>
      </c>
      <c r="S6" s="3596"/>
      <c r="T6" s="3595" t="s">
        <v>516</v>
      </c>
      <c r="U6" s="3596"/>
      <c r="V6" s="3582" t="s">
        <v>517</v>
      </c>
      <c r="W6" s="3582"/>
      <c r="X6" s="1500"/>
      <c r="Y6" s="3595" t="s">
        <v>519</v>
      </c>
      <c r="Z6" s="3596"/>
      <c r="AA6" s="3584" t="s">
        <v>515</v>
      </c>
      <c r="AB6" s="3585" t="s">
        <v>516</v>
      </c>
      <c r="AC6" s="3584" t="s">
        <v>517</v>
      </c>
    </row>
    <row r="7" spans="1:30" ht="20.25">
      <c r="A7" s="507"/>
      <c r="B7" s="508"/>
      <c r="C7" s="3603" t="s">
        <v>2892</v>
      </c>
      <c r="D7" s="3604"/>
      <c r="E7" s="3603" t="s">
        <v>2893</v>
      </c>
      <c r="F7" s="3604"/>
      <c r="G7" s="3603" t="s">
        <v>2894</v>
      </c>
      <c r="H7" s="3604"/>
      <c r="I7" s="3603" t="s">
        <v>2895</v>
      </c>
      <c r="J7" s="3604"/>
      <c r="K7" s="506"/>
      <c r="L7" s="2013"/>
      <c r="M7" s="2012"/>
      <c r="N7" s="2012"/>
      <c r="O7" s="2014"/>
      <c r="P7" s="3591"/>
      <c r="Q7" s="3592"/>
      <c r="R7" s="3597"/>
      <c r="S7" s="3598"/>
      <c r="T7" s="3597"/>
      <c r="U7" s="3598"/>
      <c r="V7" s="3582"/>
      <c r="W7" s="3582"/>
      <c r="X7" s="1500"/>
      <c r="Y7" s="3597"/>
      <c r="Z7" s="3598"/>
      <c r="AA7" s="3585"/>
      <c r="AB7" s="3585"/>
      <c r="AC7" s="3585"/>
    </row>
    <row r="8" spans="1:30" ht="21" thickBot="1">
      <c r="A8" s="507"/>
      <c r="B8" s="508"/>
      <c r="C8" s="3605" t="s">
        <v>2896</v>
      </c>
      <c r="D8" s="3606"/>
      <c r="E8" s="3605" t="s">
        <v>2896</v>
      </c>
      <c r="F8" s="3606"/>
      <c r="G8" s="3601" t="s">
        <v>2896</v>
      </c>
      <c r="H8" s="3602"/>
      <c r="I8" s="3601" t="s">
        <v>2896</v>
      </c>
      <c r="J8" s="3602"/>
      <c r="K8" s="506" t="s">
        <v>520</v>
      </c>
      <c r="L8" s="2013"/>
      <c r="M8" s="2012"/>
      <c r="N8" s="2012"/>
      <c r="O8" s="2014"/>
      <c r="P8" s="3593"/>
      <c r="Q8" s="3594"/>
      <c r="R8" s="3597"/>
      <c r="S8" s="3598"/>
      <c r="T8" s="3599"/>
      <c r="U8" s="3600"/>
      <c r="V8" s="3582"/>
      <c r="W8" s="3582"/>
      <c r="X8" s="1500"/>
      <c r="Y8" s="3599"/>
      <c r="Z8" s="3600"/>
      <c r="AA8" s="3586"/>
      <c r="AB8" s="3586"/>
      <c r="AC8" s="3586"/>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612" t="s">
        <v>522</v>
      </c>
      <c r="Q9" s="3614"/>
      <c r="R9" s="1501" t="s">
        <v>8</v>
      </c>
      <c r="S9" s="1502">
        <f t="shared" ref="S9:S17" si="0">F9</f>
        <v>0</v>
      </c>
      <c r="T9" s="1501" t="s">
        <v>8</v>
      </c>
      <c r="U9" s="1502">
        <f t="shared" ref="U9:U17" si="1">H9</f>
        <v>0</v>
      </c>
      <c r="V9" s="1501" t="s">
        <v>8</v>
      </c>
      <c r="W9" s="1502">
        <f t="shared" ref="W9:W17" si="2">J9</f>
        <v>0</v>
      </c>
      <c r="X9" s="1503"/>
      <c r="Y9" s="3612" t="s">
        <v>522</v>
      </c>
      <c r="Z9" s="3613"/>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612" t="s">
        <v>525</v>
      </c>
      <c r="Q10" s="3613"/>
      <c r="R10" s="1501" t="s">
        <v>8</v>
      </c>
      <c r="S10" s="1502">
        <f t="shared" si="0"/>
        <v>0</v>
      </c>
      <c r="T10" s="1501" t="s">
        <v>8</v>
      </c>
      <c r="U10" s="1502">
        <f t="shared" si="1"/>
        <v>0</v>
      </c>
      <c r="V10" s="1501" t="s">
        <v>8</v>
      </c>
      <c r="W10" s="1502">
        <f t="shared" si="2"/>
        <v>0</v>
      </c>
      <c r="X10" s="1503"/>
      <c r="Y10" s="3612" t="s">
        <v>525</v>
      </c>
      <c r="Z10" s="3613"/>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81" t="s">
        <v>527</v>
      </c>
      <c r="Q11" s="1132" t="str">
        <f t="shared" ref="Q11:Q17" si="6">B11</f>
        <v>用途</v>
      </c>
      <c r="R11" s="1501" t="s">
        <v>8</v>
      </c>
      <c r="S11" s="1502">
        <f t="shared" si="0"/>
        <v>100</v>
      </c>
      <c r="T11" s="1501" t="s">
        <v>8</v>
      </c>
      <c r="U11" s="1502">
        <f t="shared" si="1"/>
        <v>100</v>
      </c>
      <c r="V11" s="1501" t="s">
        <v>8</v>
      </c>
      <c r="W11" s="1502">
        <f t="shared" si="2"/>
        <v>100</v>
      </c>
      <c r="X11" s="1503"/>
      <c r="Y11" s="3527"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81"/>
      <c r="Q12" s="1132" t="str">
        <f t="shared" si="6"/>
        <v>土地使用年限（年）</v>
      </c>
      <c r="R12" s="1501" t="s">
        <v>8</v>
      </c>
      <c r="S12" s="1502" t="e">
        <f t="shared" si="0"/>
        <v>#DIV/0!</v>
      </c>
      <c r="T12" s="1501" t="s">
        <v>8</v>
      </c>
      <c r="U12" s="1502" t="e">
        <f t="shared" si="1"/>
        <v>#DIV/0!</v>
      </c>
      <c r="V12" s="1501" t="s">
        <v>8</v>
      </c>
      <c r="W12" s="1502" t="e">
        <f t="shared" si="2"/>
        <v>#DIV/0!</v>
      </c>
      <c r="X12" s="1503"/>
      <c r="Y12" s="3527"/>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81"/>
      <c r="Q13" s="1132" t="str">
        <f t="shared" si="6"/>
        <v>容积率</v>
      </c>
      <c r="R13" s="1501" t="s">
        <v>8</v>
      </c>
      <c r="S13" s="1502" t="e">
        <f t="shared" si="0"/>
        <v>#N/A</v>
      </c>
      <c r="T13" s="1501" t="s">
        <v>8</v>
      </c>
      <c r="U13" s="1502" t="e">
        <f t="shared" si="1"/>
        <v>#N/A</v>
      </c>
      <c r="V13" s="1501" t="s">
        <v>8</v>
      </c>
      <c r="W13" s="1502" t="e">
        <f t="shared" si="2"/>
        <v>#N/A</v>
      </c>
      <c r="X13" s="1503"/>
      <c r="Y13" s="3527"/>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81"/>
      <c r="Q14" s="1132" t="str">
        <f t="shared" si="6"/>
        <v>配建</v>
      </c>
      <c r="R14" s="1501" t="s">
        <v>8</v>
      </c>
      <c r="S14" s="1502">
        <f t="shared" si="0"/>
        <v>100</v>
      </c>
      <c r="T14" s="1501" t="s">
        <v>8</v>
      </c>
      <c r="U14" s="1502">
        <f t="shared" si="1"/>
        <v>100</v>
      </c>
      <c r="V14" s="1501" t="s">
        <v>8</v>
      </c>
      <c r="W14" s="1502">
        <f t="shared" si="2"/>
        <v>100</v>
      </c>
      <c r="X14" s="1503"/>
      <c r="Y14" s="3527"/>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81"/>
      <c r="Q15" s="1132">
        <f t="shared" si="6"/>
        <v>111</v>
      </c>
      <c r="R15" s="1501" t="s">
        <v>8</v>
      </c>
      <c r="S15" s="1502">
        <f t="shared" si="0"/>
        <v>100</v>
      </c>
      <c r="T15" s="1501" t="s">
        <v>8</v>
      </c>
      <c r="U15" s="1502">
        <f t="shared" si="1"/>
        <v>100</v>
      </c>
      <c r="V15" s="1501" t="s">
        <v>8</v>
      </c>
      <c r="W15" s="1502">
        <f t="shared" si="2"/>
        <v>100</v>
      </c>
      <c r="X15" s="1503"/>
      <c r="Y15" s="3527"/>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81"/>
      <c r="Q16" s="1132">
        <f t="shared" si="6"/>
        <v>111</v>
      </c>
      <c r="R16" s="1501" t="s">
        <v>8</v>
      </c>
      <c r="S16" s="1502">
        <f t="shared" si="0"/>
        <v>100</v>
      </c>
      <c r="T16" s="1501" t="s">
        <v>8</v>
      </c>
      <c r="U16" s="1502">
        <f t="shared" si="1"/>
        <v>100</v>
      </c>
      <c r="V16" s="1501" t="s">
        <v>8</v>
      </c>
      <c r="W16" s="1502">
        <f t="shared" si="2"/>
        <v>100</v>
      </c>
      <c r="X16" s="1503"/>
      <c r="Y16" s="3527"/>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615" t="s">
        <v>532</v>
      </c>
      <c r="Q17" s="1505" t="str">
        <f t="shared" si="6"/>
        <v>居住社区成熟度</v>
      </c>
      <c r="R17" s="1506" t="s">
        <v>8</v>
      </c>
      <c r="S17" s="1507">
        <f t="shared" si="0"/>
        <v>100</v>
      </c>
      <c r="T17" s="1506" t="s">
        <v>8</v>
      </c>
      <c r="U17" s="1507">
        <f t="shared" si="1"/>
        <v>100</v>
      </c>
      <c r="V17" s="1506" t="s">
        <v>8</v>
      </c>
      <c r="W17" s="1507">
        <f t="shared" si="2"/>
        <v>100</v>
      </c>
      <c r="X17" s="1500"/>
      <c r="Y17" s="361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616"/>
      <c r="Q18" s="1505"/>
      <c r="R18" s="1506"/>
      <c r="S18" s="1507"/>
      <c r="T18" s="1506"/>
      <c r="U18" s="1507"/>
      <c r="V18" s="1506"/>
      <c r="W18" s="1507"/>
      <c r="X18" s="1500"/>
      <c r="Y18" s="361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616"/>
      <c r="Q19" s="1505" t="str">
        <f>B19</f>
        <v>商业繁华度</v>
      </c>
      <c r="R19" s="1506" t="s">
        <v>8</v>
      </c>
      <c r="S19" s="1507">
        <f>F19</f>
        <v>100</v>
      </c>
      <c r="T19" s="1506" t="s">
        <v>8</v>
      </c>
      <c r="U19" s="1507">
        <f>H19</f>
        <v>100</v>
      </c>
      <c r="V19" s="1506" t="s">
        <v>8</v>
      </c>
      <c r="W19" s="1507">
        <f>J19</f>
        <v>100</v>
      </c>
      <c r="X19" s="1500"/>
      <c r="Y19" s="361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616"/>
      <c r="Q20" s="1505"/>
      <c r="R20" s="1506"/>
      <c r="S20" s="1507"/>
      <c r="T20" s="1506"/>
      <c r="U20" s="1507"/>
      <c r="V20" s="1506"/>
      <c r="W20" s="1507"/>
      <c r="X20" s="1500"/>
      <c r="Y20" s="361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616"/>
      <c r="Q21" s="1505" t="str">
        <f>B21</f>
        <v>办公集聚程度</v>
      </c>
      <c r="R21" s="1506" t="s">
        <v>8</v>
      </c>
      <c r="S21" s="1507">
        <f>F21</f>
        <v>100</v>
      </c>
      <c r="T21" s="1506" t="s">
        <v>8</v>
      </c>
      <c r="U21" s="1507">
        <f>H21</f>
        <v>100</v>
      </c>
      <c r="V21" s="1506" t="s">
        <v>8</v>
      </c>
      <c r="W21" s="1507">
        <f>J21</f>
        <v>100</v>
      </c>
      <c r="X21" s="1500"/>
      <c r="Y21" s="361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616"/>
      <c r="Q22" s="1505"/>
      <c r="R22" s="1506"/>
      <c r="S22" s="1507"/>
      <c r="T22" s="1506"/>
      <c r="U22" s="1507"/>
      <c r="V22" s="1506"/>
      <c r="W22" s="1507"/>
      <c r="X22" s="1500"/>
      <c r="Y22" s="361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616"/>
      <c r="Q23" s="1505" t="str">
        <f>B23</f>
        <v>交通便捷度</v>
      </c>
      <c r="R23" s="1506" t="s">
        <v>8</v>
      </c>
      <c r="S23" s="1507">
        <f>F23</f>
        <v>100</v>
      </c>
      <c r="T23" s="1506" t="s">
        <v>8</v>
      </c>
      <c r="U23" s="1507">
        <f>H23</f>
        <v>100</v>
      </c>
      <c r="V23" s="1506" t="s">
        <v>8</v>
      </c>
      <c r="W23" s="1507">
        <f>J23</f>
        <v>100</v>
      </c>
      <c r="X23" s="1500"/>
      <c r="Y23" s="361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616"/>
      <c r="Q24" s="1505"/>
      <c r="R24" s="1506"/>
      <c r="S24" s="1507"/>
      <c r="T24" s="1506"/>
      <c r="U24" s="1507"/>
      <c r="V24" s="1506"/>
      <c r="W24" s="1507"/>
      <c r="X24" s="1500"/>
      <c r="Y24" s="3616"/>
      <c r="Z24" s="1508"/>
      <c r="AA24" s="1509">
        <v>1</v>
      </c>
      <c r="AB24" s="1509">
        <v>1</v>
      </c>
      <c r="AC24" s="1509">
        <v>1</v>
      </c>
    </row>
    <row r="25" spans="1:29" ht="20.25">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616"/>
      <c r="Q25" s="1505" t="str">
        <f t="shared" ref="Q25:Q39" si="8">B25</f>
        <v>区域土地利用方向</v>
      </c>
      <c r="R25" s="1506" t="s">
        <v>8</v>
      </c>
      <c r="S25" s="1507">
        <f>F25</f>
        <v>100</v>
      </c>
      <c r="T25" s="1506" t="s">
        <v>8</v>
      </c>
      <c r="U25" s="1507">
        <f>H25</f>
        <v>100</v>
      </c>
      <c r="V25" s="1506" t="s">
        <v>8</v>
      </c>
      <c r="W25" s="1507">
        <f>J25</f>
        <v>100</v>
      </c>
      <c r="X25" s="1500"/>
      <c r="Y25" s="361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616"/>
      <c r="Q26" s="1505"/>
      <c r="R26" s="1506"/>
      <c r="S26" s="1507"/>
      <c r="T26" s="1506"/>
      <c r="U26" s="1507"/>
      <c r="V26" s="1506"/>
      <c r="W26" s="1507"/>
      <c r="X26" s="1500"/>
      <c r="Y26" s="361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616"/>
      <c r="Q27" s="1505" t="str">
        <f t="shared" si="8"/>
        <v>自然及人文环境状况</v>
      </c>
      <c r="R27" s="1506" t="s">
        <v>8</v>
      </c>
      <c r="S27" s="1507">
        <f>F27</f>
        <v>100</v>
      </c>
      <c r="T27" s="1506" t="s">
        <v>8</v>
      </c>
      <c r="U27" s="1507">
        <f>H27</f>
        <v>100</v>
      </c>
      <c r="V27" s="1506" t="s">
        <v>8</v>
      </c>
      <c r="W27" s="1507">
        <f>J27</f>
        <v>100</v>
      </c>
      <c r="X27" s="1500"/>
      <c r="Y27" s="361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616"/>
      <c r="Q28" s="1505"/>
      <c r="R28" s="1506"/>
      <c r="S28" s="1507"/>
      <c r="T28" s="1506"/>
      <c r="U28" s="1507"/>
      <c r="V28" s="1506"/>
      <c r="W28" s="1507"/>
      <c r="X28" s="1500"/>
      <c r="Y28" s="361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616"/>
      <c r="Q29" s="1132" t="str">
        <f t="shared" si="8"/>
        <v>公共配套设施</v>
      </c>
      <c r="R29" s="1501" t="s">
        <v>8</v>
      </c>
      <c r="S29" s="1502">
        <f>F29</f>
        <v>100</v>
      </c>
      <c r="T29" s="1501" t="s">
        <v>8</v>
      </c>
      <c r="U29" s="1502">
        <f>H29</f>
        <v>100</v>
      </c>
      <c r="V29" s="1501" t="s">
        <v>8</v>
      </c>
      <c r="W29" s="1502">
        <f>J29</f>
        <v>100</v>
      </c>
      <c r="X29" s="1503"/>
      <c r="Y29" s="361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616"/>
      <c r="Q30" s="1132"/>
      <c r="R30" s="1501"/>
      <c r="S30" s="1502"/>
      <c r="T30" s="1501"/>
      <c r="U30" s="1502"/>
      <c r="V30" s="1501"/>
      <c r="W30" s="1502"/>
      <c r="X30" s="1503"/>
      <c r="Y30" s="361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616"/>
      <c r="Q31" s="2426" t="str">
        <f t="shared" ref="Q31" si="9">B31</f>
        <v>基础设施水平</v>
      </c>
      <c r="R31" s="1501" t="s">
        <v>8</v>
      </c>
      <c r="S31" s="1502">
        <f>F31</f>
        <v>100</v>
      </c>
      <c r="T31" s="1501" t="s">
        <v>8</v>
      </c>
      <c r="U31" s="1502">
        <f>H31</f>
        <v>100</v>
      </c>
      <c r="V31" s="1501" t="s">
        <v>8</v>
      </c>
      <c r="W31" s="1502">
        <f>J31</f>
        <v>100</v>
      </c>
      <c r="X31" s="1503"/>
      <c r="Y31" s="361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616"/>
      <c r="Q32" s="2426"/>
      <c r="R32" s="1501"/>
      <c r="S32" s="1502"/>
      <c r="T32" s="1501"/>
      <c r="U32" s="1502"/>
      <c r="V32" s="1501"/>
      <c r="W32" s="1502"/>
      <c r="X32" s="1503"/>
      <c r="Y32" s="361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61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1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616"/>
      <c r="Q34" s="1505" t="str">
        <f t="shared" si="8"/>
        <v>毗邻道路的类型与等级</v>
      </c>
      <c r="R34" s="1506" t="s">
        <v>8</v>
      </c>
      <c r="S34" s="1507">
        <f t="shared" si="10"/>
        <v>100</v>
      </c>
      <c r="T34" s="1506" t="s">
        <v>8</v>
      </c>
      <c r="U34" s="1507">
        <f t="shared" si="11"/>
        <v>100</v>
      </c>
      <c r="V34" s="1506" t="s">
        <v>8</v>
      </c>
      <c r="W34" s="1507">
        <f t="shared" si="12"/>
        <v>100</v>
      </c>
      <c r="X34" s="1500"/>
      <c r="Y34" s="361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616"/>
      <c r="Q35" s="1505"/>
      <c r="R35" s="1506"/>
      <c r="S35" s="1507"/>
      <c r="T35" s="1506"/>
      <c r="U35" s="1507"/>
      <c r="V35" s="1506"/>
      <c r="W35" s="1507"/>
      <c r="X35" s="1500"/>
      <c r="Y35" s="361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616"/>
      <c r="Q36" s="1505" t="str">
        <f t="shared" si="8"/>
        <v>土地级别</v>
      </c>
      <c r="R36" s="1506" t="s">
        <v>8</v>
      </c>
      <c r="S36" s="1507">
        <f t="shared" si="10"/>
        <v>100</v>
      </c>
      <c r="T36" s="1506" t="s">
        <v>8</v>
      </c>
      <c r="U36" s="1507">
        <f t="shared" si="11"/>
        <v>100</v>
      </c>
      <c r="V36" s="1506" t="s">
        <v>8</v>
      </c>
      <c r="W36" s="1507">
        <f t="shared" si="12"/>
        <v>100</v>
      </c>
      <c r="X36" s="1500"/>
      <c r="Y36" s="361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616"/>
      <c r="Q37" s="1505">
        <f t="shared" si="8"/>
        <v>111</v>
      </c>
      <c r="R37" s="1506" t="s">
        <v>8</v>
      </c>
      <c r="S37" s="1507">
        <f t="shared" si="10"/>
        <v>100</v>
      </c>
      <c r="T37" s="1506" t="s">
        <v>8</v>
      </c>
      <c r="U37" s="1507">
        <f t="shared" si="11"/>
        <v>100</v>
      </c>
      <c r="V37" s="1506" t="s">
        <v>8</v>
      </c>
      <c r="W37" s="1507">
        <f t="shared" si="12"/>
        <v>100</v>
      </c>
      <c r="X37" s="1500"/>
      <c r="Y37" s="361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617" t="s">
        <v>542</v>
      </c>
      <c r="Q38" s="1505">
        <f t="shared" si="8"/>
        <v>111</v>
      </c>
      <c r="R38" s="1506" t="s">
        <v>8</v>
      </c>
      <c r="S38" s="1507">
        <f t="shared" si="10"/>
        <v>100</v>
      </c>
      <c r="T38" s="1506" t="s">
        <v>8</v>
      </c>
      <c r="U38" s="1507">
        <f t="shared" si="11"/>
        <v>100</v>
      </c>
      <c r="V38" s="1506" t="s">
        <v>8</v>
      </c>
      <c r="W38" s="1507">
        <f t="shared" si="12"/>
        <v>100</v>
      </c>
      <c r="X38" s="1500"/>
      <c r="Y38" s="361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618"/>
      <c r="Q39" s="1505">
        <f t="shared" si="8"/>
        <v>111</v>
      </c>
      <c r="R39" s="1510" t="s">
        <v>8</v>
      </c>
      <c r="S39" s="1511">
        <f t="shared" si="10"/>
        <v>100</v>
      </c>
      <c r="T39" s="1510" t="s">
        <v>8</v>
      </c>
      <c r="U39" s="1511">
        <f t="shared" si="11"/>
        <v>100</v>
      </c>
      <c r="V39" s="1510" t="s">
        <v>8</v>
      </c>
      <c r="W39" s="1511">
        <f t="shared" si="12"/>
        <v>100</v>
      </c>
      <c r="X39" s="1512"/>
      <c r="Y39" s="361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618"/>
      <c r="Q40" s="1505" t="str">
        <f>B40</f>
        <v>宗地面积</v>
      </c>
      <c r="R40" s="1506" t="s">
        <v>8</v>
      </c>
      <c r="S40" s="1507" t="e">
        <f t="shared" si="10"/>
        <v>#N/A</v>
      </c>
      <c r="T40" s="1506" t="s">
        <v>8</v>
      </c>
      <c r="U40" s="1507" t="e">
        <f t="shared" si="11"/>
        <v>#N/A</v>
      </c>
      <c r="V40" s="1506" t="s">
        <v>8</v>
      </c>
      <c r="W40" s="1507" t="e">
        <f t="shared" si="12"/>
        <v>#N/A</v>
      </c>
      <c r="X40" s="1500"/>
      <c r="Y40" s="361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618"/>
      <c r="Q41" s="1505" t="str">
        <f t="shared" ref="Q41:Q47" si="14">B41</f>
        <v>宗地形状</v>
      </c>
      <c r="R41" s="1506" t="s">
        <v>8</v>
      </c>
      <c r="S41" s="1507">
        <f t="shared" si="10"/>
        <v>100</v>
      </c>
      <c r="T41" s="1506" t="s">
        <v>8</v>
      </c>
      <c r="U41" s="1507">
        <f t="shared" si="11"/>
        <v>100</v>
      </c>
      <c r="V41" s="1506" t="s">
        <v>8</v>
      </c>
      <c r="W41" s="1507">
        <f t="shared" si="12"/>
        <v>100</v>
      </c>
      <c r="X41" s="1500"/>
      <c r="Y41" s="361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618"/>
      <c r="Q42" s="1505" t="str">
        <f t="shared" si="14"/>
        <v>临街宽度及深度</v>
      </c>
      <c r="R42" s="1506" t="s">
        <v>8</v>
      </c>
      <c r="S42" s="1507">
        <f t="shared" si="10"/>
        <v>100</v>
      </c>
      <c r="T42" s="1506" t="s">
        <v>8</v>
      </c>
      <c r="U42" s="1507">
        <f t="shared" si="11"/>
        <v>100</v>
      </c>
      <c r="V42" s="1506" t="s">
        <v>8</v>
      </c>
      <c r="W42" s="1507">
        <f t="shared" si="12"/>
        <v>100</v>
      </c>
      <c r="X42" s="1500"/>
      <c r="Y42" s="361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618"/>
      <c r="Q43" s="1505" t="str">
        <f t="shared" si="14"/>
        <v>宗地开发程度</v>
      </c>
      <c r="R43" s="1501" t="s">
        <v>8</v>
      </c>
      <c r="S43" s="1502">
        <f t="shared" si="10"/>
        <v>100</v>
      </c>
      <c r="T43" s="1501" t="s">
        <v>8</v>
      </c>
      <c r="U43" s="1502">
        <f t="shared" si="11"/>
        <v>100</v>
      </c>
      <c r="V43" s="1501" t="s">
        <v>8</v>
      </c>
      <c r="W43" s="1502">
        <f t="shared" si="12"/>
        <v>100</v>
      </c>
      <c r="X43" s="1503"/>
      <c r="Y43" s="361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618" t="s">
        <v>542</v>
      </c>
      <c r="Q44" s="1505" t="str">
        <f t="shared" si="14"/>
        <v>工程地质条件</v>
      </c>
      <c r="R44" s="1506" t="s">
        <v>8</v>
      </c>
      <c r="S44" s="1507">
        <f t="shared" si="10"/>
        <v>100</v>
      </c>
      <c r="T44" s="1506" t="s">
        <v>8</v>
      </c>
      <c r="U44" s="1507">
        <f t="shared" si="11"/>
        <v>100</v>
      </c>
      <c r="V44" s="1506" t="s">
        <v>8</v>
      </c>
      <c r="W44" s="1507">
        <f t="shared" si="12"/>
        <v>100</v>
      </c>
      <c r="X44" s="1500"/>
      <c r="Y44" s="361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618"/>
      <c r="Q45" s="1505">
        <f t="shared" si="14"/>
        <v>111</v>
      </c>
      <c r="R45" s="1506" t="s">
        <v>8</v>
      </c>
      <c r="S45" s="1507">
        <f t="shared" si="10"/>
        <v>100</v>
      </c>
      <c r="T45" s="1506" t="s">
        <v>8</v>
      </c>
      <c r="U45" s="1507">
        <f t="shared" si="11"/>
        <v>100</v>
      </c>
      <c r="V45" s="1506" t="s">
        <v>8</v>
      </c>
      <c r="W45" s="1507">
        <f t="shared" si="12"/>
        <v>100</v>
      </c>
      <c r="X45" s="1500"/>
      <c r="Y45" s="361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618"/>
      <c r="Q46" s="1505">
        <f t="shared" si="14"/>
        <v>111</v>
      </c>
      <c r="R46" s="1506" t="s">
        <v>8</v>
      </c>
      <c r="S46" s="1507">
        <f t="shared" si="10"/>
        <v>100</v>
      </c>
      <c r="T46" s="1506" t="s">
        <v>8</v>
      </c>
      <c r="U46" s="1507">
        <f t="shared" si="11"/>
        <v>100</v>
      </c>
      <c r="V46" s="1506" t="s">
        <v>8</v>
      </c>
      <c r="W46" s="1507">
        <f t="shared" si="12"/>
        <v>100</v>
      </c>
      <c r="X46" s="1500"/>
      <c r="Y46" s="361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618"/>
      <c r="Q47" s="1505">
        <f t="shared" si="14"/>
        <v>111</v>
      </c>
      <c r="R47" s="1510" t="s">
        <v>8</v>
      </c>
      <c r="S47" s="1511">
        <f t="shared" si="10"/>
        <v>100</v>
      </c>
      <c r="T47" s="1510" t="s">
        <v>8</v>
      </c>
      <c r="U47" s="1511">
        <f t="shared" si="11"/>
        <v>100</v>
      </c>
      <c r="V47" s="1510" t="s">
        <v>8</v>
      </c>
      <c r="W47" s="1511">
        <f t="shared" si="12"/>
        <v>100</v>
      </c>
      <c r="X47" s="1512"/>
      <c r="Y47" s="361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81" t="str">
        <f>A48</f>
        <v>成交单价</v>
      </c>
      <c r="Q48" s="3581"/>
      <c r="R48" s="3582">
        <f>E48</f>
        <v>0</v>
      </c>
      <c r="S48" s="3582"/>
      <c r="T48" s="3582">
        <f>G48</f>
        <v>0</v>
      </c>
      <c r="U48" s="3582"/>
      <c r="V48" s="3582">
        <f>I48</f>
        <v>0</v>
      </c>
      <c r="W48" s="3582"/>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81" t="str">
        <f>A49</f>
        <v>比较价格（元/平方米）</v>
      </c>
      <c r="Q49" s="3581"/>
      <c r="R49" s="3583" t="e">
        <f>ROUND(PRODUCT(R48,AA9:AA47),0)</f>
        <v>#DIV/0!</v>
      </c>
      <c r="S49" s="3583"/>
      <c r="T49" s="3583" t="e">
        <f>ROUND(PRODUCT(T48,AB9:AB47),0)</f>
        <v>#DIV/0!</v>
      </c>
      <c r="U49" s="3583"/>
      <c r="V49" s="3583" t="e">
        <f>ROUND(PRODUCT(V48,AC9:AC47),0)</f>
        <v>#DIV/0!</v>
      </c>
      <c r="W49" s="3583"/>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578" t="str">
        <f>A50</f>
        <v>估价对象XX用房的比较价格（楼面单价，元/平方米）</v>
      </c>
      <c r="Q50" s="3579"/>
      <c r="R50" s="3580" t="e">
        <f>ROUND(IF(D49="简单平均",AVERAGE(R49:W49),R49*F49+T49*H49+V49*J49),0)</f>
        <v>#DIV/0!</v>
      </c>
      <c r="S50" s="3580"/>
      <c r="T50" s="3580"/>
      <c r="U50" s="3580"/>
      <c r="V50" s="3580"/>
      <c r="W50" s="3580"/>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607" t="s">
        <v>2266</v>
      </c>
      <c r="H57" s="360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609"/>
      <c r="H58" s="3610"/>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611"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611"/>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611"/>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611"/>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15.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87" t="s">
        <v>514</v>
      </c>
      <c r="D6" s="3588"/>
      <c r="E6" s="3621" t="s">
        <v>515</v>
      </c>
      <c r="F6" s="3622"/>
      <c r="G6" s="3587" t="s">
        <v>516</v>
      </c>
      <c r="H6" s="3588"/>
      <c r="I6" s="3587" t="s">
        <v>517</v>
      </c>
      <c r="J6" s="3588"/>
      <c r="K6" s="506" t="s">
        <v>518</v>
      </c>
      <c r="L6" s="2013"/>
      <c r="M6" s="2014"/>
      <c r="N6" s="2014"/>
      <c r="O6" s="2014"/>
      <c r="P6" s="3589" t="s">
        <v>519</v>
      </c>
      <c r="Q6" s="3590"/>
      <c r="R6" s="3595" t="s">
        <v>515</v>
      </c>
      <c r="S6" s="3596"/>
      <c r="T6" s="3595" t="s">
        <v>516</v>
      </c>
      <c r="U6" s="3596"/>
      <c r="V6" s="3582" t="s">
        <v>517</v>
      </c>
      <c r="W6" s="3582"/>
      <c r="X6" s="1500"/>
      <c r="Y6" s="3595" t="s">
        <v>519</v>
      </c>
      <c r="Z6" s="3596"/>
      <c r="AA6" s="3584" t="s">
        <v>515</v>
      </c>
      <c r="AB6" s="3585" t="s">
        <v>516</v>
      </c>
      <c r="AC6" s="3584" t="s">
        <v>517</v>
      </c>
    </row>
    <row r="7" spans="1:29" ht="15">
      <c r="A7" s="507"/>
      <c r="B7" s="508"/>
      <c r="C7" s="3603" t="s">
        <v>2892</v>
      </c>
      <c r="D7" s="3604"/>
      <c r="E7" s="3623" t="s">
        <v>2893</v>
      </c>
      <c r="F7" s="3624"/>
      <c r="G7" s="3603" t="s">
        <v>2894</v>
      </c>
      <c r="H7" s="3604"/>
      <c r="I7" s="3603" t="s">
        <v>2895</v>
      </c>
      <c r="J7" s="3604"/>
      <c r="K7" s="506"/>
      <c r="L7" s="2013"/>
      <c r="M7" s="2014"/>
      <c r="N7" s="2014"/>
      <c r="O7" s="2014"/>
      <c r="P7" s="3591"/>
      <c r="Q7" s="3592"/>
      <c r="R7" s="3597"/>
      <c r="S7" s="3598"/>
      <c r="T7" s="3597"/>
      <c r="U7" s="3598"/>
      <c r="V7" s="3582"/>
      <c r="W7" s="3582"/>
      <c r="X7" s="1500"/>
      <c r="Y7" s="3597"/>
      <c r="Z7" s="3598"/>
      <c r="AA7" s="3585"/>
      <c r="AB7" s="3585"/>
      <c r="AC7" s="3585"/>
    </row>
    <row r="8" spans="1:29" ht="15.75" thickBot="1">
      <c r="A8" s="509"/>
      <c r="B8" s="510"/>
      <c r="C8" s="3601" t="s">
        <v>2896</v>
      </c>
      <c r="D8" s="3602"/>
      <c r="E8" s="3619" t="s">
        <v>2896</v>
      </c>
      <c r="F8" s="3620"/>
      <c r="G8" s="3601" t="s">
        <v>2896</v>
      </c>
      <c r="H8" s="3602"/>
      <c r="I8" s="3601" t="s">
        <v>2896</v>
      </c>
      <c r="J8" s="3602"/>
      <c r="K8" s="506" t="s">
        <v>520</v>
      </c>
      <c r="L8" s="2013"/>
      <c r="M8" s="2014"/>
      <c r="N8" s="2014"/>
      <c r="O8" s="2014"/>
      <c r="P8" s="3593"/>
      <c r="Q8" s="3594"/>
      <c r="R8" s="3597"/>
      <c r="S8" s="3598"/>
      <c r="T8" s="3599"/>
      <c r="U8" s="3600"/>
      <c r="V8" s="3582"/>
      <c r="W8" s="3582"/>
      <c r="X8" s="1500"/>
      <c r="Y8" s="3599"/>
      <c r="Z8" s="3600"/>
      <c r="AA8" s="3586"/>
      <c r="AB8" s="3586"/>
      <c r="AC8" s="3586"/>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612" t="s">
        <v>522</v>
      </c>
      <c r="Q9" s="3614"/>
      <c r="R9" s="1501" t="s">
        <v>8</v>
      </c>
      <c r="S9" s="1502">
        <f t="shared" ref="S9:S17" si="0">F9</f>
        <v>0</v>
      </c>
      <c r="T9" s="1501" t="s">
        <v>8</v>
      </c>
      <c r="U9" s="1502">
        <f t="shared" ref="U9:U17" si="1">H9</f>
        <v>0</v>
      </c>
      <c r="V9" s="1501" t="s">
        <v>8</v>
      </c>
      <c r="W9" s="1502">
        <f t="shared" ref="W9:W17" si="2">J9</f>
        <v>0</v>
      </c>
      <c r="X9" s="1503"/>
      <c r="Y9" s="3612" t="s">
        <v>522</v>
      </c>
      <c r="Z9" s="3613"/>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612" t="s">
        <v>525</v>
      </c>
      <c r="Q10" s="3613"/>
      <c r="R10" s="1501" t="s">
        <v>8</v>
      </c>
      <c r="S10" s="1502">
        <f t="shared" si="0"/>
        <v>0</v>
      </c>
      <c r="T10" s="1501" t="s">
        <v>8</v>
      </c>
      <c r="U10" s="1502">
        <f t="shared" si="1"/>
        <v>0</v>
      </c>
      <c r="V10" s="1501" t="s">
        <v>8</v>
      </c>
      <c r="W10" s="1502">
        <f t="shared" si="2"/>
        <v>0</v>
      </c>
      <c r="X10" s="1503"/>
      <c r="Y10" s="3612" t="s">
        <v>525</v>
      </c>
      <c r="Z10" s="3613"/>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81" t="s">
        <v>527</v>
      </c>
      <c r="Q11" s="1132" t="str">
        <f t="shared" ref="Q11:Q17" si="6">B11</f>
        <v>用途</v>
      </c>
      <c r="R11" s="1501" t="s">
        <v>8</v>
      </c>
      <c r="S11" s="1502">
        <f t="shared" si="0"/>
        <v>100</v>
      </c>
      <c r="T11" s="1501" t="s">
        <v>8</v>
      </c>
      <c r="U11" s="1502">
        <f t="shared" si="1"/>
        <v>100</v>
      </c>
      <c r="V11" s="1501" t="s">
        <v>8</v>
      </c>
      <c r="W11" s="1502">
        <f t="shared" si="2"/>
        <v>100</v>
      </c>
      <c r="X11" s="1503"/>
      <c r="Y11" s="3527"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81"/>
      <c r="Q12" s="1132" t="str">
        <f t="shared" si="6"/>
        <v>土地使用年限（年）</v>
      </c>
      <c r="R12" s="1501" t="s">
        <v>8</v>
      </c>
      <c r="S12" s="1502" t="e">
        <f t="shared" si="0"/>
        <v>#DIV/0!</v>
      </c>
      <c r="T12" s="1501" t="s">
        <v>8</v>
      </c>
      <c r="U12" s="1502" t="e">
        <f t="shared" si="1"/>
        <v>#DIV/0!</v>
      </c>
      <c r="V12" s="1501" t="s">
        <v>8</v>
      </c>
      <c r="W12" s="1502" t="e">
        <f t="shared" si="2"/>
        <v>#DIV/0!</v>
      </c>
      <c r="X12" s="1503"/>
      <c r="Y12" s="3527"/>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81"/>
      <c r="Q13" s="1132" t="str">
        <f t="shared" si="6"/>
        <v>容积率</v>
      </c>
      <c r="R13" s="1501" t="s">
        <v>8</v>
      </c>
      <c r="S13" s="1502" t="e">
        <f t="shared" si="0"/>
        <v>#N/A</v>
      </c>
      <c r="T13" s="1501" t="s">
        <v>8</v>
      </c>
      <c r="U13" s="1502" t="e">
        <f t="shared" si="1"/>
        <v>#N/A</v>
      </c>
      <c r="V13" s="1501" t="s">
        <v>8</v>
      </c>
      <c r="W13" s="1502" t="e">
        <f t="shared" si="2"/>
        <v>#N/A</v>
      </c>
      <c r="X13" s="1503"/>
      <c r="Y13" s="3527"/>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81"/>
      <c r="Q15" s="1132">
        <f t="shared" si="6"/>
        <v>111</v>
      </c>
      <c r="R15" s="1501" t="s">
        <v>8</v>
      </c>
      <c r="S15" s="1502">
        <f t="shared" si="0"/>
        <v>100</v>
      </c>
      <c r="T15" s="1501" t="s">
        <v>8</v>
      </c>
      <c r="U15" s="1502">
        <f t="shared" si="1"/>
        <v>100</v>
      </c>
      <c r="V15" s="1501" t="s">
        <v>8</v>
      </c>
      <c r="W15" s="1502">
        <f t="shared" si="2"/>
        <v>100</v>
      </c>
      <c r="X15" s="1503"/>
      <c r="Y15" s="3527"/>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81"/>
      <c r="Q16" s="1132">
        <f t="shared" si="6"/>
        <v>111</v>
      </c>
      <c r="R16" s="1501" t="s">
        <v>8</v>
      </c>
      <c r="S16" s="1502">
        <f t="shared" si="0"/>
        <v>100</v>
      </c>
      <c r="T16" s="1501" t="s">
        <v>8</v>
      </c>
      <c r="U16" s="1502">
        <f t="shared" si="1"/>
        <v>100</v>
      </c>
      <c r="V16" s="1501" t="s">
        <v>8</v>
      </c>
      <c r="W16" s="1502">
        <f t="shared" si="2"/>
        <v>100</v>
      </c>
      <c r="X16" s="1503"/>
      <c r="Y16" s="3527"/>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615" t="s">
        <v>532</v>
      </c>
      <c r="Q17" s="1505" t="str">
        <f t="shared" si="6"/>
        <v>产业集聚程度</v>
      </c>
      <c r="R17" s="1506" t="s">
        <v>8</v>
      </c>
      <c r="S17" s="1507">
        <f t="shared" si="0"/>
        <v>100</v>
      </c>
      <c r="T17" s="1506" t="s">
        <v>8</v>
      </c>
      <c r="U17" s="1507">
        <f t="shared" si="1"/>
        <v>100</v>
      </c>
      <c r="V17" s="1506" t="s">
        <v>8</v>
      </c>
      <c r="W17" s="1507">
        <f t="shared" si="2"/>
        <v>100</v>
      </c>
      <c r="X17" s="1500"/>
      <c r="Y17" s="361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616"/>
      <c r="Q18" s="1505"/>
      <c r="R18" s="1506"/>
      <c r="S18" s="1507"/>
      <c r="T18" s="1506"/>
      <c r="U18" s="1507"/>
      <c r="V18" s="1506"/>
      <c r="W18" s="1507"/>
      <c r="X18" s="1500"/>
      <c r="Y18" s="361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616"/>
      <c r="Q19" s="1505" t="str">
        <f>B19</f>
        <v>交通便捷度</v>
      </c>
      <c r="R19" s="1506" t="s">
        <v>8</v>
      </c>
      <c r="S19" s="1507">
        <f>F19</f>
        <v>100</v>
      </c>
      <c r="T19" s="1506" t="s">
        <v>8</v>
      </c>
      <c r="U19" s="1507">
        <f>H19</f>
        <v>100</v>
      </c>
      <c r="V19" s="1506" t="s">
        <v>8</v>
      </c>
      <c r="W19" s="1507">
        <f>J19</f>
        <v>100</v>
      </c>
      <c r="X19" s="1500"/>
      <c r="Y19" s="361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616"/>
      <c r="Q20" s="1505"/>
      <c r="R20" s="1506"/>
      <c r="S20" s="1507"/>
      <c r="T20" s="1506"/>
      <c r="U20" s="1507"/>
      <c r="V20" s="1506"/>
      <c r="W20" s="1507"/>
      <c r="X20" s="1500"/>
      <c r="Y20" s="3616"/>
      <c r="Z20" s="1508"/>
      <c r="AA20" s="1509">
        <v>1</v>
      </c>
      <c r="AB20" s="1509">
        <v>1</v>
      </c>
      <c r="AC20" s="1509">
        <v>1</v>
      </c>
    </row>
    <row r="21" spans="1:29" ht="15">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616"/>
      <c r="Q21" s="1505" t="str">
        <f t="shared" ref="Q21:Q35" si="8">B21</f>
        <v>区域土地利用方向</v>
      </c>
      <c r="R21" s="1506" t="s">
        <v>8</v>
      </c>
      <c r="S21" s="1507">
        <f>F21</f>
        <v>100</v>
      </c>
      <c r="T21" s="1506" t="s">
        <v>8</v>
      </c>
      <c r="U21" s="1507">
        <f>H21</f>
        <v>100</v>
      </c>
      <c r="V21" s="1506" t="s">
        <v>8</v>
      </c>
      <c r="W21" s="1507">
        <f>J21</f>
        <v>100</v>
      </c>
      <c r="X21" s="1500"/>
      <c r="Y21" s="361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616"/>
      <c r="Q22" s="1505"/>
      <c r="R22" s="1506"/>
      <c r="S22" s="1507"/>
      <c r="T22" s="1506"/>
      <c r="U22" s="1507"/>
      <c r="V22" s="1506"/>
      <c r="W22" s="1507"/>
      <c r="X22" s="1500"/>
      <c r="Y22" s="361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616"/>
      <c r="Q23" s="1505" t="str">
        <f t="shared" si="8"/>
        <v>环境状况</v>
      </c>
      <c r="R23" s="1506" t="s">
        <v>8</v>
      </c>
      <c r="S23" s="1507">
        <f>F23</f>
        <v>100</v>
      </c>
      <c r="T23" s="1506" t="s">
        <v>8</v>
      </c>
      <c r="U23" s="1507">
        <f>H23</f>
        <v>100</v>
      </c>
      <c r="V23" s="1506" t="s">
        <v>8</v>
      </c>
      <c r="W23" s="1507">
        <f>J23</f>
        <v>100</v>
      </c>
      <c r="X23" s="1500"/>
      <c r="Y23" s="361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616"/>
      <c r="Q24" s="1505"/>
      <c r="R24" s="1506"/>
      <c r="S24" s="1507"/>
      <c r="T24" s="1506"/>
      <c r="U24" s="1507"/>
      <c r="V24" s="1506"/>
      <c r="W24" s="1507"/>
      <c r="X24" s="1500"/>
      <c r="Y24" s="361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616"/>
      <c r="Q25" s="1132" t="str">
        <f t="shared" si="8"/>
        <v>公共配套设施</v>
      </c>
      <c r="R25" s="1501" t="s">
        <v>8</v>
      </c>
      <c r="S25" s="1502">
        <f>F25</f>
        <v>100</v>
      </c>
      <c r="T25" s="1501" t="s">
        <v>8</v>
      </c>
      <c r="U25" s="1502">
        <f>H25</f>
        <v>100</v>
      </c>
      <c r="V25" s="1501" t="s">
        <v>8</v>
      </c>
      <c r="W25" s="1502">
        <f>J25</f>
        <v>100</v>
      </c>
      <c r="X25" s="1503"/>
      <c r="Y25" s="361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616"/>
      <c r="Q26" s="1132"/>
      <c r="R26" s="1501"/>
      <c r="S26" s="1502"/>
      <c r="T26" s="1501"/>
      <c r="U26" s="1502"/>
      <c r="V26" s="1501"/>
      <c r="W26" s="1502"/>
      <c r="X26" s="1503"/>
      <c r="Y26" s="361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616"/>
      <c r="Q27" s="2426" t="str">
        <f t="shared" ref="Q27" si="9">B27</f>
        <v>基础设施水平</v>
      </c>
      <c r="R27" s="1501" t="s">
        <v>8</v>
      </c>
      <c r="S27" s="1502">
        <f>F27</f>
        <v>100</v>
      </c>
      <c r="T27" s="1501" t="s">
        <v>8</v>
      </c>
      <c r="U27" s="1502">
        <f>H27</f>
        <v>100</v>
      </c>
      <c r="V27" s="1501" t="s">
        <v>8</v>
      </c>
      <c r="W27" s="1502">
        <f>J27</f>
        <v>100</v>
      </c>
      <c r="X27" s="1503"/>
      <c r="Y27" s="361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616"/>
      <c r="Q28" s="2426"/>
      <c r="R28" s="1501"/>
      <c r="S28" s="1502"/>
      <c r="T28" s="1501"/>
      <c r="U28" s="1502"/>
      <c r="V28" s="1501"/>
      <c r="W28" s="1502"/>
      <c r="X28" s="1503"/>
      <c r="Y28" s="361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61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1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616"/>
      <c r="Q30" s="1505" t="str">
        <f t="shared" si="8"/>
        <v>毗邻道路的类型与等级</v>
      </c>
      <c r="R30" s="1506" t="s">
        <v>8</v>
      </c>
      <c r="S30" s="1507">
        <f t="shared" si="10"/>
        <v>100</v>
      </c>
      <c r="T30" s="1506" t="s">
        <v>8</v>
      </c>
      <c r="U30" s="1507">
        <f t="shared" si="11"/>
        <v>100</v>
      </c>
      <c r="V30" s="1506" t="s">
        <v>8</v>
      </c>
      <c r="W30" s="1507">
        <f t="shared" si="12"/>
        <v>100</v>
      </c>
      <c r="X30" s="1500"/>
      <c r="Y30" s="361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616"/>
      <c r="Q31" s="1505"/>
      <c r="R31" s="1506"/>
      <c r="S31" s="1507"/>
      <c r="T31" s="1506"/>
      <c r="U31" s="1507"/>
      <c r="V31" s="1506"/>
      <c r="W31" s="1507"/>
      <c r="X31" s="1500"/>
      <c r="Y31" s="361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616"/>
      <c r="Q32" s="1505" t="str">
        <f t="shared" si="8"/>
        <v>土地级别</v>
      </c>
      <c r="R32" s="1506" t="s">
        <v>8</v>
      </c>
      <c r="S32" s="1507">
        <f t="shared" si="10"/>
        <v>100</v>
      </c>
      <c r="T32" s="1506" t="s">
        <v>8</v>
      </c>
      <c r="U32" s="1507">
        <f t="shared" si="11"/>
        <v>100</v>
      </c>
      <c r="V32" s="1506" t="s">
        <v>8</v>
      </c>
      <c r="W32" s="1507">
        <f t="shared" si="12"/>
        <v>100</v>
      </c>
      <c r="X32" s="1500"/>
      <c r="Y32" s="361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616"/>
      <c r="Q33" s="1505">
        <f t="shared" si="8"/>
        <v>111</v>
      </c>
      <c r="R33" s="1506" t="s">
        <v>8</v>
      </c>
      <c r="S33" s="1507">
        <f t="shared" si="10"/>
        <v>100</v>
      </c>
      <c r="T33" s="1506" t="s">
        <v>8</v>
      </c>
      <c r="U33" s="1507">
        <f t="shared" si="11"/>
        <v>100</v>
      </c>
      <c r="V33" s="1506" t="s">
        <v>8</v>
      </c>
      <c r="W33" s="1507">
        <f t="shared" si="12"/>
        <v>100</v>
      </c>
      <c r="X33" s="1500"/>
      <c r="Y33" s="361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617" t="s">
        <v>542</v>
      </c>
      <c r="Q34" s="1505">
        <f t="shared" si="8"/>
        <v>111</v>
      </c>
      <c r="R34" s="1506" t="s">
        <v>8</v>
      </c>
      <c r="S34" s="1507">
        <f t="shared" si="10"/>
        <v>100</v>
      </c>
      <c r="T34" s="1506" t="s">
        <v>8</v>
      </c>
      <c r="U34" s="1507">
        <f t="shared" si="11"/>
        <v>100</v>
      </c>
      <c r="V34" s="1506" t="s">
        <v>8</v>
      </c>
      <c r="W34" s="1507">
        <f t="shared" si="12"/>
        <v>100</v>
      </c>
      <c r="X34" s="1500"/>
      <c r="Y34" s="361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618"/>
      <c r="Q35" s="1505">
        <f t="shared" si="8"/>
        <v>111</v>
      </c>
      <c r="R35" s="1510" t="s">
        <v>8</v>
      </c>
      <c r="S35" s="1511">
        <f t="shared" si="10"/>
        <v>100</v>
      </c>
      <c r="T35" s="1510" t="s">
        <v>8</v>
      </c>
      <c r="U35" s="1511">
        <f t="shared" si="11"/>
        <v>100</v>
      </c>
      <c r="V35" s="1510" t="s">
        <v>8</v>
      </c>
      <c r="W35" s="1511">
        <f t="shared" si="12"/>
        <v>100</v>
      </c>
      <c r="X35" s="1512"/>
      <c r="Y35" s="361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618"/>
      <c r="Q36" s="1505" t="str">
        <f>B36</f>
        <v>宗地面积</v>
      </c>
      <c r="R36" s="1506" t="s">
        <v>8</v>
      </c>
      <c r="S36" s="1507" t="e">
        <f t="shared" si="10"/>
        <v>#N/A</v>
      </c>
      <c r="T36" s="1506" t="s">
        <v>8</v>
      </c>
      <c r="U36" s="1507" t="e">
        <f t="shared" si="11"/>
        <v>#N/A</v>
      </c>
      <c r="V36" s="1506" t="s">
        <v>8</v>
      </c>
      <c r="W36" s="1507" t="e">
        <f t="shared" si="12"/>
        <v>#N/A</v>
      </c>
      <c r="X36" s="1500"/>
      <c r="Y36" s="361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618"/>
      <c r="Q37" s="1505" t="str">
        <f t="shared" ref="Q37:Q42" si="14">B37</f>
        <v>宗地形状</v>
      </c>
      <c r="R37" s="1506" t="s">
        <v>8</v>
      </c>
      <c r="S37" s="1507">
        <f t="shared" si="10"/>
        <v>100</v>
      </c>
      <c r="T37" s="1506" t="s">
        <v>8</v>
      </c>
      <c r="U37" s="1507">
        <f t="shared" si="11"/>
        <v>100</v>
      </c>
      <c r="V37" s="1506" t="s">
        <v>8</v>
      </c>
      <c r="W37" s="1507">
        <f t="shared" si="12"/>
        <v>100</v>
      </c>
      <c r="X37" s="1500"/>
      <c r="Y37" s="361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618"/>
      <c r="Q38" s="1505" t="str">
        <f t="shared" si="14"/>
        <v>宗地开发程度</v>
      </c>
      <c r="R38" s="1501" t="s">
        <v>8</v>
      </c>
      <c r="S38" s="1502">
        <f t="shared" si="10"/>
        <v>100</v>
      </c>
      <c r="T38" s="1501" t="s">
        <v>8</v>
      </c>
      <c r="U38" s="1502">
        <f t="shared" si="11"/>
        <v>100</v>
      </c>
      <c r="V38" s="1501" t="s">
        <v>8</v>
      </c>
      <c r="W38" s="1502">
        <f t="shared" si="12"/>
        <v>100</v>
      </c>
      <c r="X38" s="1503"/>
      <c r="Y38" s="361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618" t="s">
        <v>593</v>
      </c>
      <c r="Q39" s="1505" t="str">
        <f t="shared" si="14"/>
        <v>工程地质条件</v>
      </c>
      <c r="R39" s="1506" t="s">
        <v>8</v>
      </c>
      <c r="S39" s="1507">
        <f t="shared" si="10"/>
        <v>100</v>
      </c>
      <c r="T39" s="1506" t="s">
        <v>8</v>
      </c>
      <c r="U39" s="1507">
        <f t="shared" si="11"/>
        <v>100</v>
      </c>
      <c r="V39" s="1506" t="s">
        <v>8</v>
      </c>
      <c r="W39" s="1507">
        <f t="shared" si="12"/>
        <v>100</v>
      </c>
      <c r="X39" s="1500"/>
      <c r="Y39" s="361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618"/>
      <c r="Q40" s="1505">
        <f t="shared" si="14"/>
        <v>111</v>
      </c>
      <c r="R40" s="1506" t="s">
        <v>8</v>
      </c>
      <c r="S40" s="1507">
        <f t="shared" si="10"/>
        <v>100</v>
      </c>
      <c r="T40" s="1506" t="s">
        <v>8</v>
      </c>
      <c r="U40" s="1507">
        <f t="shared" si="11"/>
        <v>100</v>
      </c>
      <c r="V40" s="1506" t="s">
        <v>8</v>
      </c>
      <c r="W40" s="1507">
        <f t="shared" si="12"/>
        <v>100</v>
      </c>
      <c r="X40" s="1500"/>
      <c r="Y40" s="361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618"/>
      <c r="Q41" s="1505">
        <f t="shared" si="14"/>
        <v>111</v>
      </c>
      <c r="R41" s="1506" t="s">
        <v>8</v>
      </c>
      <c r="S41" s="1507">
        <f t="shared" si="10"/>
        <v>100</v>
      </c>
      <c r="T41" s="1506" t="s">
        <v>8</v>
      </c>
      <c r="U41" s="1507">
        <f t="shared" si="11"/>
        <v>100</v>
      </c>
      <c r="V41" s="1506" t="s">
        <v>8</v>
      </c>
      <c r="W41" s="1507">
        <f t="shared" si="12"/>
        <v>100</v>
      </c>
      <c r="X41" s="1500"/>
      <c r="Y41" s="361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618"/>
      <c r="Q42" s="1505">
        <f t="shared" si="14"/>
        <v>111</v>
      </c>
      <c r="R42" s="1510" t="s">
        <v>8</v>
      </c>
      <c r="S42" s="1511">
        <f t="shared" si="10"/>
        <v>100</v>
      </c>
      <c r="T42" s="1510" t="s">
        <v>8</v>
      </c>
      <c r="U42" s="1511">
        <f t="shared" si="11"/>
        <v>100</v>
      </c>
      <c r="V42" s="1510" t="s">
        <v>8</v>
      </c>
      <c r="W42" s="1511">
        <f t="shared" si="12"/>
        <v>100</v>
      </c>
      <c r="X42" s="1512"/>
      <c r="Y42" s="361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81" t="str">
        <f>A43</f>
        <v>成交单价</v>
      </c>
      <c r="Q43" s="3581"/>
      <c r="R43" s="3582">
        <f>E43</f>
        <v>0</v>
      </c>
      <c r="S43" s="3582"/>
      <c r="T43" s="3582">
        <f>G43</f>
        <v>0</v>
      </c>
      <c r="U43" s="3582"/>
      <c r="V43" s="3582">
        <f>I43</f>
        <v>0</v>
      </c>
      <c r="W43" s="3582"/>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81" t="str">
        <f>A44</f>
        <v>比较价格（元/平方米）</v>
      </c>
      <c r="Q44" s="3581"/>
      <c r="R44" s="3583" t="e">
        <f>ROUND(PRODUCT(R43,AA9:AA42),0)</f>
        <v>#DIV/0!</v>
      </c>
      <c r="S44" s="3583"/>
      <c r="T44" s="3583" t="e">
        <f>ROUND(PRODUCT(T43,AB9:AB42),0)</f>
        <v>#DIV/0!</v>
      </c>
      <c r="U44" s="3583"/>
      <c r="V44" s="3583" t="e">
        <f>ROUND(PRODUCT(V43,AC9:AC42),0)</f>
        <v>#DIV/0!</v>
      </c>
      <c r="W44" s="3583"/>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578" t="str">
        <f>A45</f>
        <v>估价对象XX用房的比较价格（楼面单价，元/平方米）</v>
      </c>
      <c r="Q45" s="3579"/>
      <c r="R45" s="3630" t="e">
        <f>ROUND(IF(D44="简单平均",AVERAGE(R44:W44),R44*F44+T44*H44+V44*J44),0)</f>
        <v>#DIV/0!</v>
      </c>
      <c r="S45" s="3630"/>
      <c r="T45" s="3630"/>
      <c r="U45" s="3630"/>
      <c r="V45" s="3630"/>
      <c r="W45" s="3630"/>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25" t="s">
        <v>2269</v>
      </c>
      <c r="H52" s="3626"/>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27"/>
      <c r="H53" s="3628"/>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9"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9"/>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9"/>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9"/>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15.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46"/>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1037">
        <f>ROUND(IF(F17="与级别开发程度一致",0,(G17-E17)/C17),0)</f>
        <v>0</v>
      </c>
      <c r="D16" s="3639" t="s">
        <v>943</v>
      </c>
      <c r="E16" s="3640"/>
      <c r="F16" s="3639" t="s">
        <v>940</v>
      </c>
      <c r="G16" s="364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2303"/>
      <c r="L90" s="2303"/>
      <c r="M90" s="2303"/>
      <c r="N90" s="2303"/>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51" t="s">
        <v>996</v>
      </c>
      <c r="B18" s="1135" t="s">
        <v>1435</v>
      </c>
      <c r="C18" s="1112" t="s">
        <v>1436</v>
      </c>
      <c r="D18" s="1113"/>
      <c r="E18" s="1135">
        <v>1</v>
      </c>
      <c r="F18" s="1114" t="s">
        <v>1437</v>
      </c>
      <c r="G18" s="1115"/>
      <c r="H18" s="1086"/>
      <c r="I18" s="1086"/>
    </row>
    <row r="19" spans="1:9" s="1528" customFormat="1" ht="19.5" customHeight="1">
      <c r="A19" s="3651"/>
      <c r="B19" s="3651" t="s">
        <v>1438</v>
      </c>
      <c r="C19" s="1112" t="s">
        <v>1439</v>
      </c>
      <c r="D19" s="1113"/>
      <c r="E19" s="1135">
        <v>0.9</v>
      </c>
      <c r="F19" s="1114" t="s">
        <v>1440</v>
      </c>
      <c r="G19" s="1115"/>
      <c r="H19" s="1086"/>
      <c r="I19" s="1086"/>
    </row>
    <row r="20" spans="1:9" s="1528" customFormat="1" ht="19.5" customHeight="1">
      <c r="A20" s="3651"/>
      <c r="B20" s="3651"/>
      <c r="C20" s="1112" t="s">
        <v>1441</v>
      </c>
      <c r="D20" s="1113"/>
      <c r="E20" s="1135">
        <v>1.1000000000000001</v>
      </c>
      <c r="F20" s="1114" t="s">
        <v>1442</v>
      </c>
      <c r="G20" s="1115"/>
      <c r="H20" s="1086"/>
      <c r="I20" s="1086"/>
    </row>
    <row r="21" spans="1:9" s="1528" customFormat="1" ht="19.5" customHeight="1">
      <c r="A21" s="3651"/>
      <c r="B21" s="3651"/>
      <c r="C21" s="1112" t="s">
        <v>1443</v>
      </c>
      <c r="D21" s="1113"/>
      <c r="E21" s="1135">
        <v>0.8</v>
      </c>
      <c r="F21" s="1114" t="s">
        <v>1444</v>
      </c>
      <c r="G21" s="1115"/>
      <c r="H21" s="1086"/>
      <c r="I21" s="1086"/>
    </row>
    <row r="22" spans="1:9" s="1528" customFormat="1" ht="19.5" customHeight="1">
      <c r="A22" s="3651"/>
      <c r="B22" s="3651"/>
      <c r="C22" s="1112" t="s">
        <v>1445</v>
      </c>
      <c r="D22" s="1113"/>
      <c r="E22" s="1135">
        <v>0.5</v>
      </c>
      <c r="F22" s="1114"/>
      <c r="G22" s="1115"/>
      <c r="H22" s="1086"/>
      <c r="I22" s="1086"/>
    </row>
    <row r="23" spans="1:9" s="1528" customFormat="1" ht="19.5" customHeight="1">
      <c r="A23" s="3651" t="s">
        <v>1018</v>
      </c>
      <c r="B23" s="1135" t="s">
        <v>1435</v>
      </c>
      <c r="C23" s="1112" t="s">
        <v>1446</v>
      </c>
      <c r="D23" s="1113"/>
      <c r="E23" s="1135">
        <v>1</v>
      </c>
      <c r="F23" s="1114" t="s">
        <v>1447</v>
      </c>
      <c r="G23" s="1115"/>
      <c r="H23" s="1086"/>
      <c r="I23" s="1086"/>
    </row>
    <row r="24" spans="1:9" s="1528" customFormat="1" ht="19.5" customHeight="1">
      <c r="A24" s="3651"/>
      <c r="B24" s="3651" t="s">
        <v>1438</v>
      </c>
      <c r="C24" s="1112" t="s">
        <v>1448</v>
      </c>
      <c r="D24" s="1113"/>
      <c r="E24" s="1135">
        <v>0.5</v>
      </c>
      <c r="F24" s="1114"/>
      <c r="G24" s="1115"/>
      <c r="H24" s="1086"/>
      <c r="I24" s="1086"/>
    </row>
    <row r="25" spans="1:9" s="1528" customFormat="1" ht="19.5" customHeight="1">
      <c r="A25" s="3651"/>
      <c r="B25" s="3651"/>
      <c r="C25" s="1112" t="s">
        <v>1449</v>
      </c>
      <c r="D25" s="1113"/>
      <c r="E25" s="1135">
        <v>1.1000000000000001</v>
      </c>
      <c r="F25" s="1114"/>
      <c r="G25" s="1115"/>
      <c r="H25" s="1086"/>
      <c r="I25" s="1086"/>
    </row>
    <row r="26" spans="1:9" s="1528" customFormat="1" ht="19.5" customHeight="1">
      <c r="A26" s="3651"/>
      <c r="B26" s="3651"/>
      <c r="C26" s="1112" t="s">
        <v>1450</v>
      </c>
      <c r="D26" s="1113"/>
      <c r="E26" s="1135">
        <v>1.1000000000000001</v>
      </c>
      <c r="F26" s="1114"/>
      <c r="G26" s="1115"/>
      <c r="H26" s="1086"/>
      <c r="I26" s="1086"/>
    </row>
    <row r="27" spans="1:9" s="1528" customFormat="1" ht="19.5" customHeight="1">
      <c r="A27" s="3651"/>
      <c r="B27" s="3651"/>
      <c r="C27" s="1112" t="s">
        <v>1451</v>
      </c>
      <c r="D27" s="1113"/>
      <c r="E27" s="1135">
        <v>0.9</v>
      </c>
      <c r="F27" s="1114" t="s">
        <v>1452</v>
      </c>
      <c r="G27" s="1115"/>
      <c r="H27" s="1086"/>
      <c r="I27" s="1086"/>
    </row>
    <row r="28" spans="1:9" s="1528" customFormat="1" ht="19.5" customHeight="1">
      <c r="A28" s="3651"/>
      <c r="B28" s="3651"/>
      <c r="C28" s="1112" t="s">
        <v>1453</v>
      </c>
      <c r="D28" s="1113"/>
      <c r="E28" s="1135">
        <v>0.9</v>
      </c>
      <c r="F28" s="1114" t="s">
        <v>1454</v>
      </c>
      <c r="G28" s="1115"/>
      <c r="H28" s="1086"/>
      <c r="I28" s="1086"/>
    </row>
    <row r="29" spans="1:9" s="1528" customFormat="1" ht="19.5" customHeight="1">
      <c r="A29" s="3651"/>
      <c r="B29" s="3651"/>
      <c r="C29" s="1112" t="s">
        <v>1455</v>
      </c>
      <c r="D29" s="1113"/>
      <c r="E29" s="1135">
        <v>0.9</v>
      </c>
      <c r="F29" s="1114" t="s">
        <v>1456</v>
      </c>
      <c r="G29" s="1115"/>
      <c r="H29" s="1086"/>
      <c r="I29" s="1086"/>
    </row>
    <row r="30" spans="1:9" s="1528" customFormat="1" ht="19.5" customHeight="1">
      <c r="A30" s="3651"/>
      <c r="B30" s="3651"/>
      <c r="C30" s="1112" t="s">
        <v>1457</v>
      </c>
      <c r="D30" s="1113"/>
      <c r="E30" s="1135">
        <v>0.9</v>
      </c>
      <c r="F30" s="1114" t="s">
        <v>1458</v>
      </c>
      <c r="G30" s="1115"/>
      <c r="H30" s="1086"/>
      <c r="I30" s="1086"/>
    </row>
    <row r="31" spans="1:9" s="1528" customFormat="1" ht="19.5" customHeight="1">
      <c r="A31" s="3651"/>
      <c r="B31" s="3651"/>
      <c r="C31" s="1112" t="s">
        <v>1459</v>
      </c>
      <c r="D31" s="1113"/>
      <c r="E31" s="1135">
        <v>0.8</v>
      </c>
      <c r="F31" s="1114" t="s">
        <v>1460</v>
      </c>
      <c r="G31" s="1115"/>
      <c r="H31" s="1086"/>
      <c r="I31" s="1086"/>
    </row>
    <row r="32" spans="1:9" s="1528" customFormat="1" ht="19.5" customHeight="1">
      <c r="A32" s="3651"/>
      <c r="B32" s="3651"/>
      <c r="C32" s="1112" t="s">
        <v>1461</v>
      </c>
      <c r="D32" s="1113"/>
      <c r="E32" s="1135">
        <v>0.8</v>
      </c>
      <c r="F32" s="1114" t="s">
        <v>1462</v>
      </c>
      <c r="G32" s="1115"/>
      <c r="H32" s="1086"/>
      <c r="I32" s="1086"/>
    </row>
    <row r="33" spans="1:9" s="1528" customFormat="1" ht="19.5" customHeight="1">
      <c r="A33" s="3651" t="s">
        <v>1463</v>
      </c>
      <c r="B33" s="1135" t="s">
        <v>1435</v>
      </c>
      <c r="C33" s="1112" t="s">
        <v>1464</v>
      </c>
      <c r="D33" s="1113"/>
      <c r="E33" s="1135">
        <v>1</v>
      </c>
      <c r="F33" s="1114" t="s">
        <v>1465</v>
      </c>
      <c r="G33" s="1115"/>
      <c r="H33" s="1086"/>
      <c r="I33" s="1086"/>
    </row>
    <row r="34" spans="1:9" s="1528" customFormat="1" ht="19.5" customHeight="1">
      <c r="A34" s="3651"/>
      <c r="B34" s="1135" t="s">
        <v>1438</v>
      </c>
      <c r="C34" s="1112" t="s">
        <v>1466</v>
      </c>
      <c r="D34" s="1113"/>
      <c r="E34" s="1135">
        <v>1.5</v>
      </c>
      <c r="F34" s="1114" t="s">
        <v>1467</v>
      </c>
      <c r="G34" s="1115"/>
      <c r="H34" s="1086"/>
      <c r="I34" s="1086"/>
    </row>
    <row r="35" spans="1:9" s="1528" customFormat="1" ht="19.5" customHeight="1">
      <c r="A35" s="3651" t="s">
        <v>1421</v>
      </c>
      <c r="B35" s="1135" t="s">
        <v>1435</v>
      </c>
      <c r="C35" s="1112" t="s">
        <v>1468</v>
      </c>
      <c r="D35" s="1113"/>
      <c r="E35" s="1135">
        <v>1</v>
      </c>
      <c r="F35" s="1114" t="s">
        <v>1469</v>
      </c>
      <c r="G35" s="1115"/>
      <c r="H35" s="1086"/>
      <c r="I35" s="1086"/>
    </row>
    <row r="36" spans="1:9" s="1528" customFormat="1" ht="19.5" customHeight="1">
      <c r="A36" s="3651"/>
      <c r="B36" s="3651" t="s">
        <v>1438</v>
      </c>
      <c r="C36" s="1112" t="s">
        <v>1470</v>
      </c>
      <c r="D36" s="1113"/>
      <c r="E36" s="1135">
        <v>1</v>
      </c>
      <c r="F36" s="1114" t="s">
        <v>1471</v>
      </c>
      <c r="G36" s="1115"/>
      <c r="H36" s="1086"/>
      <c r="I36" s="1086"/>
    </row>
    <row r="37" spans="1:9" s="1528" customFormat="1" ht="19.5" customHeight="1">
      <c r="A37" s="3651"/>
      <c r="B37" s="3651"/>
      <c r="C37" s="1112" t="s">
        <v>1472</v>
      </c>
      <c r="D37" s="1113"/>
      <c r="E37" s="1135">
        <v>1.5</v>
      </c>
      <c r="F37" s="1114" t="s">
        <v>1473</v>
      </c>
      <c r="G37" s="1115"/>
      <c r="H37" s="1086"/>
      <c r="I37" s="1086"/>
    </row>
    <row r="38" spans="1:9" s="1528" customFormat="1" ht="19.5" customHeight="1">
      <c r="A38" s="3651"/>
      <c r="B38" s="3651"/>
      <c r="C38" s="1112" t="s">
        <v>1474</v>
      </c>
      <c r="D38" s="1113"/>
      <c r="E38" s="1135">
        <v>1</v>
      </c>
      <c r="F38" s="1114" t="s">
        <v>1475</v>
      </c>
      <c r="G38" s="1115"/>
      <c r="H38" s="1086"/>
      <c r="I38" s="1086"/>
    </row>
    <row r="39" spans="1:9" s="1528" customFormat="1" ht="19.5" customHeight="1">
      <c r="A39" s="3651"/>
      <c r="B39" s="3651"/>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51" t="s">
        <v>1490</v>
      </c>
      <c r="C61" s="1049" t="s">
        <v>1491</v>
      </c>
      <c r="D61" s="1049" t="s">
        <v>1492</v>
      </c>
      <c r="E61" s="1120">
        <v>0.5</v>
      </c>
      <c r="F61" s="1135">
        <v>80</v>
      </c>
      <c r="H61" s="1086">
        <f>SUMIF(C59:C119,基准地价住宅!C8,E59:E119)</f>
        <v>0</v>
      </c>
    </row>
    <row r="62" spans="1:8" s="1086" customFormat="1" ht="24">
      <c r="A62" s="1135">
        <v>2</v>
      </c>
      <c r="B62" s="3651"/>
      <c r="C62" s="1049" t="s">
        <v>1493</v>
      </c>
      <c r="D62" s="1049" t="s">
        <v>1494</v>
      </c>
      <c r="E62" s="1120">
        <v>0.5</v>
      </c>
      <c r="F62" s="1135">
        <v>80</v>
      </c>
    </row>
    <row r="63" spans="1:8" s="1086" customFormat="1" ht="36">
      <c r="A63" s="1135">
        <v>3</v>
      </c>
      <c r="B63" s="3651"/>
      <c r="C63" s="1049" t="s">
        <v>1495</v>
      </c>
      <c r="D63" s="1049" t="s">
        <v>1496</v>
      </c>
      <c r="E63" s="1120">
        <v>0.5</v>
      </c>
      <c r="F63" s="1135">
        <v>80</v>
      </c>
    </row>
    <row r="64" spans="1:8" s="1086" customFormat="1" ht="36">
      <c r="A64" s="1135">
        <v>4</v>
      </c>
      <c r="B64" s="3651"/>
      <c r="C64" s="1049" t="s">
        <v>1497</v>
      </c>
      <c r="D64" s="1049" t="s">
        <v>1498</v>
      </c>
      <c r="E64" s="1120">
        <v>0.4</v>
      </c>
      <c r="F64" s="1135">
        <v>60</v>
      </c>
    </row>
    <row r="65" spans="1:6" s="1086" customFormat="1" ht="36">
      <c r="A65" s="1135">
        <v>5</v>
      </c>
      <c r="B65" s="3651"/>
      <c r="C65" s="1049" t="s">
        <v>1499</v>
      </c>
      <c r="D65" s="1049" t="s">
        <v>1500</v>
      </c>
      <c r="E65" s="1120">
        <v>0.2</v>
      </c>
      <c r="F65" s="1135">
        <v>30</v>
      </c>
    </row>
    <row r="66" spans="1:6" s="1086" customFormat="1" ht="36">
      <c r="A66" s="1135">
        <v>6</v>
      </c>
      <c r="B66" s="3651"/>
      <c r="C66" s="1049" t="s">
        <v>1501</v>
      </c>
      <c r="D66" s="1049" t="s">
        <v>1502</v>
      </c>
      <c r="E66" s="1120">
        <v>0.3</v>
      </c>
      <c r="F66" s="1135">
        <v>50</v>
      </c>
    </row>
    <row r="67" spans="1:6" s="1086" customFormat="1" ht="36">
      <c r="A67" s="1135">
        <v>7</v>
      </c>
      <c r="B67" s="3651"/>
      <c r="C67" s="1049" t="s">
        <v>1503</v>
      </c>
      <c r="D67" s="1049" t="s">
        <v>1504</v>
      </c>
      <c r="E67" s="1120">
        <v>0.2</v>
      </c>
      <c r="F67" s="1135">
        <v>30</v>
      </c>
    </row>
    <row r="68" spans="1:6" s="1086" customFormat="1" ht="36">
      <c r="A68" s="1135">
        <v>8</v>
      </c>
      <c r="B68" s="3651"/>
      <c r="C68" s="1049" t="s">
        <v>1505</v>
      </c>
      <c r="D68" s="1049" t="s">
        <v>1506</v>
      </c>
      <c r="E68" s="1120">
        <v>0.2</v>
      </c>
      <c r="F68" s="1135">
        <v>30</v>
      </c>
    </row>
    <row r="69" spans="1:6" s="1086" customFormat="1" ht="36">
      <c r="A69" s="1135">
        <v>9</v>
      </c>
      <c r="B69" s="3651"/>
      <c r="C69" s="1049" t="s">
        <v>1507</v>
      </c>
      <c r="D69" s="1049" t="s">
        <v>1508</v>
      </c>
      <c r="E69" s="1120">
        <v>0.2</v>
      </c>
      <c r="F69" s="1135">
        <v>30</v>
      </c>
    </row>
    <row r="70" spans="1:6" s="1086" customFormat="1" ht="48">
      <c r="A70" s="1135">
        <v>10</v>
      </c>
      <c r="B70" s="3651"/>
      <c r="C70" s="1049" t="s">
        <v>1509</v>
      </c>
      <c r="D70" s="1049" t="s">
        <v>1510</v>
      </c>
      <c r="E70" s="1120">
        <v>0.2</v>
      </c>
      <c r="F70" s="1135">
        <v>30</v>
      </c>
    </row>
    <row r="71" spans="1:6" s="1086" customFormat="1" ht="48">
      <c r="A71" s="1135">
        <v>11</v>
      </c>
      <c r="B71" s="3651"/>
      <c r="C71" s="1049" t="s">
        <v>1511</v>
      </c>
      <c r="D71" s="1049" t="s">
        <v>1512</v>
      </c>
      <c r="E71" s="1120">
        <v>0.2</v>
      </c>
      <c r="F71" s="1135">
        <v>30</v>
      </c>
    </row>
    <row r="72" spans="1:6" s="1086" customFormat="1" ht="36">
      <c r="A72" s="1135">
        <v>12</v>
      </c>
      <c r="B72" s="3651"/>
      <c r="C72" s="1049" t="s">
        <v>1513</v>
      </c>
      <c r="D72" s="1049" t="s">
        <v>1514</v>
      </c>
      <c r="E72" s="1120">
        <v>0.5</v>
      </c>
      <c r="F72" s="1135">
        <v>80</v>
      </c>
    </row>
    <row r="73" spans="1:6" s="1086" customFormat="1" ht="24">
      <c r="A73" s="1135">
        <v>13</v>
      </c>
      <c r="B73" s="3651"/>
      <c r="C73" s="1049" t="s">
        <v>1515</v>
      </c>
      <c r="D73" s="1049" t="s">
        <v>1516</v>
      </c>
      <c r="E73" s="1120">
        <v>0.4</v>
      </c>
      <c r="F73" s="1135">
        <v>60</v>
      </c>
    </row>
    <row r="74" spans="1:6" s="1086" customFormat="1" ht="24">
      <c r="A74" s="1135">
        <v>14</v>
      </c>
      <c r="B74" s="3651"/>
      <c r="C74" s="1049" t="s">
        <v>1517</v>
      </c>
      <c r="D74" s="1049" t="s">
        <v>1518</v>
      </c>
      <c r="E74" s="1120">
        <v>0.2</v>
      </c>
      <c r="F74" s="1135">
        <v>30</v>
      </c>
    </row>
    <row r="75" spans="1:6" s="1086" customFormat="1" ht="24">
      <c r="A75" s="1135">
        <v>15</v>
      </c>
      <c r="B75" s="3651"/>
      <c r="C75" s="1049" t="s">
        <v>1519</v>
      </c>
      <c r="D75" s="1049" t="s">
        <v>1520</v>
      </c>
      <c r="E75" s="1120">
        <v>0.2</v>
      </c>
      <c r="F75" s="1135">
        <v>30</v>
      </c>
    </row>
    <row r="76" spans="1:6" s="1086" customFormat="1" ht="24">
      <c r="A76" s="1135">
        <v>16</v>
      </c>
      <c r="B76" s="3651" t="s">
        <v>1521</v>
      </c>
      <c r="C76" s="1049" t="s">
        <v>1522</v>
      </c>
      <c r="D76" s="1049" t="s">
        <v>1523</v>
      </c>
      <c r="E76" s="1120">
        <v>0.5</v>
      </c>
      <c r="F76" s="1135">
        <v>80</v>
      </c>
    </row>
    <row r="77" spans="1:6" s="1086" customFormat="1" ht="24">
      <c r="A77" s="1135">
        <v>17</v>
      </c>
      <c r="B77" s="3651"/>
      <c r="C77" s="1049" t="s">
        <v>1524</v>
      </c>
      <c r="D77" s="1049" t="s">
        <v>1525</v>
      </c>
      <c r="E77" s="1120">
        <v>0.5</v>
      </c>
      <c r="F77" s="1135">
        <v>80</v>
      </c>
    </row>
    <row r="78" spans="1:6" s="1086" customFormat="1" ht="24">
      <c r="A78" s="1135">
        <v>18</v>
      </c>
      <c r="B78" s="3651"/>
      <c r="C78" s="1049" t="s">
        <v>1526</v>
      </c>
      <c r="D78" s="1049" t="s">
        <v>1527</v>
      </c>
      <c r="E78" s="1120">
        <v>0.2</v>
      </c>
      <c r="F78" s="1135">
        <v>30</v>
      </c>
    </row>
    <row r="79" spans="1:6" s="1086" customFormat="1" ht="24">
      <c r="A79" s="1135">
        <v>19</v>
      </c>
      <c r="B79" s="3651"/>
      <c r="C79" s="1049" t="s">
        <v>1528</v>
      </c>
      <c r="D79" s="1049" t="s">
        <v>1529</v>
      </c>
      <c r="E79" s="1120">
        <v>0.5</v>
      </c>
      <c r="F79" s="1135">
        <v>80</v>
      </c>
    </row>
    <row r="80" spans="1:6" s="1086" customFormat="1" ht="36">
      <c r="A80" s="1135">
        <v>20</v>
      </c>
      <c r="B80" s="3651"/>
      <c r="C80" s="1049" t="s">
        <v>1530</v>
      </c>
      <c r="D80" s="1049" t="s">
        <v>1531</v>
      </c>
      <c r="E80" s="1120">
        <v>0.2</v>
      </c>
      <c r="F80" s="1135">
        <v>30</v>
      </c>
    </row>
    <row r="81" spans="1:6" s="1086" customFormat="1" ht="36">
      <c r="A81" s="1135">
        <v>21</v>
      </c>
      <c r="B81" s="3651"/>
      <c r="C81" s="1049" t="s">
        <v>1532</v>
      </c>
      <c r="D81" s="1049" t="s">
        <v>1533</v>
      </c>
      <c r="E81" s="1120">
        <v>0.2</v>
      </c>
      <c r="F81" s="1135">
        <v>30</v>
      </c>
    </row>
    <row r="82" spans="1:6" s="1086" customFormat="1" ht="48">
      <c r="A82" s="1135">
        <v>22</v>
      </c>
      <c r="B82" s="3651"/>
      <c r="C82" s="1049" t="s">
        <v>1534</v>
      </c>
      <c r="D82" s="1049" t="s">
        <v>1535</v>
      </c>
      <c r="E82" s="1120">
        <v>0.2</v>
      </c>
      <c r="F82" s="1135">
        <v>30</v>
      </c>
    </row>
    <row r="83" spans="1:6" s="1086" customFormat="1" ht="48">
      <c r="A83" s="1135">
        <v>23</v>
      </c>
      <c r="B83" s="3651"/>
      <c r="C83" s="1049" t="s">
        <v>1536</v>
      </c>
      <c r="D83" s="1049" t="s">
        <v>1537</v>
      </c>
      <c r="E83" s="1120">
        <v>0.2</v>
      </c>
      <c r="F83" s="1135">
        <v>30</v>
      </c>
    </row>
    <row r="84" spans="1:6" s="1086" customFormat="1" ht="36">
      <c r="A84" s="1135">
        <v>24</v>
      </c>
      <c r="B84" s="3651"/>
      <c r="C84" s="1049" t="s">
        <v>1538</v>
      </c>
      <c r="D84" s="1049" t="s">
        <v>1539</v>
      </c>
      <c r="E84" s="1120">
        <v>0.2</v>
      </c>
      <c r="F84" s="1135">
        <v>30</v>
      </c>
    </row>
    <row r="85" spans="1:6" s="1086" customFormat="1" ht="36">
      <c r="A85" s="1135">
        <v>25</v>
      </c>
      <c r="B85" s="3651"/>
      <c r="C85" s="1049" t="s">
        <v>1540</v>
      </c>
      <c r="D85" s="1049" t="s">
        <v>1541</v>
      </c>
      <c r="E85" s="1120">
        <v>0.5</v>
      </c>
      <c r="F85" s="1135">
        <v>80</v>
      </c>
    </row>
    <row r="86" spans="1:6" s="1086" customFormat="1" ht="36">
      <c r="A86" s="1135">
        <v>26</v>
      </c>
      <c r="B86" s="3651"/>
      <c r="C86" s="1049" t="s">
        <v>1542</v>
      </c>
      <c r="D86" s="1049" t="s">
        <v>1543</v>
      </c>
      <c r="E86" s="1120">
        <v>0.2</v>
      </c>
      <c r="F86" s="1135">
        <v>30</v>
      </c>
    </row>
    <row r="87" spans="1:6" s="1086" customFormat="1" ht="36">
      <c r="A87" s="1135">
        <v>27</v>
      </c>
      <c r="B87" s="3651"/>
      <c r="C87" s="1049" t="s">
        <v>1544</v>
      </c>
      <c r="D87" s="1049" t="s">
        <v>1545</v>
      </c>
      <c r="E87" s="1120">
        <v>0.2</v>
      </c>
      <c r="F87" s="1135">
        <v>30</v>
      </c>
    </row>
    <row r="88" spans="1:6" s="1086" customFormat="1" ht="36">
      <c r="A88" s="1135">
        <v>28</v>
      </c>
      <c r="B88" s="3651"/>
      <c r="C88" s="1049" t="s">
        <v>1546</v>
      </c>
      <c r="D88" s="1049" t="s">
        <v>1547</v>
      </c>
      <c r="E88" s="1120">
        <v>0.2</v>
      </c>
      <c r="F88" s="1135">
        <v>30</v>
      </c>
    </row>
    <row r="89" spans="1:6" s="1086" customFormat="1" ht="24">
      <c r="A89" s="1135">
        <v>29</v>
      </c>
      <c r="B89" s="3651"/>
      <c r="C89" s="1049" t="s">
        <v>1548</v>
      </c>
      <c r="D89" s="1049" t="s">
        <v>1549</v>
      </c>
      <c r="E89" s="1120">
        <v>0.2</v>
      </c>
      <c r="F89" s="1135">
        <v>30</v>
      </c>
    </row>
    <row r="90" spans="1:6" s="1086" customFormat="1" ht="24">
      <c r="A90" s="1135">
        <v>30</v>
      </c>
      <c r="B90" s="3651"/>
      <c r="C90" s="1049" t="s">
        <v>1550</v>
      </c>
      <c r="D90" s="1049" t="s">
        <v>1551</v>
      </c>
      <c r="E90" s="1120">
        <v>0.2</v>
      </c>
      <c r="F90" s="1135">
        <v>30</v>
      </c>
    </row>
    <row r="91" spans="1:6" s="1086" customFormat="1" ht="36">
      <c r="A91" s="1135">
        <v>31</v>
      </c>
      <c r="B91" s="3651"/>
      <c r="C91" s="1049" t="s">
        <v>1552</v>
      </c>
      <c r="D91" s="1049" t="s">
        <v>1553</v>
      </c>
      <c r="E91" s="1120">
        <v>0.2</v>
      </c>
      <c r="F91" s="1135">
        <v>30</v>
      </c>
    </row>
    <row r="92" spans="1:6" s="1086" customFormat="1" ht="24">
      <c r="A92" s="1135">
        <v>32</v>
      </c>
      <c r="B92" s="3651" t="s">
        <v>1554</v>
      </c>
      <c r="C92" s="1135" t="s">
        <v>1555</v>
      </c>
      <c r="D92" s="1049" t="s">
        <v>1556</v>
      </c>
      <c r="E92" s="1120">
        <v>0.2</v>
      </c>
      <c r="F92" s="1135">
        <v>30</v>
      </c>
    </row>
    <row r="93" spans="1:6" s="1086" customFormat="1" ht="36">
      <c r="A93" s="1135">
        <v>33</v>
      </c>
      <c r="B93" s="3651"/>
      <c r="C93" s="1135" t="s">
        <v>1557</v>
      </c>
      <c r="D93" s="1049" t="s">
        <v>1558</v>
      </c>
      <c r="E93" s="1120">
        <v>0.2</v>
      </c>
      <c r="F93" s="1135">
        <v>30</v>
      </c>
    </row>
    <row r="94" spans="1:6" s="1086" customFormat="1" ht="48">
      <c r="A94" s="1135">
        <v>34</v>
      </c>
      <c r="B94" s="3651"/>
      <c r="C94" s="1135" t="s">
        <v>1559</v>
      </c>
      <c r="D94" s="1049" t="s">
        <v>1560</v>
      </c>
      <c r="E94" s="1120">
        <v>0.2</v>
      </c>
      <c r="F94" s="1135">
        <v>30</v>
      </c>
    </row>
    <row r="95" spans="1:6" s="1086" customFormat="1" ht="36">
      <c r="A95" s="1135">
        <v>35</v>
      </c>
      <c r="B95" s="3651"/>
      <c r="C95" s="1135" t="s">
        <v>1561</v>
      </c>
      <c r="D95" s="1049" t="s">
        <v>1562</v>
      </c>
      <c r="E95" s="1120">
        <v>0.2</v>
      </c>
      <c r="F95" s="1135">
        <v>30</v>
      </c>
    </row>
    <row r="96" spans="1:6" s="1086" customFormat="1" ht="48">
      <c r="A96" s="1135">
        <v>36</v>
      </c>
      <c r="B96" s="3651"/>
      <c r="C96" s="1049" t="s">
        <v>1563</v>
      </c>
      <c r="D96" s="1049" t="s">
        <v>1564</v>
      </c>
      <c r="E96" s="1120">
        <v>0.2</v>
      </c>
      <c r="F96" s="1135">
        <v>30</v>
      </c>
    </row>
    <row r="97" spans="1:6" s="1086" customFormat="1" ht="36">
      <c r="A97" s="1135">
        <v>37</v>
      </c>
      <c r="B97" s="3651"/>
      <c r="C97" s="1135" t="s">
        <v>1565</v>
      </c>
      <c r="D97" s="1049" t="s">
        <v>1566</v>
      </c>
      <c r="E97" s="1120">
        <v>0.2</v>
      </c>
      <c r="F97" s="1135">
        <v>30</v>
      </c>
    </row>
    <row r="98" spans="1:6" s="1086" customFormat="1" ht="36">
      <c r="A98" s="1135">
        <v>38</v>
      </c>
      <c r="B98" s="3651"/>
      <c r="C98" s="1135" t="s">
        <v>1567</v>
      </c>
      <c r="D98" s="1049" t="s">
        <v>1568</v>
      </c>
      <c r="E98" s="1120">
        <v>0.2</v>
      </c>
      <c r="F98" s="1135">
        <v>30</v>
      </c>
    </row>
    <row r="99" spans="1:6" s="1086" customFormat="1" ht="36">
      <c r="A99" s="1135">
        <v>39</v>
      </c>
      <c r="B99" s="3651" t="s">
        <v>1569</v>
      </c>
      <c r="C99" s="1135" t="s">
        <v>1570</v>
      </c>
      <c r="D99" s="1049" t="s">
        <v>1571</v>
      </c>
      <c r="E99" s="1120">
        <v>0.3</v>
      </c>
      <c r="F99" s="1135">
        <v>50</v>
      </c>
    </row>
    <row r="100" spans="1:6" s="1086" customFormat="1" ht="24">
      <c r="A100" s="1135">
        <v>40</v>
      </c>
      <c r="B100" s="3651"/>
      <c r="C100" s="1135" t="s">
        <v>1572</v>
      </c>
      <c r="D100" s="1049" t="s">
        <v>1573</v>
      </c>
      <c r="E100" s="1120">
        <v>0.2</v>
      </c>
      <c r="F100" s="1135">
        <v>30</v>
      </c>
    </row>
    <row r="101" spans="1:6" s="1086" customFormat="1" ht="36">
      <c r="A101" s="1135">
        <v>41</v>
      </c>
      <c r="B101" s="3651"/>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51" t="s">
        <v>1584</v>
      </c>
      <c r="C105" s="1135" t="s">
        <v>1585</v>
      </c>
      <c r="D105" s="1049" t="s">
        <v>1586</v>
      </c>
      <c r="E105" s="1120">
        <v>0.2</v>
      </c>
      <c r="F105" s="1135">
        <v>30</v>
      </c>
    </row>
    <row r="106" spans="1:6" s="1086" customFormat="1" ht="36">
      <c r="A106" s="1135">
        <v>46</v>
      </c>
      <c r="B106" s="3651"/>
      <c r="C106" s="1135" t="s">
        <v>1587</v>
      </c>
      <c r="D106" s="1049" t="s">
        <v>1588</v>
      </c>
      <c r="E106" s="1120">
        <v>0.2</v>
      </c>
      <c r="F106" s="1135">
        <v>30</v>
      </c>
    </row>
    <row r="107" spans="1:6" s="1086" customFormat="1" ht="36">
      <c r="A107" s="1135">
        <v>47</v>
      </c>
      <c r="B107" s="3651" t="s">
        <v>1589</v>
      </c>
      <c r="C107" s="1135" t="s">
        <v>1590</v>
      </c>
      <c r="D107" s="1049" t="s">
        <v>1591</v>
      </c>
      <c r="E107" s="1120">
        <v>0.3</v>
      </c>
      <c r="F107" s="1135">
        <v>50</v>
      </c>
    </row>
    <row r="108" spans="1:6" s="1086" customFormat="1" ht="36">
      <c r="A108" s="1135">
        <v>48</v>
      </c>
      <c r="B108" s="3651"/>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51" t="s">
        <v>1600</v>
      </c>
      <c r="C111" s="1135" t="s">
        <v>1601</v>
      </c>
      <c r="D111" s="1049" t="s">
        <v>1602</v>
      </c>
      <c r="E111" s="1120">
        <v>0.2</v>
      </c>
      <c r="F111" s="1135">
        <v>30</v>
      </c>
    </row>
    <row r="112" spans="1:6" s="1086" customFormat="1" ht="24">
      <c r="A112" s="1135">
        <v>52</v>
      </c>
      <c r="B112" s="3651"/>
      <c r="C112" s="1135" t="s">
        <v>1603</v>
      </c>
      <c r="D112" s="1049" t="s">
        <v>1604</v>
      </c>
      <c r="E112" s="1120">
        <v>0.2</v>
      </c>
      <c r="F112" s="1135">
        <v>30</v>
      </c>
    </row>
    <row r="113" spans="1:14" s="1086" customFormat="1" ht="24">
      <c r="A113" s="1135">
        <v>53</v>
      </c>
      <c r="B113" s="3651"/>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51" t="s">
        <v>1613</v>
      </c>
      <c r="C116" s="1135" t="s">
        <v>1614</v>
      </c>
      <c r="D116" s="1049" t="s">
        <v>1615</v>
      </c>
      <c r="E116" s="1120">
        <v>0.2</v>
      </c>
      <c r="F116" s="1135">
        <v>30</v>
      </c>
    </row>
    <row r="117" spans="1:14" ht="36">
      <c r="A117" s="1135">
        <v>57</v>
      </c>
      <c r="B117" s="3651"/>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50" t="s">
        <v>1622</v>
      </c>
      <c r="B121" s="3650"/>
      <c r="C121" s="3650"/>
      <c r="D121" s="3650"/>
      <c r="E121" s="3650"/>
      <c r="F121" s="3650"/>
      <c r="G121" s="3650"/>
      <c r="H121" s="3650"/>
      <c r="I121" s="3650"/>
      <c r="J121" s="3650"/>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2" t="s">
        <v>1028</v>
      </c>
      <c r="B1" s="3652"/>
      <c r="C1" s="3652"/>
      <c r="D1" s="3652"/>
      <c r="E1" s="3652"/>
      <c r="F1" s="365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3" t="s">
        <v>1041</v>
      </c>
      <c r="B2" s="3653"/>
      <c r="C2" s="3653"/>
      <c r="D2" s="3653"/>
      <c r="E2" s="3653"/>
      <c r="F2" s="365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6" t="s">
        <v>2065</v>
      </c>
      <c r="B1" s="3656"/>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8" zoomScale="80" zoomScaleNormal="60" zoomScaleSheetLayoutView="80" workbookViewId="0">
      <selection activeCell="D51" sqref="D5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46"/>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3379">
        <f>ROUND(IF(F17="与级别开发程度一致",0,(G17-E17)/C17),0)</f>
        <v>-56</v>
      </c>
      <c r="D16" s="3639" t="s">
        <v>943</v>
      </c>
      <c r="E16" s="3640"/>
      <c r="F16" s="3639" t="s">
        <v>940</v>
      </c>
      <c r="G16" s="364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3278"/>
      <c r="L90" s="3278"/>
      <c r="M90" s="3278"/>
      <c r="N90" s="3278"/>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1" zoomScale="80" zoomScaleNormal="60" zoomScaleSheetLayoutView="80" workbookViewId="0">
      <selection activeCell="D58" sqref="D58:D6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45"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46"/>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32" t="s">
        <v>2760</v>
      </c>
      <c r="X8" s="363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46"/>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3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46"/>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3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46"/>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3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45"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3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47"/>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3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47"/>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48"/>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45" t="s">
        <v>1826</v>
      </c>
      <c r="B16" s="1374" t="s">
        <v>939</v>
      </c>
      <c r="C16" s="1037">
        <f>ROUND(IF(F17="与级别开发程度一致",0,(G17-E17)/C17),0)</f>
        <v>-56</v>
      </c>
      <c r="D16" s="3639" t="s">
        <v>943</v>
      </c>
      <c r="E16" s="3640"/>
      <c r="F16" s="3639" t="s">
        <v>940</v>
      </c>
      <c r="G16" s="364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49"/>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41"/>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41"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42"/>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42"/>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42"/>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42"/>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3"/>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43"/>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3399">
        <f t="shared" ref="D58:D66" si="15">SUMIF($J$57:$N$57,C58,J58:N58)</f>
        <v>0</v>
      </c>
      <c r="E58" s="2289">
        <f>ROUND(SUM(D58:D66),4)</f>
        <v>4.4900000000000002E-2</v>
      </c>
      <c r="F58" s="2290">
        <f>IF(E2="办公",SUMIF(L1:L12,G2,N1:N12),"——")</f>
        <v>0.123</v>
      </c>
      <c r="G58" s="2268">
        <f>H58</f>
        <v>1.47E-2</v>
      </c>
      <c r="H58" s="2313">
        <f>IFERROR(ROUNDDOWN($F$58*I58/2,4),"——")</f>
        <v>1.47E-2</v>
      </c>
      <c r="I58" s="2288">
        <v>0.24</v>
      </c>
      <c r="J58" s="3398">
        <f t="shared" ref="J58:J66" si="16">K58+$G58</f>
        <v>2.9399999999999999E-2</v>
      </c>
      <c r="K58" s="3398">
        <f t="shared" ref="K58:K66" si="17">$L58+$G58</f>
        <v>1.47E-2</v>
      </c>
      <c r="L58" s="3398">
        <v>0</v>
      </c>
      <c r="M58" s="3398">
        <f t="shared" ref="M58:N66" si="18">L58-$G58</f>
        <v>-1.47E-2</v>
      </c>
      <c r="N58" s="3398">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3399">
        <f t="shared" si="15"/>
        <v>1.8449999999999998E-2</v>
      </c>
      <c r="E59" s="2292"/>
      <c r="F59" s="2290"/>
      <c r="G59" s="2268">
        <f t="shared" ref="G59:G66" si="19">H59</f>
        <v>1.8449999999999998E-2</v>
      </c>
      <c r="H59" s="2269">
        <f t="shared" ref="H59:H66" si="20">IFERROR($F$58*I59/2,"——")</f>
        <v>1.8449999999999998E-2</v>
      </c>
      <c r="I59" s="2288">
        <v>0.3</v>
      </c>
      <c r="J59" s="3398">
        <f t="shared" si="16"/>
        <v>3.6899999999999995E-2</v>
      </c>
      <c r="K59" s="3398">
        <f t="shared" si="17"/>
        <v>1.8449999999999998E-2</v>
      </c>
      <c r="L59" s="3398">
        <v>0</v>
      </c>
      <c r="M59" s="3398">
        <f t="shared" si="18"/>
        <v>-1.8449999999999998E-2</v>
      </c>
      <c r="N59" s="3398">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3399">
        <f t="shared" si="15"/>
        <v>0</v>
      </c>
      <c r="E60" s="2292"/>
      <c r="F60" s="2290"/>
      <c r="G60" s="2268">
        <f t="shared" si="19"/>
        <v>4.9199999999999999E-3</v>
      </c>
      <c r="H60" s="2269">
        <f t="shared" si="20"/>
        <v>4.9199999999999999E-3</v>
      </c>
      <c r="I60" s="2288">
        <v>0.08</v>
      </c>
      <c r="J60" s="3398">
        <f t="shared" si="16"/>
        <v>9.8399999999999998E-3</v>
      </c>
      <c r="K60" s="3398">
        <f t="shared" si="17"/>
        <v>4.9199999999999999E-3</v>
      </c>
      <c r="L60" s="3398">
        <v>0</v>
      </c>
      <c r="M60" s="3398">
        <f t="shared" si="18"/>
        <v>-4.9199999999999999E-3</v>
      </c>
      <c r="N60" s="3398">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3399">
        <f t="shared" si="15"/>
        <v>2.4599999999999999E-3</v>
      </c>
      <c r="E61" s="2292"/>
      <c r="F61" s="2290"/>
      <c r="G61" s="2268">
        <f t="shared" si="19"/>
        <v>2.4599999999999999E-3</v>
      </c>
      <c r="H61" s="2269">
        <f t="shared" si="20"/>
        <v>2.4599999999999999E-3</v>
      </c>
      <c r="I61" s="2288">
        <v>0.04</v>
      </c>
      <c r="J61" s="3398">
        <f t="shared" si="16"/>
        <v>4.9199999999999999E-3</v>
      </c>
      <c r="K61" s="3398">
        <f t="shared" si="17"/>
        <v>2.4599999999999999E-3</v>
      </c>
      <c r="L61" s="3398">
        <v>0</v>
      </c>
      <c r="M61" s="3398">
        <f t="shared" si="18"/>
        <v>-2.4599999999999999E-3</v>
      </c>
      <c r="N61" s="3398">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3399">
        <f t="shared" si="15"/>
        <v>6.1500000000000001E-3</v>
      </c>
      <c r="E62" s="2292"/>
      <c r="F62" s="2290"/>
      <c r="G62" s="2268">
        <f t="shared" si="19"/>
        <v>3.075E-3</v>
      </c>
      <c r="H62" s="2269">
        <f t="shared" si="20"/>
        <v>3.075E-3</v>
      </c>
      <c r="I62" s="2288">
        <v>0.05</v>
      </c>
      <c r="J62" s="3398">
        <f t="shared" si="16"/>
        <v>6.1500000000000001E-3</v>
      </c>
      <c r="K62" s="3398">
        <f t="shared" si="17"/>
        <v>3.075E-3</v>
      </c>
      <c r="L62" s="3398">
        <v>0</v>
      </c>
      <c r="M62" s="3398">
        <f t="shared" si="18"/>
        <v>-3.075E-3</v>
      </c>
      <c r="N62" s="3398">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3399">
        <f t="shared" si="15"/>
        <v>3.075E-3</v>
      </c>
      <c r="E63" s="2292"/>
      <c r="F63" s="2290"/>
      <c r="G63" s="2268">
        <f t="shared" si="19"/>
        <v>3.075E-3</v>
      </c>
      <c r="H63" s="2269">
        <f t="shared" si="20"/>
        <v>3.075E-3</v>
      </c>
      <c r="I63" s="2288">
        <v>0.05</v>
      </c>
      <c r="J63" s="3398">
        <f t="shared" si="16"/>
        <v>6.1500000000000001E-3</v>
      </c>
      <c r="K63" s="3398">
        <f t="shared" si="17"/>
        <v>3.075E-3</v>
      </c>
      <c r="L63" s="3398">
        <v>0</v>
      </c>
      <c r="M63" s="3398">
        <f t="shared" si="18"/>
        <v>-3.075E-3</v>
      </c>
      <c r="N63" s="3398">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3399">
        <f t="shared" si="15"/>
        <v>0</v>
      </c>
      <c r="E64" s="2292"/>
      <c r="F64" s="2290"/>
      <c r="G64" s="2268">
        <f t="shared" si="19"/>
        <v>3.6899999999999997E-3</v>
      </c>
      <c r="H64" s="2269">
        <f t="shared" si="20"/>
        <v>3.6899999999999997E-3</v>
      </c>
      <c r="I64" s="2288">
        <v>0.06</v>
      </c>
      <c r="J64" s="3398">
        <f t="shared" si="16"/>
        <v>7.3799999999999994E-3</v>
      </c>
      <c r="K64" s="3398">
        <f t="shared" si="17"/>
        <v>3.6899999999999997E-3</v>
      </c>
      <c r="L64" s="3398">
        <v>0</v>
      </c>
      <c r="M64" s="3398">
        <f t="shared" si="18"/>
        <v>-3.6899999999999997E-3</v>
      </c>
      <c r="N64" s="3398">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3399">
        <f t="shared" si="15"/>
        <v>7.3799999999999994E-3</v>
      </c>
      <c r="E65" s="2292"/>
      <c r="F65" s="2290"/>
      <c r="G65" s="2268">
        <f t="shared" si="19"/>
        <v>7.3799999999999994E-3</v>
      </c>
      <c r="H65" s="2269">
        <f t="shared" si="20"/>
        <v>7.3799999999999994E-3</v>
      </c>
      <c r="I65" s="2288">
        <v>0.12</v>
      </c>
      <c r="J65" s="3398">
        <f t="shared" si="16"/>
        <v>1.4759999999999999E-2</v>
      </c>
      <c r="K65" s="3398">
        <f t="shared" si="17"/>
        <v>7.3799999999999994E-3</v>
      </c>
      <c r="L65" s="3398">
        <v>0</v>
      </c>
      <c r="M65" s="3398">
        <f t="shared" si="18"/>
        <v>-7.3799999999999994E-3</v>
      </c>
      <c r="N65" s="3398">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3399">
        <f t="shared" si="15"/>
        <v>7.3799999999999994E-3</v>
      </c>
      <c r="E66" s="2296"/>
      <c r="F66" s="2290"/>
      <c r="G66" s="2268">
        <f t="shared" si="19"/>
        <v>3.6899999999999997E-3</v>
      </c>
      <c r="H66" s="2269">
        <f t="shared" si="20"/>
        <v>3.6899999999999997E-3</v>
      </c>
      <c r="I66" s="2295">
        <v>0.06</v>
      </c>
      <c r="J66" s="3398">
        <f t="shared" si="16"/>
        <v>7.3799999999999994E-3</v>
      </c>
      <c r="K66" s="3398">
        <f t="shared" si="17"/>
        <v>3.6899999999999997E-3</v>
      </c>
      <c r="L66" s="3398">
        <v>0</v>
      </c>
      <c r="M66" s="3398">
        <f t="shared" si="18"/>
        <v>-3.6899999999999997E-3</v>
      </c>
      <c r="N66" s="3398">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50" t="s">
        <v>1622</v>
      </c>
      <c r="B90" s="3650"/>
      <c r="C90" s="3650"/>
      <c r="D90" s="3650"/>
      <c r="E90" s="3650"/>
      <c r="F90" s="3650"/>
      <c r="G90" s="3650"/>
      <c r="H90" s="3650"/>
      <c r="I90" s="3650"/>
      <c r="J90" s="3650"/>
      <c r="K90" s="3278"/>
      <c r="L90" s="3278"/>
      <c r="M90" s="3278"/>
      <c r="N90" s="3278"/>
    </row>
    <row r="91" spans="1:40">
      <c r="A91" s="3651" t="s">
        <v>1432</v>
      </c>
      <c r="B91" s="3651" t="s">
        <v>1623</v>
      </c>
      <c r="C91" s="1121" t="s">
        <v>1624</v>
      </c>
      <c r="D91" s="1122"/>
      <c r="E91" s="1122"/>
      <c r="F91" s="1122"/>
      <c r="G91" s="1122"/>
      <c r="H91" s="1122"/>
      <c r="I91" s="1122"/>
      <c r="J91" s="1123"/>
      <c r="K91" s="1115"/>
      <c r="L91" s="1115"/>
      <c r="M91" s="1115"/>
      <c r="N91" s="1115"/>
    </row>
    <row r="92" spans="1:40">
      <c r="A92" s="3651"/>
      <c r="B92" s="3651"/>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3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3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3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3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3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3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3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3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3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3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3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3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3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3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3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35"/>
      <c r="B108" s="363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36"/>
      <c r="B109" s="363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44" t="s">
        <v>1628</v>
      </c>
      <c r="B110" s="3644"/>
      <c r="C110" s="3644"/>
      <c r="D110" s="3644"/>
      <c r="E110" s="3644"/>
      <c r="F110" s="3644"/>
      <c r="G110" s="3644"/>
      <c r="H110" s="3644"/>
      <c r="I110" s="3644"/>
      <c r="J110" s="3644"/>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64" t="s">
        <v>2554</v>
      </c>
      <c r="C1" s="3664"/>
      <c r="D1" s="3664"/>
      <c r="E1" s="3664"/>
      <c r="F1" s="3664"/>
      <c r="G1" s="3663" t="s">
        <v>2555</v>
      </c>
      <c r="H1" s="3663"/>
      <c r="I1" s="3663"/>
      <c r="J1" s="3663"/>
      <c r="K1" s="3663"/>
      <c r="L1" s="3663"/>
      <c r="N1" s="3663" t="s">
        <v>2556</v>
      </c>
      <c r="O1" s="3663"/>
      <c r="P1" s="3663"/>
      <c r="Q1" s="3663"/>
      <c r="S1" s="3663" t="s">
        <v>2557</v>
      </c>
      <c r="T1" s="3663"/>
      <c r="U1" s="3663"/>
      <c r="V1" s="3663"/>
      <c r="X1" s="3662" t="s">
        <v>2617</v>
      </c>
      <c r="Y1" s="3663"/>
      <c r="Z1" s="3663"/>
      <c r="AA1" s="3663"/>
      <c r="AB1" s="3663"/>
      <c r="AD1" s="3662" t="s">
        <v>2621</v>
      </c>
      <c r="AE1" s="3663"/>
      <c r="AF1" s="3663"/>
      <c r="AG1" s="3663"/>
      <c r="AH1" s="3663"/>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58">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58"/>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58"/>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59"/>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57">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58"/>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58"/>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59"/>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57">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58"/>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58"/>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61"/>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60">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58"/>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58"/>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61"/>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60">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58"/>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58"/>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61"/>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5">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6"/>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6"/>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7"/>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60">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58"/>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58"/>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61"/>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60">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58">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58">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61">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60">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58">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58">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61">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60">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58">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58">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61">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60">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58">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58">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61">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60">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58">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58">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61">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60">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58">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58">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61">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60">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58">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58">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61">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60">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58">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58">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61">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60">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58">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58">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61">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60">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58">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58">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61">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9" t="s">
        <v>2442</v>
      </c>
      <c r="C8" s="1738">
        <f ca="1">ROUND(F8*F10*F9*(1-F11)/10000,0)</f>
        <v>0</v>
      </c>
      <c r="D8" s="1735" t="s">
        <v>2513</v>
      </c>
      <c r="E8" s="60" t="s">
        <v>629</v>
      </c>
      <c r="F8" s="773">
        <f ca="1">INDIRECT("'数据-取费表'!u"&amp;$G$1)</f>
        <v>0</v>
      </c>
      <c r="G8" s="1525"/>
      <c r="H8" s="2355" t="s">
        <v>1812</v>
      </c>
      <c r="I8" s="3669" t="s">
        <v>2442</v>
      </c>
      <c r="J8" s="771">
        <f ca="1">ROUND(M8*M10*M9*(1-M11)/10000,0)</f>
        <v>0</v>
      </c>
      <c r="K8" s="337" t="s">
        <v>2513</v>
      </c>
      <c r="L8" s="772" t="s">
        <v>1726</v>
      </c>
      <c r="M8" s="773">
        <f ca="1">INDIRECT("'数据-取费表'!z"&amp;$G$1)</f>
        <v>0</v>
      </c>
    </row>
    <row r="9" spans="1:25" ht="18" customHeight="1">
      <c r="A9" s="2351"/>
      <c r="B9" s="3670"/>
      <c r="C9" s="1739"/>
      <c r="D9" s="1736"/>
      <c r="E9" s="60" t="s">
        <v>630</v>
      </c>
      <c r="F9" s="773">
        <f ca="1">IF(INDIRECT("'数据-取费表'!ah"&amp;$G$1)="",INDIRECT("'数据-取费表'!k"&amp;$G$1),INDIRECT("'数据-取费表'!ah"&amp;$G$1))</f>
        <v>0</v>
      </c>
      <c r="G9" s="1525"/>
      <c r="H9" s="2340"/>
      <c r="I9" s="3670"/>
      <c r="J9" s="776"/>
      <c r="K9" s="777"/>
      <c r="L9" s="772" t="s">
        <v>1727</v>
      </c>
      <c r="M9" s="773">
        <f ca="1">F9</f>
        <v>0</v>
      </c>
    </row>
    <row r="10" spans="1:25" ht="18" customHeight="1">
      <c r="A10" s="2344"/>
      <c r="B10" s="3671"/>
      <c r="C10" s="1739"/>
      <c r="D10" s="1736"/>
      <c r="E10" s="60" t="s">
        <v>631</v>
      </c>
      <c r="F10" s="773">
        <f ca="1">INDIRECT("'数据-取费表'!ai"&amp;$G$1)</f>
        <v>0</v>
      </c>
      <c r="G10" s="1525"/>
      <c r="H10" s="2340"/>
      <c r="I10" s="3671"/>
      <c r="J10" s="776"/>
      <c r="K10" s="777"/>
      <c r="L10" s="772" t="s">
        <v>1728</v>
      </c>
      <c r="M10" s="773">
        <f ca="1">INDIRECT("'数据-取费表'!ai"&amp;$G$1)</f>
        <v>0</v>
      </c>
    </row>
    <row r="11" spans="1:25" ht="18" customHeight="1">
      <c r="A11" s="774"/>
      <c r="B11" s="3672"/>
      <c r="C11" s="1739"/>
      <c r="D11" s="1736"/>
      <c r="E11" s="60" t="s">
        <v>632</v>
      </c>
      <c r="F11" s="782">
        <f ca="1">INDIRECT("'数据-取费表'!w"&amp;$G$1)</f>
        <v>0</v>
      </c>
      <c r="G11" s="1525"/>
      <c r="H11" s="2356"/>
      <c r="I11" s="3671"/>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8.0000000000000002E-3</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8.0000000000000002E-3</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2.9999999999999997E-4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8"/>
      <c r="J36" s="1960"/>
      <c r="K36" s="1961"/>
      <c r="L36" s="1960"/>
      <c r="M36" s="1960"/>
    </row>
    <row r="37" spans="1:18" ht="18" customHeight="1">
      <c r="A37" s="802"/>
      <c r="B37" s="781"/>
      <c r="C37" s="68"/>
      <c r="D37" s="803"/>
      <c r="E37" s="772" t="s">
        <v>666</v>
      </c>
      <c r="F37" s="773">
        <f ca="1">INDIRECT("'数据-取费表'!r"&amp;$G$1)</f>
        <v>0</v>
      </c>
      <c r="G37" s="1943"/>
      <c r="H37" s="1946"/>
      <c r="I37" s="3668"/>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3"/>
      <c r="L54" s="3674"/>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75" t="s">
        <v>2450</v>
      </c>
      <c r="B1" s="3676"/>
      <c r="C1" s="3677"/>
      <c r="D1" s="3678">
        <f>SUM(I10,I15,I20,I21,I23)</f>
        <v>0</v>
      </c>
      <c r="E1" s="3678"/>
      <c r="F1" s="3678"/>
      <c r="G1" s="3678"/>
      <c r="H1" s="3678"/>
      <c r="I1" s="3679"/>
    </row>
    <row r="2" spans="1:9">
      <c r="A2" s="3680" t="s">
        <v>2451</v>
      </c>
      <c r="B2" s="3681" t="s">
        <v>2452</v>
      </c>
      <c r="C2" s="3681"/>
      <c r="D2" s="2358" t="s">
        <v>2453</v>
      </c>
      <c r="E2" s="2358" t="s">
        <v>2454</v>
      </c>
      <c r="F2" s="2358" t="s">
        <v>2455</v>
      </c>
      <c r="G2" s="2358" t="s">
        <v>2456</v>
      </c>
      <c r="H2" s="2358" t="s">
        <v>2457</v>
      </c>
      <c r="I2" s="2359" t="s">
        <v>2458</v>
      </c>
    </row>
    <row r="3" spans="1:9">
      <c r="A3" s="3680"/>
      <c r="B3" s="3681" t="s">
        <v>2459</v>
      </c>
      <c r="C3" s="3681"/>
      <c r="D3" s="2360"/>
      <c r="E3" s="2358"/>
      <c r="F3" s="2361"/>
      <c r="G3" s="2361"/>
      <c r="H3" s="2362"/>
      <c r="I3" s="2363">
        <f>ROUND(D3*E3*F3*G3*H3/10000,0)</f>
        <v>0</v>
      </c>
    </row>
    <row r="4" spans="1:9">
      <c r="A4" s="3680"/>
      <c r="B4" s="3681" t="s">
        <v>2460</v>
      </c>
      <c r="C4" s="3681"/>
      <c r="D4" s="2360"/>
      <c r="E4" s="2358"/>
      <c r="F4" s="2361"/>
      <c r="G4" s="2361"/>
      <c r="H4" s="2362"/>
      <c r="I4" s="2363">
        <f t="shared" ref="I4:I9" si="0">ROUND(D4*E4*F4*G4*H4/10000,0)</f>
        <v>0</v>
      </c>
    </row>
    <row r="5" spans="1:9">
      <c r="A5" s="3680"/>
      <c r="B5" s="3681" t="s">
        <v>2461</v>
      </c>
      <c r="C5" s="3681"/>
      <c r="D5" s="2360"/>
      <c r="E5" s="2358"/>
      <c r="F5" s="2361"/>
      <c r="G5" s="2361"/>
      <c r="H5" s="2362"/>
      <c r="I5" s="2363">
        <f t="shared" si="0"/>
        <v>0</v>
      </c>
    </row>
    <row r="6" spans="1:9">
      <c r="A6" s="3680"/>
      <c r="B6" s="3681" t="s">
        <v>2462</v>
      </c>
      <c r="C6" s="3681"/>
      <c r="D6" s="2360"/>
      <c r="E6" s="2358"/>
      <c r="F6" s="2361"/>
      <c r="G6" s="2361"/>
      <c r="H6" s="2362"/>
      <c r="I6" s="2363">
        <f t="shared" si="0"/>
        <v>0</v>
      </c>
    </row>
    <row r="7" spans="1:9">
      <c r="A7" s="3680"/>
      <c r="B7" s="3681" t="s">
        <v>2463</v>
      </c>
      <c r="C7" s="3681"/>
      <c r="D7" s="2360"/>
      <c r="E7" s="2358"/>
      <c r="F7" s="2361"/>
      <c r="G7" s="2361"/>
      <c r="H7" s="2362"/>
      <c r="I7" s="2363">
        <f t="shared" si="0"/>
        <v>0</v>
      </c>
    </row>
    <row r="8" spans="1:9">
      <c r="A8" s="3680"/>
      <c r="B8" s="3681" t="s">
        <v>2464</v>
      </c>
      <c r="C8" s="3681"/>
      <c r="D8" s="2360"/>
      <c r="E8" s="2358"/>
      <c r="F8" s="2361"/>
      <c r="G8" s="2361"/>
      <c r="H8" s="2362"/>
      <c r="I8" s="2363">
        <f t="shared" si="0"/>
        <v>0</v>
      </c>
    </row>
    <row r="9" spans="1:9">
      <c r="A9" s="3680"/>
      <c r="B9" s="3681" t="s">
        <v>2465</v>
      </c>
      <c r="C9" s="3681"/>
      <c r="D9" s="2360"/>
      <c r="E9" s="2358"/>
      <c r="F9" s="2361"/>
      <c r="G9" s="2361"/>
      <c r="H9" s="2362"/>
      <c r="I9" s="2363">
        <f t="shared" si="0"/>
        <v>0</v>
      </c>
    </row>
    <row r="10" spans="1:9">
      <c r="A10" s="3680"/>
      <c r="B10" s="3682" t="s">
        <v>2466</v>
      </c>
      <c r="C10" s="3682"/>
      <c r="D10" s="2364">
        <v>527</v>
      </c>
      <c r="E10" s="2364" t="e">
        <f>ROUND(D1*10000/D10/H9,0)</f>
        <v>#DIV/0!</v>
      </c>
      <c r="F10" s="2365"/>
      <c r="G10" s="2365"/>
      <c r="H10" s="2366"/>
      <c r="I10" s="2367">
        <f>SUM(I3:I9)</f>
        <v>0</v>
      </c>
    </row>
    <row r="11" spans="1:9" ht="14.25">
      <c r="A11" s="3680" t="s">
        <v>2467</v>
      </c>
      <c r="B11" s="3681" t="s">
        <v>2468</v>
      </c>
      <c r="C11" s="3681"/>
      <c r="D11" s="2360" t="s">
        <v>2469</v>
      </c>
      <c r="E11" s="2360" t="s">
        <v>2470</v>
      </c>
      <c r="F11" s="2361" t="s">
        <v>2471</v>
      </c>
      <c r="G11" s="2361" t="s">
        <v>2472</v>
      </c>
      <c r="H11" s="2368" t="s">
        <v>2473</v>
      </c>
      <c r="I11" s="2359" t="s">
        <v>2474</v>
      </c>
    </row>
    <row r="12" spans="1:9">
      <c r="A12" s="3680"/>
      <c r="B12" s="3681" t="s">
        <v>2475</v>
      </c>
      <c r="C12" s="3681"/>
      <c r="D12" s="2360"/>
      <c r="E12" s="2360"/>
      <c r="F12" s="2361"/>
      <c r="G12" s="2362"/>
      <c r="H12" s="2369"/>
      <c r="I12" s="2359">
        <f>ROUND(D12*E12*F12*G12/10000,0)</f>
        <v>0</v>
      </c>
    </row>
    <row r="13" spans="1:9">
      <c r="A13" s="3680"/>
      <c r="B13" s="3681" t="s">
        <v>2476</v>
      </c>
      <c r="C13" s="3681"/>
      <c r="D13" s="2360"/>
      <c r="E13" s="2360"/>
      <c r="F13" s="2361"/>
      <c r="G13" s="2362"/>
      <c r="H13" s="2369"/>
      <c r="I13" s="2359">
        <f>ROUND(D13*E13*F13*G13/10000,0)</f>
        <v>0</v>
      </c>
    </row>
    <row r="14" spans="1:9">
      <c r="A14" s="3680"/>
      <c r="B14" s="3681" t="s">
        <v>2477</v>
      </c>
      <c r="C14" s="3681"/>
      <c r="D14" s="2360"/>
      <c r="E14" s="2360"/>
      <c r="F14" s="2361"/>
      <c r="G14" s="2362"/>
      <c r="H14" s="2369"/>
      <c r="I14" s="2359">
        <f>ROUND(D14*E14*F14*G14/10000,0)</f>
        <v>0</v>
      </c>
    </row>
    <row r="15" spans="1:9">
      <c r="A15" s="3680"/>
      <c r="B15" s="3682" t="s">
        <v>2466</v>
      </c>
      <c r="C15" s="3682"/>
      <c r="D15" s="2364"/>
      <c r="E15" s="2364">
        <f>SUM(E12:E14)</f>
        <v>0</v>
      </c>
      <c r="F15" s="2365"/>
      <c r="G15" s="2362"/>
      <c r="H15" s="2369"/>
      <c r="I15" s="2370">
        <f>SUM(I12:I14)</f>
        <v>0</v>
      </c>
    </row>
    <row r="16" spans="1:9" ht="24">
      <c r="A16" s="3680" t="s">
        <v>2478</v>
      </c>
      <c r="B16" s="3681" t="s">
        <v>2479</v>
      </c>
      <c r="C16" s="3681"/>
      <c r="D16" s="2360" t="s">
        <v>2480</v>
      </c>
      <c r="E16" s="2371" t="s">
        <v>2481</v>
      </c>
      <c r="F16" s="2361" t="s">
        <v>2482</v>
      </c>
      <c r="G16" s="2362" t="s">
        <v>2472</v>
      </c>
      <c r="H16" s="2368" t="s">
        <v>2473</v>
      </c>
      <c r="I16" s="2359" t="s">
        <v>2474</v>
      </c>
    </row>
    <row r="17" spans="1:9" ht="14.25">
      <c r="A17" s="3680"/>
      <c r="B17" s="3681" t="s">
        <v>2483</v>
      </c>
      <c r="C17" s="3681"/>
      <c r="D17" s="2360"/>
      <c r="E17" s="2360"/>
      <c r="F17" s="2361"/>
      <c r="G17" s="2362"/>
      <c r="H17" s="2372"/>
      <c r="I17" s="2373">
        <f>ROUND(D17*E17*F17*G17/10000,0)</f>
        <v>0</v>
      </c>
    </row>
    <row r="18" spans="1:9" ht="14.25">
      <c r="A18" s="3680"/>
      <c r="B18" s="3681" t="s">
        <v>2484</v>
      </c>
      <c r="C18" s="3681"/>
      <c r="D18" s="2360"/>
      <c r="E18" s="2360"/>
      <c r="F18" s="2361"/>
      <c r="G18" s="2362"/>
      <c r="H18" s="2372"/>
      <c r="I18" s="2373">
        <f>ROUND(D18*E18*F18*G18/10000,0)</f>
        <v>0</v>
      </c>
    </row>
    <row r="19" spans="1:9" ht="14.25">
      <c r="A19" s="3680"/>
      <c r="B19" s="3681" t="s">
        <v>2485</v>
      </c>
      <c r="C19" s="3681"/>
      <c r="D19" s="2360"/>
      <c r="E19" s="2360"/>
      <c r="F19" s="2361"/>
      <c r="G19" s="2362"/>
      <c r="H19" s="2372"/>
      <c r="I19" s="2373">
        <f>ROUND(D19*E19*F19*G19/10000,0)</f>
        <v>0</v>
      </c>
    </row>
    <row r="20" spans="1:9">
      <c r="A20" s="3680"/>
      <c r="B20" s="3682" t="s">
        <v>2466</v>
      </c>
      <c r="C20" s="3682"/>
      <c r="D20" s="2364">
        <f>SUM(D17:D19)</f>
        <v>0</v>
      </c>
      <c r="E20" s="2364"/>
      <c r="F20" s="2365"/>
      <c r="G20" s="2362"/>
      <c r="H20" s="2369"/>
      <c r="I20" s="2370">
        <f>SUM(I17:I19)</f>
        <v>0</v>
      </c>
    </row>
    <row r="21" spans="1:9">
      <c r="A21" s="3680" t="s">
        <v>2486</v>
      </c>
      <c r="B21" s="3684"/>
      <c r="C21" s="3684"/>
      <c r="D21" s="3684"/>
      <c r="E21" s="3684"/>
      <c r="F21" s="3684"/>
      <c r="G21" s="3684"/>
      <c r="H21" s="2374">
        <v>0.1</v>
      </c>
      <c r="I21" s="2367">
        <f>ROUND(I10*H21,0)</f>
        <v>0</v>
      </c>
    </row>
    <row r="22" spans="1:9" ht="14.25">
      <c r="A22" s="3685" t="s">
        <v>2487</v>
      </c>
      <c r="B22" s="3686"/>
      <c r="C22" s="3687"/>
      <c r="D22" s="2375" t="s">
        <v>2488</v>
      </c>
      <c r="E22" s="2375" t="s">
        <v>2489</v>
      </c>
      <c r="F22" s="2376" t="s">
        <v>2490</v>
      </c>
      <c r="G22" s="2376" t="s">
        <v>2491</v>
      </c>
      <c r="H22" s="2368" t="s">
        <v>2492</v>
      </c>
      <c r="I22" s="2359" t="s">
        <v>2493</v>
      </c>
    </row>
    <row r="23" spans="1:9" ht="14.25" thickBot="1">
      <c r="A23" s="3688"/>
      <c r="B23" s="3689"/>
      <c r="C23" s="3690"/>
      <c r="D23" s="2377"/>
      <c r="E23" s="2377"/>
      <c r="F23" s="2377"/>
      <c r="G23" s="2378"/>
      <c r="H23" s="2379"/>
      <c r="I23" s="2380">
        <f>ROUND(E23*D23*F23*(1-G23)/10000,0)</f>
        <v>0</v>
      </c>
    </row>
    <row r="26" spans="1:9">
      <c r="A26" s="2381" t="s">
        <v>2494</v>
      </c>
      <c r="B26" s="2381"/>
      <c r="C26" s="2381"/>
      <c r="D26" s="2381"/>
      <c r="E26" s="3691">
        <f>C27-C30-C31-C32</f>
        <v>0</v>
      </c>
      <c r="F26" s="3691"/>
      <c r="G26" s="3691"/>
      <c r="H26" s="2754" t="s">
        <v>2820</v>
      </c>
    </row>
    <row r="27" spans="1:9">
      <c r="A27" s="2382">
        <v>1</v>
      </c>
      <c r="B27" s="2383" t="s">
        <v>2495</v>
      </c>
      <c r="C27" s="2383"/>
      <c r="D27" s="2383"/>
      <c r="E27" s="3692"/>
      <c r="F27" s="3692"/>
      <c r="G27" s="3692"/>
    </row>
    <row r="28" spans="1:9">
      <c r="A28" s="2384" t="s">
        <v>2496</v>
      </c>
      <c r="B28" s="2383" t="s">
        <v>2497</v>
      </c>
      <c r="C28" s="2383"/>
      <c r="D28" s="2383"/>
      <c r="E28" s="3692"/>
      <c r="F28" s="3692"/>
      <c r="G28" s="3692"/>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83"/>
      <c r="F32" s="3683"/>
      <c r="G32" s="3683"/>
    </row>
    <row r="33" spans="1:7" hidden="1">
      <c r="A33" s="3693" t="s">
        <v>2505</v>
      </c>
      <c r="B33" s="3694"/>
      <c r="C33" s="3694"/>
      <c r="D33" s="3695"/>
      <c r="E33" s="3691"/>
      <c r="F33" s="3691"/>
      <c r="G33" s="3691"/>
    </row>
    <row r="34" spans="1:7" hidden="1">
      <c r="A34" s="2386">
        <v>1</v>
      </c>
      <c r="B34" s="2383" t="s">
        <v>2506</v>
      </c>
      <c r="C34" s="2383"/>
      <c r="D34" s="2383"/>
      <c r="E34" s="3692"/>
      <c r="F34" s="3692"/>
      <c r="G34" s="3692"/>
    </row>
    <row r="35" spans="1:7" hidden="1">
      <c r="A35" s="2386">
        <v>2</v>
      </c>
      <c r="B35" s="2383" t="s">
        <v>2507</v>
      </c>
      <c r="C35" s="2383"/>
      <c r="D35" s="2383"/>
      <c r="E35" s="3692"/>
      <c r="F35" s="3692"/>
      <c r="G35" s="3692"/>
    </row>
    <row r="36" spans="1:7" hidden="1">
      <c r="A36" s="2386">
        <v>3</v>
      </c>
      <c r="B36" s="2383" t="s">
        <v>2508</v>
      </c>
      <c r="C36" s="2383"/>
      <c r="D36" s="2383"/>
      <c r="E36" s="3692"/>
      <c r="F36" s="3692"/>
      <c r="G36" s="3692"/>
    </row>
    <row r="37" spans="1:7" hidden="1">
      <c r="A37" s="2386">
        <v>4</v>
      </c>
      <c r="B37" s="2383" t="s">
        <v>2509</v>
      </c>
      <c r="C37" s="2383"/>
      <c r="D37" s="2383"/>
      <c r="E37" s="3692"/>
      <c r="F37" s="3692"/>
      <c r="G37" s="3692"/>
    </row>
    <row r="38" spans="1:7" hidden="1">
      <c r="A38" s="3693" t="s">
        <v>2510</v>
      </c>
      <c r="B38" s="3694"/>
      <c r="C38" s="3694"/>
      <c r="D38" s="3695"/>
      <c r="E38" s="3691"/>
      <c r="F38" s="3691"/>
      <c r="G38" s="36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87" t="s">
        <v>514</v>
      </c>
      <c r="D4" s="3588"/>
      <c r="E4" s="3621" t="s">
        <v>515</v>
      </c>
      <c r="F4" s="3622"/>
      <c r="G4" s="3587" t="s">
        <v>516</v>
      </c>
      <c r="H4" s="3588"/>
      <c r="I4" s="3587" t="s">
        <v>517</v>
      </c>
      <c r="J4" s="3588"/>
      <c r="K4" s="840"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4" t="s">
        <v>516</v>
      </c>
      <c r="AC4" s="3584" t="s">
        <v>517</v>
      </c>
    </row>
    <row r="5" spans="1:29" ht="15">
      <c r="A5" s="507"/>
      <c r="B5" s="508"/>
      <c r="C5" s="3603" t="s">
        <v>2892</v>
      </c>
      <c r="D5" s="3604"/>
      <c r="E5" s="3700" t="s">
        <v>3068</v>
      </c>
      <c r="F5" s="3624"/>
      <c r="G5" s="3699" t="s">
        <v>3067</v>
      </c>
      <c r="H5" s="3604"/>
      <c r="I5" s="3699" t="s">
        <v>3069</v>
      </c>
      <c r="J5" s="3604"/>
      <c r="K5" s="841"/>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841"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612" t="s">
        <v>522</v>
      </c>
      <c r="Q7" s="3614"/>
      <c r="R7" s="1501" t="s">
        <v>13</v>
      </c>
      <c r="S7" s="1502">
        <f t="shared" ref="S7:S15" si="0">F7</f>
        <v>0</v>
      </c>
      <c r="T7" s="1501" t="s">
        <v>13</v>
      </c>
      <c r="U7" s="1502">
        <f t="shared" ref="U7:U15" si="1">H7</f>
        <v>0</v>
      </c>
      <c r="V7" s="1501" t="s">
        <v>13</v>
      </c>
      <c r="W7" s="1502">
        <f t="shared" ref="W7:W15"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612" t="s">
        <v>525</v>
      </c>
      <c r="Q8" s="3613"/>
      <c r="R8" s="1501" t="s">
        <v>13</v>
      </c>
      <c r="S8" s="1502">
        <f t="shared" si="0"/>
        <v>100</v>
      </c>
      <c r="T8" s="1501" t="s">
        <v>13</v>
      </c>
      <c r="U8" s="1502">
        <f t="shared" si="1"/>
        <v>100</v>
      </c>
      <c r="V8" s="1501" t="s">
        <v>13</v>
      </c>
      <c r="W8" s="1502">
        <f t="shared" si="2"/>
        <v>100</v>
      </c>
      <c r="X8" s="1503"/>
      <c r="Y8" s="3612" t="s">
        <v>525</v>
      </c>
      <c r="Z8" s="3613"/>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81"/>
      <c r="Q11" s="1132" t="str">
        <f t="shared" si="6"/>
        <v>容积率</v>
      </c>
      <c r="R11" s="1501" t="s">
        <v>11</v>
      </c>
      <c r="S11" s="1502" t="e">
        <f t="shared" si="0"/>
        <v>#N/A</v>
      </c>
      <c r="T11" s="1501" t="s">
        <v>11</v>
      </c>
      <c r="U11" s="1502" t="e">
        <f t="shared" si="1"/>
        <v>#N/A</v>
      </c>
      <c r="V11" s="1501" t="s">
        <v>11</v>
      </c>
      <c r="W11" s="1502" t="e">
        <f t="shared" si="2"/>
        <v>#N/A</v>
      </c>
      <c r="X11" s="1503"/>
      <c r="Y11" s="352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81"/>
      <c r="Q12" s="1132">
        <f t="shared" si="6"/>
        <v>111</v>
      </c>
      <c r="R12" s="1501" t="s">
        <v>11</v>
      </c>
      <c r="S12" s="1502">
        <f t="shared" si="0"/>
        <v>100</v>
      </c>
      <c r="T12" s="1501" t="s">
        <v>11</v>
      </c>
      <c r="U12" s="1502">
        <f t="shared" si="1"/>
        <v>100</v>
      </c>
      <c r="V12" s="1501" t="s">
        <v>11</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81"/>
      <c r="Q13" s="1132">
        <f t="shared" si="6"/>
        <v>111</v>
      </c>
      <c r="R13" s="1501" t="s">
        <v>11</v>
      </c>
      <c r="S13" s="1502">
        <f t="shared" si="0"/>
        <v>100</v>
      </c>
      <c r="T13" s="1501" t="s">
        <v>11</v>
      </c>
      <c r="U13" s="1502">
        <f t="shared" si="1"/>
        <v>100</v>
      </c>
      <c r="V13" s="1501" t="s">
        <v>11</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81"/>
      <c r="Q14" s="1132">
        <f t="shared" si="6"/>
        <v>111</v>
      </c>
      <c r="R14" s="1501" t="s">
        <v>11</v>
      </c>
      <c r="S14" s="1502">
        <f t="shared" si="0"/>
        <v>100</v>
      </c>
      <c r="T14" s="1501" t="s">
        <v>11</v>
      </c>
      <c r="U14" s="1502">
        <f t="shared" si="1"/>
        <v>100</v>
      </c>
      <c r="V14" s="1501" t="s">
        <v>11</v>
      </c>
      <c r="W14" s="1502">
        <f t="shared" si="2"/>
        <v>100</v>
      </c>
      <c r="X14" s="1503"/>
      <c r="Y14" s="3527"/>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615" t="s">
        <v>532</v>
      </c>
      <c r="Q15" s="1505" t="str">
        <f t="shared" si="6"/>
        <v>居住社区成熟度</v>
      </c>
      <c r="R15" s="1506" t="s">
        <v>11</v>
      </c>
      <c r="S15" s="1507">
        <f t="shared" si="0"/>
        <v>100</v>
      </c>
      <c r="T15" s="1506" t="s">
        <v>11</v>
      </c>
      <c r="U15" s="1507">
        <f t="shared" si="1"/>
        <v>100</v>
      </c>
      <c r="V15" s="1506" t="s">
        <v>11</v>
      </c>
      <c r="W15" s="1507">
        <f t="shared" si="2"/>
        <v>100</v>
      </c>
      <c r="X15" s="1500"/>
      <c r="Y15" s="361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616"/>
      <c r="Q16" s="1505"/>
      <c r="R16" s="1506"/>
      <c r="S16" s="1507"/>
      <c r="T16" s="1506"/>
      <c r="U16" s="1507"/>
      <c r="V16" s="1506"/>
      <c r="W16" s="1507"/>
      <c r="X16" s="1500"/>
      <c r="Y16" s="361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616"/>
      <c r="Q17" s="1505" t="str">
        <f>B17</f>
        <v>交通便捷度</v>
      </c>
      <c r="R17" s="1506" t="s">
        <v>11</v>
      </c>
      <c r="S17" s="1507">
        <f>F17</f>
        <v>100</v>
      </c>
      <c r="T17" s="1506" t="s">
        <v>11</v>
      </c>
      <c r="U17" s="1507">
        <f>H17</f>
        <v>100</v>
      </c>
      <c r="V17" s="1506" t="s">
        <v>11</v>
      </c>
      <c r="W17" s="1507">
        <f>J17</f>
        <v>100</v>
      </c>
      <c r="X17" s="1500"/>
      <c r="Y17" s="361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616"/>
      <c r="Q18" s="1505"/>
      <c r="R18" s="1506"/>
      <c r="S18" s="1507"/>
      <c r="T18" s="1506"/>
      <c r="U18" s="1507"/>
      <c r="V18" s="1506"/>
      <c r="W18" s="1507"/>
      <c r="X18" s="1500"/>
      <c r="Y18" s="361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616"/>
      <c r="Q19" s="1505" t="str">
        <f>B19</f>
        <v>公共配套设施</v>
      </c>
      <c r="R19" s="1506" t="s">
        <v>11</v>
      </c>
      <c r="S19" s="1507">
        <f>F19</f>
        <v>100</v>
      </c>
      <c r="T19" s="1506" t="s">
        <v>11</v>
      </c>
      <c r="U19" s="1507">
        <f>H19</f>
        <v>100</v>
      </c>
      <c r="V19" s="1506" t="s">
        <v>11</v>
      </c>
      <c r="W19" s="1507">
        <f>J19</f>
        <v>100</v>
      </c>
      <c r="X19" s="1500"/>
      <c r="Y19" s="361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616"/>
      <c r="Q20" s="1505"/>
      <c r="R20" s="1506"/>
      <c r="S20" s="1507"/>
      <c r="T20" s="1506"/>
      <c r="U20" s="1507"/>
      <c r="V20" s="1506"/>
      <c r="W20" s="1507"/>
      <c r="X20" s="1500"/>
      <c r="Y20" s="361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616"/>
      <c r="Q21" s="2427" t="str">
        <f>B21</f>
        <v>基础设施水平</v>
      </c>
      <c r="R21" s="1506" t="s">
        <v>11</v>
      </c>
      <c r="S21" s="1507">
        <f>F21</f>
        <v>100</v>
      </c>
      <c r="T21" s="1506" t="s">
        <v>11</v>
      </c>
      <c r="U21" s="1507">
        <f>H21</f>
        <v>100</v>
      </c>
      <c r="V21" s="1506" t="s">
        <v>11</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616"/>
      <c r="Q22" s="2427"/>
      <c r="R22" s="1506"/>
      <c r="S22" s="1507"/>
      <c r="T22" s="1506"/>
      <c r="U22" s="1507"/>
      <c r="V22" s="1506"/>
      <c r="W22" s="1507"/>
      <c r="X22" s="2429"/>
      <c r="Y22" s="361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616"/>
      <c r="Q23" s="1505" t="str">
        <f>B23</f>
        <v>自然及人文环境</v>
      </c>
      <c r="R23" s="1506" t="s">
        <v>11</v>
      </c>
      <c r="S23" s="1507">
        <f>F23</f>
        <v>100</v>
      </c>
      <c r="T23" s="1506" t="s">
        <v>11</v>
      </c>
      <c r="U23" s="1507">
        <f>H23</f>
        <v>100</v>
      </c>
      <c r="V23" s="1506" t="s">
        <v>11</v>
      </c>
      <c r="W23" s="1507">
        <f>J23</f>
        <v>100</v>
      </c>
      <c r="X23" s="1500"/>
      <c r="Y23" s="361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616"/>
      <c r="Q25" s="1505" t="str">
        <f t="shared" ref="Q25:Q46" si="11">B25</f>
        <v>楼层-1</v>
      </c>
      <c r="R25" s="1506" t="s">
        <v>11</v>
      </c>
      <c r="S25" s="1507">
        <f>F25</f>
        <v>100</v>
      </c>
      <c r="T25" s="1506" t="s">
        <v>11</v>
      </c>
      <c r="U25" s="1507">
        <f>H25</f>
        <v>100</v>
      </c>
      <c r="V25" s="1506" t="s">
        <v>11</v>
      </c>
      <c r="W25" s="1507">
        <f>J25</f>
        <v>100</v>
      </c>
      <c r="X25" s="1500"/>
      <c r="Y25" s="361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616"/>
      <c r="Q26" s="1505" t="str">
        <f t="shared" si="11"/>
        <v>朝向</v>
      </c>
      <c r="R26" s="1506" t="s">
        <v>11</v>
      </c>
      <c r="S26" s="1507">
        <f>F26</f>
        <v>100</v>
      </c>
      <c r="T26" s="1506" t="s">
        <v>11</v>
      </c>
      <c r="U26" s="1507">
        <f>H26</f>
        <v>100</v>
      </c>
      <c r="V26" s="1506" t="s">
        <v>11</v>
      </c>
      <c r="W26" s="1507">
        <f>J26</f>
        <v>100</v>
      </c>
      <c r="X26" s="1500"/>
      <c r="Y26" s="361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616"/>
      <c r="Q27" s="1132" t="str">
        <f t="shared" si="11"/>
        <v>道路级别</v>
      </c>
      <c r="R27" s="1501" t="s">
        <v>11</v>
      </c>
      <c r="S27" s="1502">
        <f>F27</f>
        <v>100</v>
      </c>
      <c r="T27" s="1501" t="s">
        <v>11</v>
      </c>
      <c r="U27" s="1502">
        <f>H27</f>
        <v>100</v>
      </c>
      <c r="V27" s="1501" t="s">
        <v>11</v>
      </c>
      <c r="W27" s="1502">
        <f>J27</f>
        <v>100</v>
      </c>
      <c r="X27" s="1503"/>
      <c r="Y27" s="361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616"/>
      <c r="Q28" s="1505">
        <f t="shared" si="11"/>
        <v>111</v>
      </c>
      <c r="R28" s="1506" t="s">
        <v>11</v>
      </c>
      <c r="S28" s="1507">
        <f t="shared" ref="S28:S46" si="12">F28</f>
        <v>100</v>
      </c>
      <c r="T28" s="1506" t="s">
        <v>11</v>
      </c>
      <c r="U28" s="1507">
        <f t="shared" ref="U28:U46" si="13">H28</f>
        <v>100</v>
      </c>
      <c r="V28" s="1506" t="s">
        <v>11</v>
      </c>
      <c r="W28" s="1507">
        <f t="shared" ref="W28:W46" si="14">J28</f>
        <v>100</v>
      </c>
      <c r="X28" s="1500"/>
      <c r="Y28" s="361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616"/>
      <c r="Q29" s="1505">
        <f t="shared" si="11"/>
        <v>111</v>
      </c>
      <c r="R29" s="1506" t="s">
        <v>11</v>
      </c>
      <c r="S29" s="1507">
        <f t="shared" si="12"/>
        <v>100</v>
      </c>
      <c r="T29" s="1506" t="s">
        <v>11</v>
      </c>
      <c r="U29" s="1507">
        <f t="shared" si="13"/>
        <v>100</v>
      </c>
      <c r="V29" s="1506" t="s">
        <v>11</v>
      </c>
      <c r="W29" s="1507">
        <f t="shared" si="14"/>
        <v>100</v>
      </c>
      <c r="X29" s="1500"/>
      <c r="Y29" s="361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616"/>
      <c r="Q30" s="1505">
        <f t="shared" si="11"/>
        <v>111</v>
      </c>
      <c r="R30" s="1506" t="s">
        <v>11</v>
      </c>
      <c r="S30" s="1507">
        <f t="shared" si="12"/>
        <v>100</v>
      </c>
      <c r="T30" s="1506" t="s">
        <v>11</v>
      </c>
      <c r="U30" s="1507">
        <f t="shared" si="13"/>
        <v>100</v>
      </c>
      <c r="V30" s="1506" t="s">
        <v>11</v>
      </c>
      <c r="W30" s="1507">
        <f t="shared" si="14"/>
        <v>100</v>
      </c>
      <c r="X30" s="1500"/>
      <c r="Y30" s="361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616"/>
      <c r="Q31" s="1505">
        <f t="shared" si="11"/>
        <v>111</v>
      </c>
      <c r="R31" s="1506" t="s">
        <v>11</v>
      </c>
      <c r="S31" s="1507">
        <f t="shared" si="12"/>
        <v>100</v>
      </c>
      <c r="T31" s="1506" t="s">
        <v>11</v>
      </c>
      <c r="U31" s="1507">
        <f t="shared" si="13"/>
        <v>100</v>
      </c>
      <c r="V31" s="1506" t="s">
        <v>11</v>
      </c>
      <c r="W31" s="1507">
        <f t="shared" si="14"/>
        <v>100</v>
      </c>
      <c r="X31" s="1500"/>
      <c r="Y31" s="361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617" t="s">
        <v>542</v>
      </c>
      <c r="Q32" s="1505" t="str">
        <f t="shared" si="11"/>
        <v>建筑类型</v>
      </c>
      <c r="R32" s="1506" t="s">
        <v>11</v>
      </c>
      <c r="S32" s="1507">
        <f t="shared" si="12"/>
        <v>100</v>
      </c>
      <c r="T32" s="1506" t="s">
        <v>11</v>
      </c>
      <c r="U32" s="1507">
        <f t="shared" si="13"/>
        <v>100</v>
      </c>
      <c r="V32" s="1506" t="s">
        <v>11</v>
      </c>
      <c r="W32" s="1507">
        <f t="shared" si="14"/>
        <v>100</v>
      </c>
      <c r="X32" s="1500"/>
      <c r="Y32" s="361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618"/>
      <c r="Q33" s="1534" t="str">
        <f t="shared" si="11"/>
        <v>项目建筑规模</v>
      </c>
      <c r="R33" s="1510" t="s">
        <v>11</v>
      </c>
      <c r="S33" s="1511" t="e">
        <f t="shared" si="12"/>
        <v>#N/A</v>
      </c>
      <c r="T33" s="1510" t="s">
        <v>11</v>
      </c>
      <c r="U33" s="1511" t="e">
        <f t="shared" si="13"/>
        <v>#N/A</v>
      </c>
      <c r="V33" s="1510" t="s">
        <v>11</v>
      </c>
      <c r="W33" s="1511" t="e">
        <f t="shared" si="14"/>
        <v>#N/A</v>
      </c>
      <c r="X33" s="1512"/>
      <c r="Y33" s="361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618"/>
      <c r="Q34" s="1505" t="str">
        <f t="shared" si="11"/>
        <v>建筑结构</v>
      </c>
      <c r="R34" s="1506" t="s">
        <v>11</v>
      </c>
      <c r="S34" s="1507">
        <f t="shared" si="12"/>
        <v>100</v>
      </c>
      <c r="T34" s="1506" t="s">
        <v>11</v>
      </c>
      <c r="U34" s="1507">
        <f t="shared" si="13"/>
        <v>100</v>
      </c>
      <c r="V34" s="1506" t="s">
        <v>11</v>
      </c>
      <c r="W34" s="1507">
        <f t="shared" si="14"/>
        <v>100</v>
      </c>
      <c r="X34" s="1500"/>
      <c r="Y34" s="361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618"/>
      <c r="Q35" s="1505" t="str">
        <f t="shared" si="11"/>
        <v>建筑品质</v>
      </c>
      <c r="R35" s="1506" t="s">
        <v>11</v>
      </c>
      <c r="S35" s="1507">
        <f t="shared" si="12"/>
        <v>100</v>
      </c>
      <c r="T35" s="1506" t="s">
        <v>11</v>
      </c>
      <c r="U35" s="1507">
        <f t="shared" si="13"/>
        <v>100</v>
      </c>
      <c r="V35" s="1506" t="s">
        <v>11</v>
      </c>
      <c r="W35" s="1507">
        <f t="shared" si="14"/>
        <v>100</v>
      </c>
      <c r="X35" s="1500"/>
      <c r="Y35" s="361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618"/>
      <c r="Q36" s="1505" t="str">
        <f t="shared" si="11"/>
        <v>公共部分装修</v>
      </c>
      <c r="R36" s="1506" t="s">
        <v>11</v>
      </c>
      <c r="S36" s="1507">
        <f t="shared" si="12"/>
        <v>100</v>
      </c>
      <c r="T36" s="1506" t="s">
        <v>11</v>
      </c>
      <c r="U36" s="1507">
        <f t="shared" si="13"/>
        <v>100</v>
      </c>
      <c r="V36" s="1506" t="s">
        <v>11</v>
      </c>
      <c r="W36" s="1507">
        <f t="shared" si="14"/>
        <v>100</v>
      </c>
      <c r="X36" s="1500"/>
      <c r="Y36" s="361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618"/>
      <c r="Q37" s="1132" t="str">
        <f t="shared" si="11"/>
        <v>成新度</v>
      </c>
      <c r="R37" s="1501" t="s">
        <v>11</v>
      </c>
      <c r="S37" s="1502" t="e">
        <f t="shared" si="12"/>
        <v>#N/A</v>
      </c>
      <c r="T37" s="1501" t="s">
        <v>11</v>
      </c>
      <c r="U37" s="1502" t="e">
        <f t="shared" si="13"/>
        <v>#N/A</v>
      </c>
      <c r="V37" s="1501" t="s">
        <v>11</v>
      </c>
      <c r="W37" s="1502" t="e">
        <f t="shared" si="14"/>
        <v>#N/A</v>
      </c>
      <c r="X37" s="1503"/>
      <c r="Y37" s="361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618" t="s">
        <v>542</v>
      </c>
      <c r="Q38" s="1505" t="str">
        <f t="shared" si="11"/>
        <v>物业管理</v>
      </c>
      <c r="R38" s="1506" t="s">
        <v>11</v>
      </c>
      <c r="S38" s="1507">
        <f t="shared" si="12"/>
        <v>100</v>
      </c>
      <c r="T38" s="1506" t="s">
        <v>11</v>
      </c>
      <c r="U38" s="1507">
        <f t="shared" si="13"/>
        <v>100</v>
      </c>
      <c r="V38" s="1506" t="s">
        <v>11</v>
      </c>
      <c r="W38" s="1507">
        <f t="shared" si="14"/>
        <v>100</v>
      </c>
      <c r="X38" s="1500"/>
      <c r="Y38" s="361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618"/>
      <c r="Q39" s="1505" t="str">
        <f t="shared" si="11"/>
        <v>市政基础设施</v>
      </c>
      <c r="R39" s="1506" t="s">
        <v>11</v>
      </c>
      <c r="S39" s="1507">
        <f t="shared" si="12"/>
        <v>100</v>
      </c>
      <c r="T39" s="1506" t="s">
        <v>11</v>
      </c>
      <c r="U39" s="1507">
        <f t="shared" si="13"/>
        <v>100</v>
      </c>
      <c r="V39" s="1506" t="s">
        <v>11</v>
      </c>
      <c r="W39" s="1507">
        <f t="shared" si="14"/>
        <v>100</v>
      </c>
      <c r="X39" s="1500"/>
      <c r="Y39" s="361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618"/>
      <c r="Q40" s="1505" t="str">
        <f t="shared" si="11"/>
        <v>房型</v>
      </c>
      <c r="R40" s="1506" t="s">
        <v>11</v>
      </c>
      <c r="S40" s="1507">
        <f t="shared" si="12"/>
        <v>100</v>
      </c>
      <c r="T40" s="1506" t="s">
        <v>11</v>
      </c>
      <c r="U40" s="1507">
        <f t="shared" si="13"/>
        <v>100</v>
      </c>
      <c r="V40" s="1506" t="s">
        <v>11</v>
      </c>
      <c r="W40" s="1507">
        <f t="shared" si="14"/>
        <v>100</v>
      </c>
      <c r="X40" s="1500"/>
      <c r="Y40" s="361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618"/>
      <c r="Q41" s="1534" t="str">
        <f t="shared" si="11"/>
        <v>单套/主力户型建筑面积</v>
      </c>
      <c r="R41" s="1510" t="s">
        <v>11</v>
      </c>
      <c r="S41" s="1511">
        <f t="shared" si="12"/>
        <v>100</v>
      </c>
      <c r="T41" s="1510" t="s">
        <v>11</v>
      </c>
      <c r="U41" s="1511">
        <f t="shared" si="13"/>
        <v>100</v>
      </c>
      <c r="V41" s="1510" t="s">
        <v>11</v>
      </c>
      <c r="W41" s="1511">
        <f t="shared" si="14"/>
        <v>100</v>
      </c>
      <c r="X41" s="1512"/>
      <c r="Y41" s="361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618"/>
      <c r="Q42" s="1505" t="str">
        <f t="shared" si="11"/>
        <v>内部装修</v>
      </c>
      <c r="R42" s="1506" t="s">
        <v>11</v>
      </c>
      <c r="S42" s="1507">
        <f t="shared" si="12"/>
        <v>100</v>
      </c>
      <c r="T42" s="1506" t="s">
        <v>11</v>
      </c>
      <c r="U42" s="1507">
        <f t="shared" si="13"/>
        <v>100</v>
      </c>
      <c r="V42" s="1506" t="s">
        <v>11</v>
      </c>
      <c r="W42" s="1507">
        <f t="shared" si="14"/>
        <v>100</v>
      </c>
      <c r="X42" s="1500"/>
      <c r="Y42" s="3618"/>
      <c r="Z42" s="1508" t="str">
        <f t="shared" si="15"/>
        <v>内部装修</v>
      </c>
      <c r="AA42" s="1509">
        <f t="shared" si="3"/>
        <v>1</v>
      </c>
      <c r="AB42" s="1509">
        <f t="shared" si="4"/>
        <v>1</v>
      </c>
      <c r="AC42" s="1509">
        <f t="shared" si="5"/>
        <v>1</v>
      </c>
    </row>
    <row r="43" spans="1:29" ht="15">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618"/>
      <c r="Q43" s="1505" t="str">
        <f t="shared" si="11"/>
        <v>内部装修维护情况</v>
      </c>
      <c r="R43" s="1506" t="s">
        <v>11</v>
      </c>
      <c r="S43" s="1507">
        <f t="shared" si="12"/>
        <v>100</v>
      </c>
      <c r="T43" s="1506" t="s">
        <v>11</v>
      </c>
      <c r="U43" s="1507">
        <f t="shared" si="13"/>
        <v>100</v>
      </c>
      <c r="V43" s="1506" t="s">
        <v>11</v>
      </c>
      <c r="W43" s="1507">
        <f t="shared" si="14"/>
        <v>100</v>
      </c>
      <c r="X43" s="1500"/>
      <c r="Y43" s="361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618"/>
      <c r="Q44" s="1132">
        <f t="shared" si="11"/>
        <v>111</v>
      </c>
      <c r="R44" s="1501" t="s">
        <v>11</v>
      </c>
      <c r="S44" s="1502">
        <f t="shared" si="12"/>
        <v>100</v>
      </c>
      <c r="T44" s="1501" t="s">
        <v>11</v>
      </c>
      <c r="U44" s="1502">
        <f t="shared" si="13"/>
        <v>100</v>
      </c>
      <c r="V44" s="1501" t="s">
        <v>11</v>
      </c>
      <c r="W44" s="1502">
        <f t="shared" si="14"/>
        <v>100</v>
      </c>
      <c r="X44" s="1503"/>
      <c r="Y44" s="361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618"/>
      <c r="Q45" s="1505">
        <f t="shared" si="11"/>
        <v>111</v>
      </c>
      <c r="R45" s="1506" t="s">
        <v>11</v>
      </c>
      <c r="S45" s="1507">
        <f t="shared" si="12"/>
        <v>100</v>
      </c>
      <c r="T45" s="1506" t="s">
        <v>11</v>
      </c>
      <c r="U45" s="1507">
        <f t="shared" si="13"/>
        <v>100</v>
      </c>
      <c r="V45" s="1506" t="s">
        <v>11</v>
      </c>
      <c r="W45" s="1507">
        <f t="shared" si="14"/>
        <v>100</v>
      </c>
      <c r="X45" s="1500"/>
      <c r="Y45" s="361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8"/>
      <c r="Q46" s="1505">
        <f t="shared" si="11"/>
        <v>111</v>
      </c>
      <c r="R46" s="1506" t="s">
        <v>10</v>
      </c>
      <c r="S46" s="1507">
        <f t="shared" si="12"/>
        <v>100</v>
      </c>
      <c r="T46" s="1506" t="s">
        <v>10</v>
      </c>
      <c r="U46" s="1507">
        <f t="shared" si="13"/>
        <v>100</v>
      </c>
      <c r="V46" s="1506" t="s">
        <v>10</v>
      </c>
      <c r="W46" s="1507">
        <f t="shared" si="14"/>
        <v>100</v>
      </c>
      <c r="X46" s="1500"/>
      <c r="Y46" s="3698"/>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81" t="str">
        <f>A47</f>
        <v>成交单价（元/平方米）</v>
      </c>
      <c r="Q47" s="3581"/>
      <c r="R47" s="3697">
        <f>E47</f>
        <v>0</v>
      </c>
      <c r="S47" s="3697"/>
      <c r="T47" s="3697">
        <f>G47</f>
        <v>0</v>
      </c>
      <c r="U47" s="3697"/>
      <c r="V47" s="3697">
        <f>I47</f>
        <v>0</v>
      </c>
      <c r="W47" s="3697"/>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81" t="str">
        <f>A48</f>
        <v>比较价格（元/平方米）</v>
      </c>
      <c r="Q48" s="3581"/>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578" t="str">
        <f>A49</f>
        <v>估价对象XX用房的比较价格（楼面单价，元/平方米）</v>
      </c>
      <c r="Q49" s="3579"/>
      <c r="R49" s="3696" t="e">
        <f>IF(F1="售价",ROUND(IF(D48="简单平均",AVERAGE(R48:V48),R48*F48+T48*H48+V48*J48),0),ROUND(IF(D48="简单平均",AVERAGE(R48:V48),R48*F48+T48*H48+V48*J48),1))</f>
        <v>#DIV/0!</v>
      </c>
      <c r="S49" s="3696"/>
      <c r="T49" s="3696"/>
      <c r="U49" s="3696"/>
      <c r="V49" s="3696"/>
      <c r="W49" s="369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1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4" zoomScale="80" zoomScaleNormal="60" zoomScaleSheetLayoutView="80" workbookViewId="0">
      <selection activeCell="J23" sqref="J23"/>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5.4</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87" t="s">
        <v>514</v>
      </c>
      <c r="D4" s="3588"/>
      <c r="E4" s="3621" t="s">
        <v>515</v>
      </c>
      <c r="F4" s="3622"/>
      <c r="G4" s="3587" t="s">
        <v>516</v>
      </c>
      <c r="H4" s="3588"/>
      <c r="I4" s="3587" t="s">
        <v>517</v>
      </c>
      <c r="J4" s="3588"/>
      <c r="K4" s="506"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2" t="s">
        <v>516</v>
      </c>
      <c r="AC4" s="3584" t="s">
        <v>517</v>
      </c>
    </row>
    <row r="5" spans="1:29" ht="15">
      <c r="A5" s="507"/>
      <c r="B5" s="508"/>
      <c r="C5" s="3603" t="s">
        <v>2892</v>
      </c>
      <c r="D5" s="3604"/>
      <c r="E5" s="3623" t="str">
        <f>商业案例截图及地图!H1</f>
        <v>玉桥西路101号</v>
      </c>
      <c r="F5" s="3624"/>
      <c r="G5" s="3603" t="str">
        <f>商业案例截图及地图!H16</f>
        <v>格瑞雅居</v>
      </c>
      <c r="H5" s="3604"/>
      <c r="I5" s="3701" t="s">
        <v>3139</v>
      </c>
      <c r="J5" s="3604"/>
      <c r="K5" s="506"/>
      <c r="L5" s="2013"/>
      <c r="M5" s="2014"/>
      <c r="N5" s="2014"/>
      <c r="O5" s="2014"/>
      <c r="P5" s="3591"/>
      <c r="Q5" s="3592"/>
      <c r="R5" s="3597"/>
      <c r="S5" s="3598"/>
      <c r="T5" s="3597"/>
      <c r="U5" s="3598"/>
      <c r="V5" s="3582"/>
      <c r="W5" s="3582"/>
      <c r="X5" s="1500"/>
      <c r="Y5" s="3597"/>
      <c r="Z5" s="3598"/>
      <c r="AA5" s="3585"/>
      <c r="AB5" s="3582"/>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2"/>
      <c r="AC6" s="3586"/>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612" t="s">
        <v>522</v>
      </c>
      <c r="Q7" s="3614"/>
      <c r="R7" s="1501" t="s">
        <v>8</v>
      </c>
      <c r="S7" s="1502">
        <f t="shared" ref="S7:S15" si="0">F7</f>
        <v>100</v>
      </c>
      <c r="T7" s="1501" t="s">
        <v>8</v>
      </c>
      <c r="U7" s="1502">
        <f t="shared" ref="U7:U15" si="1">H7</f>
        <v>100</v>
      </c>
      <c r="V7" s="1501" t="s">
        <v>8</v>
      </c>
      <c r="W7" s="1502">
        <f t="shared" ref="W7:W15" si="2">J7</f>
        <v>100</v>
      </c>
      <c r="X7" s="1503"/>
      <c r="Y7" s="3612" t="s">
        <v>522</v>
      </c>
      <c r="Z7" s="3613"/>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612" t="s">
        <v>525</v>
      </c>
      <c r="Q8" s="3613"/>
      <c r="R8" s="1501" t="s">
        <v>8</v>
      </c>
      <c r="S8" s="1502">
        <f t="shared" si="0"/>
        <v>100</v>
      </c>
      <c r="T8" s="1501" t="s">
        <v>8</v>
      </c>
      <c r="U8" s="1502">
        <f t="shared" si="1"/>
        <v>100</v>
      </c>
      <c r="V8" s="1501" t="s">
        <v>8</v>
      </c>
      <c r="W8" s="1502">
        <f t="shared" si="2"/>
        <v>100</v>
      </c>
      <c r="X8" s="1503"/>
      <c r="Y8" s="3612" t="s">
        <v>525</v>
      </c>
      <c r="Z8" s="3613"/>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81"/>
      <c r="Q10" s="1132" t="str">
        <f t="shared" si="6"/>
        <v>土地使用年限（年）</v>
      </c>
      <c r="R10" s="1501" t="s">
        <v>8</v>
      </c>
      <c r="S10" s="1502">
        <f t="shared" si="0"/>
        <v>98</v>
      </c>
      <c r="T10" s="1501" t="s">
        <v>8</v>
      </c>
      <c r="U10" s="1502">
        <f t="shared" si="1"/>
        <v>98</v>
      </c>
      <c r="V10" s="1501" t="s">
        <v>8</v>
      </c>
      <c r="W10" s="1502">
        <f t="shared" si="2"/>
        <v>100</v>
      </c>
      <c r="X10" s="1503"/>
      <c r="Y10" s="3527"/>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81"/>
      <c r="Q11" s="1132" t="str">
        <f t="shared" si="6"/>
        <v>容积率</v>
      </c>
      <c r="R11" s="1501" t="s">
        <v>8</v>
      </c>
      <c r="S11" s="1502">
        <f t="shared" si="0"/>
        <v>100</v>
      </c>
      <c r="T11" s="1501" t="s">
        <v>8</v>
      </c>
      <c r="U11" s="1502">
        <f t="shared" si="1"/>
        <v>100</v>
      </c>
      <c r="V11" s="1501" t="s">
        <v>8</v>
      </c>
      <c r="W11" s="1502">
        <f t="shared" si="2"/>
        <v>100</v>
      </c>
      <c r="X11" s="1503"/>
      <c r="Y11" s="3527"/>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615" t="s">
        <v>532</v>
      </c>
      <c r="Q15" s="1505" t="str">
        <f t="shared" si="6"/>
        <v>商业繁华度</v>
      </c>
      <c r="R15" s="1506" t="s">
        <v>8</v>
      </c>
      <c r="S15" s="1507">
        <f t="shared" si="0"/>
        <v>102</v>
      </c>
      <c r="T15" s="1506" t="s">
        <v>8</v>
      </c>
      <c r="U15" s="1507">
        <f t="shared" si="1"/>
        <v>102</v>
      </c>
      <c r="V15" s="1506" t="s">
        <v>8</v>
      </c>
      <c r="W15" s="1507">
        <f t="shared" si="2"/>
        <v>102</v>
      </c>
      <c r="X15" s="1500"/>
      <c r="Y15" s="3615"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616"/>
      <c r="Q16" s="1505"/>
      <c r="R16" s="1506"/>
      <c r="S16" s="1507"/>
      <c r="T16" s="1506"/>
      <c r="U16" s="1507"/>
      <c r="V16" s="1506"/>
      <c r="W16" s="1507"/>
      <c r="X16" s="1500"/>
      <c r="Y16" s="3616"/>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616"/>
      <c r="Q18" s="1505"/>
      <c r="R18" s="1506"/>
      <c r="S18" s="1507"/>
      <c r="T18" s="1506"/>
      <c r="U18" s="1507"/>
      <c r="V18" s="1506"/>
      <c r="W18" s="1507"/>
      <c r="X18" s="1500"/>
      <c r="Y18" s="361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616"/>
      <c r="Q19" s="1505" t="str">
        <f>B19</f>
        <v>公共配套设施</v>
      </c>
      <c r="R19" s="1506" t="s">
        <v>8</v>
      </c>
      <c r="S19" s="1507">
        <f>F19</f>
        <v>102</v>
      </c>
      <c r="T19" s="1506" t="s">
        <v>8</v>
      </c>
      <c r="U19" s="1507">
        <f>H19</f>
        <v>102</v>
      </c>
      <c r="V19" s="1506" t="s">
        <v>8</v>
      </c>
      <c r="W19" s="1507">
        <f>J19</f>
        <v>102</v>
      </c>
      <c r="X19" s="1500"/>
      <c r="Y19" s="3616"/>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616"/>
      <c r="Q20" s="1505"/>
      <c r="R20" s="1506"/>
      <c r="S20" s="1507"/>
      <c r="T20" s="1506"/>
      <c r="U20" s="1507"/>
      <c r="V20" s="1506"/>
      <c r="W20" s="1507"/>
      <c r="X20" s="1500"/>
      <c r="Y20" s="361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909"/>
      <c r="C22" s="860" t="s">
        <v>3172</v>
      </c>
      <c r="D22" s="547"/>
      <c r="E22" s="568" t="s">
        <v>3172</v>
      </c>
      <c r="F22" s="549"/>
      <c r="G22" s="568" t="s">
        <v>3172</v>
      </c>
      <c r="H22" s="547"/>
      <c r="I22" s="568" t="s">
        <v>3172</v>
      </c>
      <c r="J22" s="547"/>
      <c r="K22" s="2444"/>
      <c r="L22" s="2022"/>
      <c r="M22" s="2014"/>
      <c r="N22" s="2014"/>
      <c r="O22" s="2021"/>
      <c r="P22" s="3616"/>
      <c r="Q22" s="2427"/>
      <c r="R22" s="1506"/>
      <c r="S22" s="1507"/>
      <c r="T22" s="1506"/>
      <c r="U22" s="1507"/>
      <c r="V22" s="1506"/>
      <c r="W22" s="1507"/>
      <c r="X22" s="2429"/>
      <c r="Y22" s="361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616"/>
      <c r="Q23" s="1505" t="str">
        <f>B23</f>
        <v>自然及人文环境</v>
      </c>
      <c r="R23" s="1506" t="s">
        <v>8</v>
      </c>
      <c r="S23" s="1507">
        <f>F23</f>
        <v>96</v>
      </c>
      <c r="T23" s="1506" t="s">
        <v>8</v>
      </c>
      <c r="U23" s="1507">
        <f>H23</f>
        <v>96</v>
      </c>
      <c r="V23" s="1506" t="s">
        <v>8</v>
      </c>
      <c r="W23" s="1507">
        <f>J23</f>
        <v>98</v>
      </c>
      <c r="X23" s="1500"/>
      <c r="Y23" s="3616"/>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24"/>
      <c r="B25" s="519" t="s">
        <v>539</v>
      </c>
      <c r="C25" s="575" t="s">
        <v>3173</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616"/>
      <c r="Q25" s="1505" t="str">
        <f t="shared" ref="Q25:Q46" si="11">B25</f>
        <v>临街状况</v>
      </c>
      <c r="R25" s="1506" t="s">
        <v>8</v>
      </c>
      <c r="S25" s="1507">
        <f>F25</f>
        <v>94</v>
      </c>
      <c r="T25" s="1506" t="s">
        <v>8</v>
      </c>
      <c r="U25" s="1507">
        <f>H25</f>
        <v>94</v>
      </c>
      <c r="V25" s="1506" t="s">
        <v>8</v>
      </c>
      <c r="W25" s="1507">
        <f>J25</f>
        <v>96</v>
      </c>
      <c r="X25" s="1500"/>
      <c r="Y25" s="3616"/>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616"/>
      <c r="Q26" s="1505" t="str">
        <f t="shared" si="11"/>
        <v>平面位置/可视性</v>
      </c>
      <c r="R26" s="1506" t="s">
        <v>8</v>
      </c>
      <c r="S26" s="1507">
        <f>F26</f>
        <v>100</v>
      </c>
      <c r="T26" s="1506" t="s">
        <v>8</v>
      </c>
      <c r="U26" s="1507">
        <f>H26</f>
        <v>100</v>
      </c>
      <c r="V26" s="1506" t="s">
        <v>8</v>
      </c>
      <c r="W26" s="1507">
        <f>J26</f>
        <v>100</v>
      </c>
      <c r="X26" s="1500"/>
      <c r="Y26" s="3616"/>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616"/>
      <c r="Q27" s="1132" t="str">
        <f t="shared" si="11"/>
        <v>人流量</v>
      </c>
      <c r="R27" s="1501" t="s">
        <v>8</v>
      </c>
      <c r="S27" s="1502">
        <f>F27</f>
        <v>98</v>
      </c>
      <c r="T27" s="1501" t="s">
        <v>8</v>
      </c>
      <c r="U27" s="1502">
        <f>H27</f>
        <v>96</v>
      </c>
      <c r="V27" s="1501" t="s">
        <v>8</v>
      </c>
      <c r="W27" s="1502">
        <f>J27</f>
        <v>100</v>
      </c>
      <c r="X27" s="1503"/>
      <c r="Y27" s="3616"/>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61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61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616"/>
      <c r="Q29" s="1505">
        <f t="shared" si="11"/>
        <v>111</v>
      </c>
      <c r="R29" s="1506" t="s">
        <v>8</v>
      </c>
      <c r="S29" s="1507">
        <f t="shared" si="12"/>
        <v>100</v>
      </c>
      <c r="T29" s="1506" t="s">
        <v>8</v>
      </c>
      <c r="U29" s="1507">
        <f t="shared" si="13"/>
        <v>100</v>
      </c>
      <c r="V29" s="1506" t="s">
        <v>8</v>
      </c>
      <c r="W29" s="1507">
        <f t="shared" si="14"/>
        <v>100</v>
      </c>
      <c r="X29" s="1500"/>
      <c r="Y29" s="361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616"/>
      <c r="Q30" s="1505">
        <f t="shared" si="11"/>
        <v>111</v>
      </c>
      <c r="R30" s="1506" t="s">
        <v>8</v>
      </c>
      <c r="S30" s="1507">
        <f t="shared" si="12"/>
        <v>100</v>
      </c>
      <c r="T30" s="1506" t="s">
        <v>8</v>
      </c>
      <c r="U30" s="1507">
        <f t="shared" si="13"/>
        <v>100</v>
      </c>
      <c r="V30" s="1506" t="s">
        <v>8</v>
      </c>
      <c r="W30" s="1507">
        <f t="shared" si="14"/>
        <v>100</v>
      </c>
      <c r="X30" s="1500"/>
      <c r="Y30" s="361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616"/>
      <c r="Q31" s="1505">
        <f t="shared" si="11"/>
        <v>111</v>
      </c>
      <c r="R31" s="1506" t="s">
        <v>8</v>
      </c>
      <c r="S31" s="1507">
        <f t="shared" si="12"/>
        <v>100</v>
      </c>
      <c r="T31" s="1506" t="s">
        <v>8</v>
      </c>
      <c r="U31" s="1507">
        <f t="shared" si="13"/>
        <v>100</v>
      </c>
      <c r="V31" s="1506" t="s">
        <v>8</v>
      </c>
      <c r="W31" s="1507">
        <f t="shared" si="14"/>
        <v>100</v>
      </c>
      <c r="X31" s="1500"/>
      <c r="Y31" s="3616"/>
      <c r="Z31" s="1508">
        <f t="shared" si="15"/>
        <v>111</v>
      </c>
      <c r="AA31" s="1509">
        <f t="shared" si="3"/>
        <v>1</v>
      </c>
      <c r="AB31" s="1509">
        <f t="shared" si="4"/>
        <v>1</v>
      </c>
      <c r="AC31" s="1509">
        <f t="shared" si="5"/>
        <v>1</v>
      </c>
    </row>
    <row r="32" spans="1:29" ht="27">
      <c r="A32" s="2622" t="s">
        <v>2733</v>
      </c>
      <c r="B32" s="169" t="s">
        <v>754</v>
      </c>
      <c r="C32" s="865" t="s">
        <v>3108</v>
      </c>
      <c r="D32" s="589">
        <v>100</v>
      </c>
      <c r="E32" s="865" t="s">
        <v>3108</v>
      </c>
      <c r="F32" s="567">
        <f>SUMIF(100:100,E32,101:101)-SUMIF(100:100,C32,101:101)+100</f>
        <v>100</v>
      </c>
      <c r="G32" s="865" t="s">
        <v>3111</v>
      </c>
      <c r="H32" s="532">
        <f>SUMIF(100:100,G32,101:101)-SUMIF(100:100,C32,101:101)+100</f>
        <v>96</v>
      </c>
      <c r="I32" s="865" t="s">
        <v>3106</v>
      </c>
      <c r="J32" s="589">
        <f>SUMIF(100:100,I32,101:101)-SUMIF(100:100,C32,101:101)+100</f>
        <v>102</v>
      </c>
      <c r="K32" s="576">
        <v>2</v>
      </c>
      <c r="L32" s="2022"/>
      <c r="M32" s="2014"/>
      <c r="N32" s="2014"/>
      <c r="O32" s="2021"/>
      <c r="P32" s="3617" t="s">
        <v>542</v>
      </c>
      <c r="Q32" s="1505" t="str">
        <f t="shared" si="11"/>
        <v>商业类型</v>
      </c>
      <c r="R32" s="1506" t="s">
        <v>8</v>
      </c>
      <c r="S32" s="1507">
        <f t="shared" si="12"/>
        <v>100</v>
      </c>
      <c r="T32" s="1506" t="s">
        <v>8</v>
      </c>
      <c r="U32" s="1507">
        <f t="shared" si="13"/>
        <v>96</v>
      </c>
      <c r="V32" s="1506" t="s">
        <v>8</v>
      </c>
      <c r="W32" s="1507">
        <f t="shared" si="14"/>
        <v>102</v>
      </c>
      <c r="X32" s="1500"/>
      <c r="Y32" s="3618" t="s">
        <v>542</v>
      </c>
      <c r="Z32" s="1508" t="str">
        <f t="shared" si="15"/>
        <v>商业类型</v>
      </c>
      <c r="AA32" s="1509">
        <f t="shared" si="3"/>
        <v>1</v>
      </c>
      <c r="AB32" s="1509">
        <f t="shared" si="4"/>
        <v>1.0416666666666667</v>
      </c>
      <c r="AC32" s="1509">
        <f t="shared" si="5"/>
        <v>0.98039215686274506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618"/>
      <c r="Q33" s="1534" t="str">
        <f t="shared" si="11"/>
        <v>项目建筑规模</v>
      </c>
      <c r="R33" s="1510" t="s">
        <v>8</v>
      </c>
      <c r="S33" s="1511">
        <f t="shared" si="12"/>
        <v>102</v>
      </c>
      <c r="T33" s="1510" t="s">
        <v>8</v>
      </c>
      <c r="U33" s="1511">
        <f t="shared" si="13"/>
        <v>102</v>
      </c>
      <c r="V33" s="1510" t="s">
        <v>8</v>
      </c>
      <c r="W33" s="1511">
        <f t="shared" si="14"/>
        <v>102</v>
      </c>
      <c r="X33" s="1512"/>
      <c r="Y33" s="3618"/>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618"/>
      <c r="Q34" s="1505" t="str">
        <f t="shared" si="11"/>
        <v>建筑结构</v>
      </c>
      <c r="R34" s="1506" t="s">
        <v>8</v>
      </c>
      <c r="S34" s="1507">
        <f t="shared" si="12"/>
        <v>100</v>
      </c>
      <c r="T34" s="1506" t="s">
        <v>8</v>
      </c>
      <c r="U34" s="1507">
        <f t="shared" si="13"/>
        <v>100</v>
      </c>
      <c r="V34" s="1506" t="s">
        <v>8</v>
      </c>
      <c r="W34" s="1507">
        <f t="shared" si="14"/>
        <v>100</v>
      </c>
      <c r="X34" s="1500"/>
      <c r="Y34" s="3618"/>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618"/>
      <c r="Q35" s="3362" t="str">
        <f t="shared" si="11"/>
        <v>公共部分装修</v>
      </c>
      <c r="R35" s="3363" t="s">
        <v>8</v>
      </c>
      <c r="S35" s="3364">
        <f t="shared" si="12"/>
        <v>100</v>
      </c>
      <c r="T35" s="3363" t="s">
        <v>8</v>
      </c>
      <c r="U35" s="3364">
        <f t="shared" si="13"/>
        <v>100</v>
      </c>
      <c r="V35" s="3363" t="s">
        <v>8</v>
      </c>
      <c r="W35" s="3364">
        <f t="shared" si="14"/>
        <v>100</v>
      </c>
      <c r="X35" s="3365"/>
      <c r="Y35" s="3618"/>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618"/>
      <c r="Q36" s="1505" t="str">
        <f t="shared" si="11"/>
        <v>成新度</v>
      </c>
      <c r="R36" s="1506" t="s">
        <v>8</v>
      </c>
      <c r="S36" s="1507">
        <f t="shared" si="12"/>
        <v>98</v>
      </c>
      <c r="T36" s="1506" t="s">
        <v>8</v>
      </c>
      <c r="U36" s="1507">
        <f t="shared" si="13"/>
        <v>98</v>
      </c>
      <c r="V36" s="1506" t="s">
        <v>8</v>
      </c>
      <c r="W36" s="1507">
        <f t="shared" si="14"/>
        <v>99</v>
      </c>
      <c r="X36" s="1500"/>
      <c r="Y36" s="361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618"/>
      <c r="Q37" s="1132" t="str">
        <f t="shared" si="11"/>
        <v>市政基础设施</v>
      </c>
      <c r="R37" s="1501" t="s">
        <v>8</v>
      </c>
      <c r="S37" s="1502">
        <f t="shared" si="12"/>
        <v>100</v>
      </c>
      <c r="T37" s="1501" t="s">
        <v>8</v>
      </c>
      <c r="U37" s="1502">
        <f t="shared" si="13"/>
        <v>100</v>
      </c>
      <c r="V37" s="1501" t="s">
        <v>8</v>
      </c>
      <c r="W37" s="1502">
        <f t="shared" si="14"/>
        <v>100</v>
      </c>
      <c r="X37" s="1503"/>
      <c r="Y37" s="361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618" t="s">
        <v>758</v>
      </c>
      <c r="Q38" s="1505" t="str">
        <f t="shared" si="11"/>
        <v>业态</v>
      </c>
      <c r="R38" s="1506" t="s">
        <v>8</v>
      </c>
      <c r="S38" s="1507">
        <f t="shared" si="12"/>
        <v>100</v>
      </c>
      <c r="T38" s="1506" t="s">
        <v>8</v>
      </c>
      <c r="U38" s="1507">
        <f t="shared" si="13"/>
        <v>100</v>
      </c>
      <c r="V38" s="1506" t="s">
        <v>8</v>
      </c>
      <c r="W38" s="1507">
        <f t="shared" si="14"/>
        <v>100</v>
      </c>
      <c r="X38" s="1500"/>
      <c r="Y38" s="3618"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618"/>
      <c r="Q39" s="1505" t="str">
        <f t="shared" si="11"/>
        <v>层高</v>
      </c>
      <c r="R39" s="1506" t="s">
        <v>8</v>
      </c>
      <c r="S39" s="1507">
        <f t="shared" si="12"/>
        <v>100</v>
      </c>
      <c r="T39" s="1506" t="s">
        <v>8</v>
      </c>
      <c r="U39" s="1507">
        <f t="shared" si="13"/>
        <v>100</v>
      </c>
      <c r="V39" s="1506" t="s">
        <v>8</v>
      </c>
      <c r="W39" s="1507">
        <f t="shared" si="14"/>
        <v>100</v>
      </c>
      <c r="X39" s="1500"/>
      <c r="Y39" s="361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618"/>
      <c r="Q40" s="1505" t="str">
        <f t="shared" si="11"/>
        <v>单套建筑面积</v>
      </c>
      <c r="R40" s="1506" t="s">
        <v>8</v>
      </c>
      <c r="S40" s="1507">
        <f t="shared" si="12"/>
        <v>100</v>
      </c>
      <c r="T40" s="1506" t="s">
        <v>8</v>
      </c>
      <c r="U40" s="1507">
        <f t="shared" si="13"/>
        <v>100</v>
      </c>
      <c r="V40" s="1506" t="s">
        <v>8</v>
      </c>
      <c r="W40" s="1507">
        <f t="shared" si="14"/>
        <v>100</v>
      </c>
      <c r="X40" s="1500"/>
      <c r="Y40" s="3618"/>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618"/>
      <c r="Q41" s="1534" t="str">
        <f t="shared" si="11"/>
        <v>进深比</v>
      </c>
      <c r="R41" s="1510" t="s">
        <v>8</v>
      </c>
      <c r="S41" s="1511">
        <f t="shared" si="12"/>
        <v>100</v>
      </c>
      <c r="T41" s="1510" t="s">
        <v>8</v>
      </c>
      <c r="U41" s="1511">
        <f t="shared" si="13"/>
        <v>100</v>
      </c>
      <c r="V41" s="1510" t="s">
        <v>8</v>
      </c>
      <c r="W41" s="1511">
        <f t="shared" si="14"/>
        <v>100</v>
      </c>
      <c r="X41" s="1512"/>
      <c r="Y41" s="3618"/>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618"/>
      <c r="Q42" s="1505" t="str">
        <f t="shared" si="11"/>
        <v>内部装修</v>
      </c>
      <c r="R42" s="1506" t="s">
        <v>8</v>
      </c>
      <c r="S42" s="1507">
        <f t="shared" si="12"/>
        <v>103</v>
      </c>
      <c r="T42" s="1506" t="s">
        <v>8</v>
      </c>
      <c r="U42" s="1507">
        <f t="shared" si="13"/>
        <v>102</v>
      </c>
      <c r="V42" s="1506" t="s">
        <v>8</v>
      </c>
      <c r="W42" s="1507">
        <f t="shared" si="14"/>
        <v>103</v>
      </c>
      <c r="X42" s="1500"/>
      <c r="Y42" s="3618"/>
      <c r="Z42" s="1508" t="str">
        <f t="shared" si="15"/>
        <v>内部装修</v>
      </c>
      <c r="AA42" s="1509">
        <f t="shared" si="3"/>
        <v>0.970873786407767</v>
      </c>
      <c r="AB42" s="1509">
        <f t="shared" si="4"/>
        <v>0.98039215686274506</v>
      </c>
      <c r="AC42" s="1509">
        <f t="shared" si="5"/>
        <v>0.970873786407767</v>
      </c>
    </row>
    <row r="43" spans="1:29" ht="15.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618"/>
      <c r="Q43" s="1505" t="str">
        <f t="shared" si="11"/>
        <v>内部装修维护情况</v>
      </c>
      <c r="R43" s="1506" t="s">
        <v>8</v>
      </c>
      <c r="S43" s="1507">
        <f t="shared" si="12"/>
        <v>100</v>
      </c>
      <c r="T43" s="1506" t="s">
        <v>8</v>
      </c>
      <c r="U43" s="1507">
        <f t="shared" si="13"/>
        <v>100</v>
      </c>
      <c r="V43" s="1506" t="s">
        <v>8</v>
      </c>
      <c r="W43" s="1507">
        <f t="shared" si="14"/>
        <v>100</v>
      </c>
      <c r="X43" s="1500"/>
      <c r="Y43" s="361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618"/>
      <c r="Q44" s="1132">
        <f t="shared" si="11"/>
        <v>111</v>
      </c>
      <c r="R44" s="1501" t="s">
        <v>8</v>
      </c>
      <c r="S44" s="1502">
        <f t="shared" si="12"/>
        <v>100</v>
      </c>
      <c r="T44" s="1501" t="s">
        <v>8</v>
      </c>
      <c r="U44" s="1502">
        <f t="shared" si="13"/>
        <v>100</v>
      </c>
      <c r="V44" s="1501" t="s">
        <v>8</v>
      </c>
      <c r="W44" s="1502">
        <f t="shared" si="14"/>
        <v>100</v>
      </c>
      <c r="X44" s="1503"/>
      <c r="Y44" s="361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618"/>
      <c r="Q45" s="1505">
        <f t="shared" si="11"/>
        <v>111</v>
      </c>
      <c r="R45" s="1506" t="s">
        <v>8</v>
      </c>
      <c r="S45" s="1507">
        <f t="shared" si="12"/>
        <v>100</v>
      </c>
      <c r="T45" s="1506" t="s">
        <v>8</v>
      </c>
      <c r="U45" s="1507">
        <f t="shared" si="13"/>
        <v>100</v>
      </c>
      <c r="V45" s="1506" t="s">
        <v>8</v>
      </c>
      <c r="W45" s="1507">
        <f t="shared" si="14"/>
        <v>100</v>
      </c>
      <c r="X45" s="1500"/>
      <c r="Y45" s="361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8"/>
      <c r="Q46" s="1505">
        <f t="shared" si="11"/>
        <v>111</v>
      </c>
      <c r="R46" s="1506" t="s">
        <v>8</v>
      </c>
      <c r="S46" s="1507">
        <f t="shared" si="12"/>
        <v>100</v>
      </c>
      <c r="T46" s="1506" t="s">
        <v>8</v>
      </c>
      <c r="U46" s="1507">
        <f t="shared" si="13"/>
        <v>100</v>
      </c>
      <c r="V46" s="1506" t="s">
        <v>8</v>
      </c>
      <c r="W46" s="1507">
        <f t="shared" si="14"/>
        <v>100</v>
      </c>
      <c r="X46" s="1500"/>
      <c r="Y46" s="3698"/>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81" t="str">
        <f>A47</f>
        <v>成交单价（元/平方米）</v>
      </c>
      <c r="Q47" s="3581"/>
      <c r="R47" s="3697">
        <f>E47</f>
        <v>5</v>
      </c>
      <c r="S47" s="3697"/>
      <c r="T47" s="3697">
        <f>G47</f>
        <v>4.5</v>
      </c>
      <c r="U47" s="3697"/>
      <c r="V47" s="3697">
        <f>I47</f>
        <v>5.7</v>
      </c>
      <c r="W47" s="3697"/>
      <c r="X47" s="1495"/>
      <c r="Y47" s="1514"/>
      <c r="Z47" s="1495"/>
      <c r="AA47" s="1495"/>
      <c r="AB47" s="1495"/>
      <c r="AC47" s="1495"/>
    </row>
    <row r="48" spans="1:29" ht="26.25" thickBot="1">
      <c r="A48" s="607" t="s">
        <v>2738</v>
      </c>
      <c r="B48" s="875"/>
      <c r="C48" s="2474">
        <f>R49</f>
        <v>5.4</v>
      </c>
      <c r="D48" s="3012" t="s">
        <v>2963</v>
      </c>
      <c r="E48" s="2475">
        <f>R48</f>
        <v>5.4</v>
      </c>
      <c r="F48" s="3013"/>
      <c r="G48" s="2474">
        <f>T48</f>
        <v>5.2</v>
      </c>
      <c r="H48" s="3013"/>
      <c r="I48" s="2475">
        <f>V48</f>
        <v>5.5</v>
      </c>
      <c r="J48" s="3013"/>
      <c r="K48" s="3021">
        <f>F48+H48+J48</f>
        <v>0</v>
      </c>
      <c r="L48" s="2024"/>
      <c r="M48" s="2025"/>
      <c r="N48" s="2014"/>
      <c r="O48" s="2025"/>
      <c r="P48" s="3581" t="str">
        <f>A48</f>
        <v>比较价格（元/平方米）</v>
      </c>
      <c r="Q48" s="3581"/>
      <c r="R48" s="3697">
        <f>IF(F1="售价",ROUND(PRODUCT(R47,AA7:AA46),0),ROUND(PRODUCT(R47,AA7:AA46),1))</f>
        <v>5.4</v>
      </c>
      <c r="S48" s="3697"/>
      <c r="T48" s="3697">
        <f>IF(F1="售价",ROUND(PRODUCT(T47,AB7:AB46),0),ROUND(PRODUCT(T47,AB7:AB46),1))</f>
        <v>5.2</v>
      </c>
      <c r="U48" s="3697"/>
      <c r="V48" s="3697">
        <f>IF(F1="售价",ROUND(PRODUCT(V47,AC7:AC46),0),ROUND(PRODUCT(V47,AC7:AC46),1))</f>
        <v>5.5</v>
      </c>
      <c r="W48" s="3697"/>
      <c r="X48" s="1495"/>
      <c r="Y48" s="1495"/>
      <c r="Z48" s="1495"/>
      <c r="AA48" s="1495"/>
      <c r="AB48" s="1495"/>
      <c r="AC48" s="1495"/>
    </row>
    <row r="49" spans="1:29" ht="15.75" thickBot="1">
      <c r="A49" s="611" t="s">
        <v>2898</v>
      </c>
      <c r="B49" s="612"/>
      <c r="C49" s="2476">
        <f>R49</f>
        <v>5.4</v>
      </c>
      <c r="D49" s="2476"/>
      <c r="E49" s="2476"/>
      <c r="F49" s="2476"/>
      <c r="G49" s="2476"/>
      <c r="H49" s="2476"/>
      <c r="I49" s="2476"/>
      <c r="J49" s="2476"/>
      <c r="K49" s="1540"/>
      <c r="L49" s="2024"/>
      <c r="M49" s="2025"/>
      <c r="N49" s="2014"/>
      <c r="O49" s="2025"/>
      <c r="P49" s="3578" t="str">
        <f>A49</f>
        <v>估价对象XX用房的比较价格（楼面单价，元/平方米）</v>
      </c>
      <c r="Q49" s="3579"/>
      <c r="R49" s="3696">
        <f>IF(F1="售价",ROUND(IF(D48="简单平均",AVERAGE(R48:V48),R48*F48+T48*H48+V48*J48),0),ROUND(IF(D48="简单平均",AVERAGE(R48:V48),R48*F48+T48*H48+V48*J48),1))</f>
        <v>5.4</v>
      </c>
      <c r="S49" s="3696"/>
      <c r="T49" s="3696"/>
      <c r="U49" s="3696"/>
      <c r="V49" s="3696"/>
      <c r="W49" s="3696"/>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8.0000000000000071E-2</v>
      </c>
      <c r="F52" s="617" t="str">
        <f>IF(OR(E52&gt;=0.3,E52&lt;=-0.3),"超过30%","")</f>
        <v/>
      </c>
      <c r="G52" s="616">
        <f>IF(G47&lt;G48,G48/G47-1,G47/G48-1)</f>
        <v>0.15555555555555567</v>
      </c>
      <c r="H52" s="617" t="str">
        <f>IF(OR(G52&gt;=0.3,G52&lt;=-0.3),"超过30%","")</f>
        <v/>
      </c>
      <c r="I52" s="616">
        <f>IF(I47&lt;I48,I48/I47-1,I47/I48-1)</f>
        <v>3.6363636363636376E-2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3.8461538461538547E-2</v>
      </c>
      <c r="F53" s="617" t="str">
        <f>IF(OR(E53&gt;=0.2,E53&lt;=-0.2),"超过20%","")</f>
        <v/>
      </c>
      <c r="G53" s="616">
        <f>IF(G48&lt;I48,I48/G48-1,G48/I48-1)</f>
        <v>5.7692307692307709E-2</v>
      </c>
      <c r="H53" s="617" t="str">
        <f>IF(OR(G53&gt;=0.2,G53&lt;=-0.2),"超过20%","")</f>
        <v/>
      </c>
      <c r="I53" s="616">
        <f>IF(I48&lt;E48,E48/I48-1,I48/E48-1)</f>
        <v>1.8518518518518379E-2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1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39" zoomScale="80" zoomScaleNormal="60" zoomScaleSheetLayoutView="80" workbookViewId="0">
      <selection activeCell="L5" sqref="L5"/>
    </sheetView>
  </sheetViews>
  <sheetFormatPr defaultColWidth="9" defaultRowHeight="14.25"/>
  <cols>
    <col min="1" max="1" width="10.5" style="1289" customWidth="1"/>
    <col min="2" max="2" width="15.75" style="1289" customWidth="1"/>
    <col min="3" max="3" width="14.375" style="1289" customWidth="1"/>
    <col min="4" max="10" width="7.6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87" t="s">
        <v>514</v>
      </c>
      <c r="D4" s="3588"/>
      <c r="E4" s="3621" t="s">
        <v>515</v>
      </c>
      <c r="F4" s="3622"/>
      <c r="G4" s="3587" t="s">
        <v>516</v>
      </c>
      <c r="H4" s="3588"/>
      <c r="I4" s="3587" t="s">
        <v>517</v>
      </c>
      <c r="J4" s="3588"/>
      <c r="K4" s="506" t="s">
        <v>518</v>
      </c>
      <c r="L4" s="2013"/>
      <c r="M4" s="2014"/>
      <c r="N4" s="2014"/>
      <c r="O4" s="2014"/>
      <c r="P4" s="3703" t="s">
        <v>519</v>
      </c>
      <c r="Q4" s="3590"/>
      <c r="R4" s="3595" t="s">
        <v>515</v>
      </c>
      <c r="S4" s="3596"/>
      <c r="T4" s="3595" t="s">
        <v>516</v>
      </c>
      <c r="U4" s="3596"/>
      <c r="V4" s="3582" t="s">
        <v>517</v>
      </c>
      <c r="W4" s="3582"/>
      <c r="X4" s="1500"/>
      <c r="Y4" s="3595" t="s">
        <v>519</v>
      </c>
      <c r="Z4" s="3596"/>
      <c r="AA4" s="3584" t="s">
        <v>515</v>
      </c>
      <c r="AB4" s="3584" t="s">
        <v>516</v>
      </c>
      <c r="AC4" s="3584" t="s">
        <v>517</v>
      </c>
    </row>
    <row r="5" spans="1:29" ht="15">
      <c r="A5" s="507"/>
      <c r="B5" s="508"/>
      <c r="C5" s="3603" t="s">
        <v>2892</v>
      </c>
      <c r="D5" s="3604"/>
      <c r="E5" s="3623" t="str">
        <f>办公案例截图及地图!A1</f>
        <v>绿地中央广场</v>
      </c>
      <c r="F5" s="3624"/>
      <c r="G5" s="3701" t="s">
        <v>3169</v>
      </c>
      <c r="H5" s="3604"/>
      <c r="I5" s="3701" t="s">
        <v>3170</v>
      </c>
      <c r="J5" s="3604"/>
      <c r="K5" s="506"/>
      <c r="L5" s="2013"/>
      <c r="M5" s="2014"/>
      <c r="N5" s="2014"/>
      <c r="O5" s="2014"/>
      <c r="P5" s="3704"/>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705"/>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614" t="s">
        <v>522</v>
      </c>
      <c r="Q7" s="3614"/>
      <c r="R7" s="1501" t="s">
        <v>8</v>
      </c>
      <c r="S7" s="1502">
        <f t="shared" ref="S7:S15" si="0">F7</f>
        <v>100</v>
      </c>
      <c r="T7" s="1501" t="s">
        <v>8</v>
      </c>
      <c r="U7" s="1502">
        <f t="shared" ref="U7:U15" si="1">H7</f>
        <v>100</v>
      </c>
      <c r="V7" s="1501" t="s">
        <v>8</v>
      </c>
      <c r="W7" s="1502">
        <f t="shared" ref="W7:W15" si="2">J7</f>
        <v>100</v>
      </c>
      <c r="X7" s="1503"/>
      <c r="Y7" s="3612" t="s">
        <v>522</v>
      </c>
      <c r="Z7" s="3613"/>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614" t="s">
        <v>525</v>
      </c>
      <c r="Q8" s="3613"/>
      <c r="R8" s="1501" t="s">
        <v>8</v>
      </c>
      <c r="S8" s="1502">
        <f t="shared" si="0"/>
        <v>100</v>
      </c>
      <c r="T8" s="1501" t="s">
        <v>8</v>
      </c>
      <c r="U8" s="1502">
        <f t="shared" si="1"/>
        <v>100</v>
      </c>
      <c r="V8" s="1501" t="s">
        <v>8</v>
      </c>
      <c r="W8" s="1502">
        <f t="shared" si="2"/>
        <v>100</v>
      </c>
      <c r="X8" s="1503"/>
      <c r="Y8" s="3612" t="s">
        <v>525</v>
      </c>
      <c r="Z8" s="3613"/>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8.5">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81"/>
      <c r="Q11" s="1132" t="str">
        <f t="shared" si="6"/>
        <v>容积率</v>
      </c>
      <c r="R11" s="1501" t="s">
        <v>8</v>
      </c>
      <c r="S11" s="1502">
        <f t="shared" si="0"/>
        <v>100</v>
      </c>
      <c r="T11" s="1501" t="s">
        <v>8</v>
      </c>
      <c r="U11" s="1502">
        <f t="shared" si="1"/>
        <v>100</v>
      </c>
      <c r="V11" s="1501" t="s">
        <v>8</v>
      </c>
      <c r="W11" s="1502">
        <f t="shared" si="2"/>
        <v>100</v>
      </c>
      <c r="X11" s="1503"/>
      <c r="Y11" s="3527"/>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615" t="s">
        <v>532</v>
      </c>
      <c r="Q15" s="1505" t="str">
        <f t="shared" si="6"/>
        <v>办公集聚程度</v>
      </c>
      <c r="R15" s="1506" t="s">
        <v>8</v>
      </c>
      <c r="S15" s="1507">
        <f t="shared" si="0"/>
        <v>102</v>
      </c>
      <c r="T15" s="1506" t="s">
        <v>8</v>
      </c>
      <c r="U15" s="1507">
        <f t="shared" si="1"/>
        <v>102</v>
      </c>
      <c r="V15" s="1506" t="s">
        <v>8</v>
      </c>
      <c r="W15" s="1507">
        <f t="shared" si="2"/>
        <v>102</v>
      </c>
      <c r="X15" s="1500"/>
      <c r="Y15" s="3615"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616"/>
      <c r="Q16" s="1505"/>
      <c r="R16" s="1506"/>
      <c r="S16" s="1507"/>
      <c r="T16" s="1506"/>
      <c r="U16" s="1507"/>
      <c r="V16" s="1506"/>
      <c r="W16" s="1507"/>
      <c r="X16" s="1500"/>
      <c r="Y16" s="3616"/>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616"/>
      <c r="Q18" s="1505"/>
      <c r="R18" s="1506"/>
      <c r="S18" s="1507"/>
      <c r="T18" s="1506"/>
      <c r="U18" s="1507"/>
      <c r="V18" s="1506"/>
      <c r="W18" s="1507"/>
      <c r="X18" s="1500"/>
      <c r="Y18" s="361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101</v>
      </c>
      <c r="G19" s="562"/>
      <c r="H19" s="551">
        <f>SUMIF(81:81,G20,82:82)-SUMIF(81:81,C20,82:82)+100</f>
        <v>101</v>
      </c>
      <c r="I19" s="562"/>
      <c r="J19" s="551">
        <f>SUMIF(81:81,I20,82:82)-SUMIF(81:81,C20,82:82)+100</f>
        <v>101</v>
      </c>
      <c r="K19" s="885">
        <v>1</v>
      </c>
      <c r="L19" s="2022"/>
      <c r="M19" s="2014"/>
      <c r="N19" s="2014"/>
      <c r="O19" s="2014"/>
      <c r="P19" s="3616"/>
      <c r="Q19" s="1505" t="str">
        <f>B19</f>
        <v>公共配套设施</v>
      </c>
      <c r="R19" s="1506" t="s">
        <v>8</v>
      </c>
      <c r="S19" s="1507">
        <f>F19</f>
        <v>101</v>
      </c>
      <c r="T19" s="1506" t="s">
        <v>8</v>
      </c>
      <c r="U19" s="1507">
        <f>H19</f>
        <v>101</v>
      </c>
      <c r="V19" s="1506" t="s">
        <v>8</v>
      </c>
      <c r="W19" s="1507">
        <f>J19</f>
        <v>101</v>
      </c>
      <c r="X19" s="1500"/>
      <c r="Y19" s="3616"/>
      <c r="Z19" s="1508" t="str">
        <f>Q19</f>
        <v>公共配套设施</v>
      </c>
      <c r="AA19" s="1509">
        <f t="shared" si="3"/>
        <v>0.99009900990099009</v>
      </c>
      <c r="AB19" s="1509">
        <f t="shared" si="4"/>
        <v>0.99009900990099009</v>
      </c>
      <c r="AC19" s="1509">
        <f t="shared" si="5"/>
        <v>0.99009900990099009</v>
      </c>
    </row>
    <row r="20" spans="1:29" ht="15">
      <c r="A20" s="524"/>
      <c r="B20" s="558"/>
      <c r="C20" s="546" t="s">
        <v>3074</v>
      </c>
      <c r="D20" s="547"/>
      <c r="E20" s="550" t="s">
        <v>3075</v>
      </c>
      <c r="F20" s="547"/>
      <c r="G20" s="548" t="s">
        <v>3075</v>
      </c>
      <c r="H20" s="547"/>
      <c r="I20" s="548" t="s">
        <v>3075</v>
      </c>
      <c r="J20" s="547"/>
      <c r="K20" s="886"/>
      <c r="L20" s="2022"/>
      <c r="M20" s="2014"/>
      <c r="N20" s="2014"/>
      <c r="O20" s="2014"/>
      <c r="P20" s="3616"/>
      <c r="Q20" s="1505"/>
      <c r="R20" s="1506"/>
      <c r="S20" s="1507"/>
      <c r="T20" s="1506"/>
      <c r="U20" s="1507"/>
      <c r="V20" s="1506"/>
      <c r="W20" s="1507"/>
      <c r="X20" s="1500"/>
      <c r="Y20" s="361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570"/>
      <c r="C22" s="559" t="s">
        <v>3172</v>
      </c>
      <c r="D22" s="547"/>
      <c r="E22" s="568" t="s">
        <v>3172</v>
      </c>
      <c r="F22" s="547"/>
      <c r="G22" s="546" t="s">
        <v>3172</v>
      </c>
      <c r="H22" s="547"/>
      <c r="I22" s="546" t="s">
        <v>3172</v>
      </c>
      <c r="J22" s="547"/>
      <c r="K22" s="2444"/>
      <c r="L22" s="2022"/>
      <c r="M22" s="2014"/>
      <c r="N22" s="2014"/>
      <c r="O22" s="2014"/>
      <c r="P22" s="3616"/>
      <c r="Q22" s="2427"/>
      <c r="R22" s="1506"/>
      <c r="S22" s="1507"/>
      <c r="T22" s="1506"/>
      <c r="U22" s="1507"/>
      <c r="V22" s="1506"/>
      <c r="W22" s="1507"/>
      <c r="X22" s="2429"/>
      <c r="Y22" s="361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616"/>
      <c r="Q23" s="1505" t="str">
        <f>B23</f>
        <v>环境质量</v>
      </c>
      <c r="R23" s="1506" t="s">
        <v>8</v>
      </c>
      <c r="S23" s="1507">
        <f>F23</f>
        <v>98</v>
      </c>
      <c r="T23" s="1506" t="s">
        <v>8</v>
      </c>
      <c r="U23" s="1507">
        <f>H23</f>
        <v>98</v>
      </c>
      <c r="V23" s="1506" t="s">
        <v>8</v>
      </c>
      <c r="W23" s="1507">
        <f>J23</f>
        <v>98</v>
      </c>
      <c r="X23" s="1500"/>
      <c r="Y23" s="3616"/>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616"/>
      <c r="Q24" s="1505"/>
      <c r="R24" s="1506"/>
      <c r="S24" s="1507"/>
      <c r="T24" s="1506"/>
      <c r="U24" s="1507"/>
      <c r="V24" s="1506"/>
      <c r="W24" s="1507"/>
      <c r="X24" s="1500"/>
      <c r="Y24" s="3616"/>
      <c r="Z24" s="1508"/>
      <c r="AA24" s="1509">
        <v>1</v>
      </c>
      <c r="AB24" s="1509">
        <v>1</v>
      </c>
      <c r="AC24" s="1509">
        <v>1</v>
      </c>
    </row>
    <row r="25" spans="1:29" ht="27">
      <c r="A25" s="507"/>
      <c r="B25" s="552" t="s">
        <v>540</v>
      </c>
      <c r="C25" s="899"/>
      <c r="D25" s="532">
        <v>100</v>
      </c>
      <c r="E25" s="531"/>
      <c r="F25" s="532">
        <f>SUMIF(87:87,E26,88:88)-SUMIF(87:87,C26,88:88)+100</f>
        <v>95</v>
      </c>
      <c r="G25" s="899"/>
      <c r="H25" s="532">
        <f>SUMIF(87:87,G26,88:88)-SUMIF(87:87,C26,88:88)+100</f>
        <v>95</v>
      </c>
      <c r="I25" s="531"/>
      <c r="J25" s="532">
        <f>SUMIF(87:87,I26,88:88)-SUMIF(87:87,C26,88:88)+100</f>
        <v>95</v>
      </c>
      <c r="K25" s="885">
        <v>2.5</v>
      </c>
      <c r="L25" s="2022"/>
      <c r="M25" s="2014"/>
      <c r="N25" s="2014"/>
      <c r="O25" s="2014"/>
      <c r="P25" s="3616"/>
      <c r="Q25" s="1505" t="str">
        <f>B25</f>
        <v>毗邻道路的类型与等级</v>
      </c>
      <c r="R25" s="1506" t="s">
        <v>8</v>
      </c>
      <c r="S25" s="1507">
        <f>F25</f>
        <v>95</v>
      </c>
      <c r="T25" s="1506" t="s">
        <v>8</v>
      </c>
      <c r="U25" s="1507">
        <f>H25</f>
        <v>95</v>
      </c>
      <c r="V25" s="1506" t="s">
        <v>8</v>
      </c>
      <c r="W25" s="1507">
        <f>J25</f>
        <v>95</v>
      </c>
      <c r="X25" s="1500"/>
      <c r="Y25" s="3616"/>
      <c r="Z25" s="1508" t="str">
        <f>Q25</f>
        <v>毗邻道路的类型与等级</v>
      </c>
      <c r="AA25" s="1509">
        <f t="shared" si="3"/>
        <v>1.0526315789473684</v>
      </c>
      <c r="AB25" s="1509">
        <f t="shared" si="4"/>
        <v>1.0526315789473684</v>
      </c>
      <c r="AC25" s="1509">
        <f t="shared" si="5"/>
        <v>1.0526315789473684</v>
      </c>
    </row>
    <row r="26" spans="1:29" ht="28.5">
      <c r="A26" s="507"/>
      <c r="B26" s="558"/>
      <c r="C26" s="572" t="s">
        <v>3173</v>
      </c>
      <c r="D26" s="532"/>
      <c r="E26" s="575" t="s">
        <v>3086</v>
      </c>
      <c r="F26" s="532"/>
      <c r="G26" s="572" t="s">
        <v>3086</v>
      </c>
      <c r="H26" s="532"/>
      <c r="I26" s="575" t="s">
        <v>3086</v>
      </c>
      <c r="J26" s="532"/>
      <c r="K26" s="886"/>
      <c r="L26" s="2022"/>
      <c r="M26" s="2014"/>
      <c r="N26" s="2014"/>
      <c r="O26" s="2014"/>
      <c r="P26" s="3616"/>
      <c r="Q26" s="1505"/>
      <c r="R26" s="1506"/>
      <c r="S26" s="1507"/>
      <c r="T26" s="1506"/>
      <c r="U26" s="1507"/>
      <c r="V26" s="1506"/>
      <c r="W26" s="1507"/>
      <c r="X26" s="1500"/>
      <c r="Y26" s="361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616"/>
      <c r="Q27" s="1505" t="str">
        <f t="shared" ref="Q27:Q47" si="11">B27</f>
        <v>楼层</v>
      </c>
      <c r="R27" s="1506" t="s">
        <v>8</v>
      </c>
      <c r="S27" s="1507">
        <f>F27</f>
        <v>100</v>
      </c>
      <c r="T27" s="1506" t="s">
        <v>8</v>
      </c>
      <c r="U27" s="1507">
        <f>H27</f>
        <v>100</v>
      </c>
      <c r="V27" s="1506" t="s">
        <v>8</v>
      </c>
      <c r="W27" s="1507">
        <f>J27</f>
        <v>100</v>
      </c>
      <c r="X27" s="1500"/>
      <c r="Y27" s="361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616"/>
      <c r="Q28" s="1132" t="str">
        <f t="shared" si="11"/>
        <v>朝向</v>
      </c>
      <c r="R28" s="1501" t="s">
        <v>8</v>
      </c>
      <c r="S28" s="1502">
        <f>F28</f>
        <v>100</v>
      </c>
      <c r="T28" s="1501" t="s">
        <v>8</v>
      </c>
      <c r="U28" s="1502">
        <f>H28</f>
        <v>100</v>
      </c>
      <c r="V28" s="1501" t="s">
        <v>8</v>
      </c>
      <c r="W28" s="1502">
        <f>J28</f>
        <v>100</v>
      </c>
      <c r="X28" s="1503"/>
      <c r="Y28" s="361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616"/>
      <c r="Q29" s="1505">
        <f t="shared" si="11"/>
        <v>111</v>
      </c>
      <c r="R29" s="1506" t="s">
        <v>8</v>
      </c>
      <c r="S29" s="1507">
        <f t="shared" ref="S29:S47" si="12">F29</f>
        <v>100</v>
      </c>
      <c r="T29" s="1506" t="s">
        <v>8</v>
      </c>
      <c r="U29" s="1507">
        <f t="shared" ref="U29:U47" si="13">H29</f>
        <v>100</v>
      </c>
      <c r="V29" s="1506" t="s">
        <v>8</v>
      </c>
      <c r="W29" s="1507">
        <f t="shared" ref="W29:W47" si="14">J29</f>
        <v>100</v>
      </c>
      <c r="X29" s="1500"/>
      <c r="Y29" s="361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616"/>
      <c r="Q30" s="1505">
        <f t="shared" si="11"/>
        <v>111</v>
      </c>
      <c r="R30" s="1506" t="s">
        <v>8</v>
      </c>
      <c r="S30" s="1507">
        <f t="shared" si="12"/>
        <v>100</v>
      </c>
      <c r="T30" s="1506" t="s">
        <v>8</v>
      </c>
      <c r="U30" s="1507">
        <f t="shared" si="13"/>
        <v>100</v>
      </c>
      <c r="V30" s="1506" t="s">
        <v>8</v>
      </c>
      <c r="W30" s="1507">
        <f t="shared" si="14"/>
        <v>100</v>
      </c>
      <c r="X30" s="1500"/>
      <c r="Y30" s="361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616"/>
      <c r="Q31" s="1505">
        <f t="shared" si="11"/>
        <v>111</v>
      </c>
      <c r="R31" s="1506" t="s">
        <v>8</v>
      </c>
      <c r="S31" s="1507">
        <f t="shared" si="12"/>
        <v>100</v>
      </c>
      <c r="T31" s="1506" t="s">
        <v>8</v>
      </c>
      <c r="U31" s="1507">
        <f t="shared" si="13"/>
        <v>100</v>
      </c>
      <c r="V31" s="1506" t="s">
        <v>8</v>
      </c>
      <c r="W31" s="1507">
        <f t="shared" si="14"/>
        <v>100</v>
      </c>
      <c r="X31" s="1500"/>
      <c r="Y31" s="361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616"/>
      <c r="Q32" s="1505">
        <f t="shared" si="11"/>
        <v>111</v>
      </c>
      <c r="R32" s="1506" t="s">
        <v>8</v>
      </c>
      <c r="S32" s="1507">
        <f t="shared" si="12"/>
        <v>100</v>
      </c>
      <c r="T32" s="1506" t="s">
        <v>8</v>
      </c>
      <c r="U32" s="1507">
        <f t="shared" si="13"/>
        <v>100</v>
      </c>
      <c r="V32" s="1506" t="s">
        <v>8</v>
      </c>
      <c r="W32" s="1507">
        <f t="shared" si="14"/>
        <v>100</v>
      </c>
      <c r="X32" s="1500"/>
      <c r="Y32" s="3616"/>
      <c r="Z32" s="1508">
        <f t="shared" si="15"/>
        <v>111</v>
      </c>
      <c r="AA32" s="1509">
        <f t="shared" si="3"/>
        <v>1</v>
      </c>
      <c r="AB32" s="1509">
        <f t="shared" si="4"/>
        <v>1</v>
      </c>
      <c r="AC32" s="1509">
        <f t="shared" si="5"/>
        <v>1</v>
      </c>
    </row>
    <row r="33" spans="1:29" ht="28.5">
      <c r="A33" s="2622" t="s">
        <v>2733</v>
      </c>
      <c r="B33" s="169" t="s">
        <v>772</v>
      </c>
      <c r="C33" s="903" t="s">
        <v>3174</v>
      </c>
      <c r="D33" s="589">
        <v>100</v>
      </c>
      <c r="E33" s="903" t="s">
        <v>3147</v>
      </c>
      <c r="F33" s="567">
        <f>SUMIF(101:101,E33,102:102)-SUMIF(101:101,C33,102:102)+100</f>
        <v>102</v>
      </c>
      <c r="G33" s="903" t="s">
        <v>3147</v>
      </c>
      <c r="H33" s="532">
        <f>SUMIF(101:101,G33,102:102)-SUMIF(101:101,C33,102:102)+100</f>
        <v>102</v>
      </c>
      <c r="I33" s="903" t="s">
        <v>3147</v>
      </c>
      <c r="J33" s="589">
        <f>SUMIF(101:101,I33,102:102)-SUMIF(101:101,C33,102:102)+100</f>
        <v>102</v>
      </c>
      <c r="K33" s="576">
        <v>2</v>
      </c>
      <c r="L33" s="2022"/>
      <c r="M33" s="2014"/>
      <c r="N33" s="2014"/>
      <c r="O33" s="2014"/>
      <c r="P33" s="3617" t="s">
        <v>542</v>
      </c>
      <c r="Q33" s="1505" t="str">
        <f t="shared" si="11"/>
        <v>建筑类型</v>
      </c>
      <c r="R33" s="1506" t="s">
        <v>8</v>
      </c>
      <c r="S33" s="1507">
        <f t="shared" si="12"/>
        <v>102</v>
      </c>
      <c r="T33" s="1506" t="s">
        <v>8</v>
      </c>
      <c r="U33" s="1507">
        <f t="shared" si="13"/>
        <v>102</v>
      </c>
      <c r="V33" s="1506" t="s">
        <v>8</v>
      </c>
      <c r="W33" s="1507">
        <f t="shared" si="14"/>
        <v>102</v>
      </c>
      <c r="X33" s="1500"/>
      <c r="Y33" s="3618" t="s">
        <v>542</v>
      </c>
      <c r="Z33" s="1508" t="str">
        <f t="shared" si="15"/>
        <v>建筑类型</v>
      </c>
      <c r="AA33" s="1509">
        <f t="shared" si="3"/>
        <v>0.98039215686274506</v>
      </c>
      <c r="AB33" s="1509">
        <f t="shared" si="4"/>
        <v>0.98039215686274506</v>
      </c>
      <c r="AC33" s="1509">
        <f t="shared" si="5"/>
        <v>0.98039215686274506</v>
      </c>
    </row>
    <row r="34" spans="1:29" s="1291" customFormat="1" ht="15">
      <c r="A34" s="595"/>
      <c r="B34" s="519" t="s">
        <v>718</v>
      </c>
      <c r="C34" s="867">
        <f>'不动产比较法-商业'!C33</f>
        <v>15401.814</v>
      </c>
      <c r="D34" s="251">
        <v>100</v>
      </c>
      <c r="E34" s="526">
        <v>170</v>
      </c>
      <c r="F34" s="850">
        <f>LOOKUP(E34,104:104,105:105)-LOOKUP(C34,104:104,105:105)+100</f>
        <v>104</v>
      </c>
      <c r="G34" s="525">
        <v>1050</v>
      </c>
      <c r="H34" s="251">
        <f>LOOKUP(G34,104:104,105:105)-LOOKUP(C34,104:104,105:105)+100</f>
        <v>103</v>
      </c>
      <c r="I34" s="525">
        <v>68</v>
      </c>
      <c r="J34" s="251">
        <f>LOOKUP(I34,104:104,105:105)-LOOKUP(C34,104:104,105:105)+100</f>
        <v>104</v>
      </c>
      <c r="K34" s="573"/>
      <c r="L34" s="2020"/>
      <c r="M34" s="2050"/>
      <c r="N34" s="2050"/>
      <c r="O34" s="2050"/>
      <c r="P34" s="3618"/>
      <c r="Q34" s="1534" t="str">
        <f t="shared" si="11"/>
        <v>项目建筑规模</v>
      </c>
      <c r="R34" s="1510" t="s">
        <v>8</v>
      </c>
      <c r="S34" s="1511">
        <f t="shared" si="12"/>
        <v>104</v>
      </c>
      <c r="T34" s="1510" t="s">
        <v>8</v>
      </c>
      <c r="U34" s="1511">
        <f t="shared" si="13"/>
        <v>103</v>
      </c>
      <c r="V34" s="1510" t="s">
        <v>8</v>
      </c>
      <c r="W34" s="1511">
        <f t="shared" si="14"/>
        <v>104</v>
      </c>
      <c r="X34" s="1512"/>
      <c r="Y34" s="3618"/>
      <c r="Z34" s="1513" t="str">
        <f t="shared" si="15"/>
        <v>项目建筑规模</v>
      </c>
      <c r="AA34" s="1509">
        <f t="shared" si="3"/>
        <v>0.96153846153846156</v>
      </c>
      <c r="AB34" s="1509">
        <f t="shared" si="4"/>
        <v>0.970873786407767</v>
      </c>
      <c r="AC34" s="1509">
        <f t="shared" si="5"/>
        <v>0.96153846153846156</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618"/>
      <c r="Q35" s="1505" t="str">
        <f t="shared" si="11"/>
        <v>建筑结构</v>
      </c>
      <c r="R35" s="1506" t="s">
        <v>8</v>
      </c>
      <c r="S35" s="1507">
        <f t="shared" si="12"/>
        <v>100</v>
      </c>
      <c r="T35" s="1506" t="s">
        <v>8</v>
      </c>
      <c r="U35" s="1507">
        <f t="shared" si="13"/>
        <v>100</v>
      </c>
      <c r="V35" s="1506" t="s">
        <v>8</v>
      </c>
      <c r="W35" s="1507">
        <f t="shared" si="14"/>
        <v>100</v>
      </c>
      <c r="X35" s="1500"/>
      <c r="Y35" s="361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618"/>
      <c r="Q36" s="1505" t="str">
        <f t="shared" si="11"/>
        <v>公共部分装修</v>
      </c>
      <c r="R36" s="1506" t="s">
        <v>8</v>
      </c>
      <c r="S36" s="1507">
        <f t="shared" si="12"/>
        <v>100</v>
      </c>
      <c r="T36" s="1506" t="s">
        <v>8</v>
      </c>
      <c r="U36" s="1507">
        <f t="shared" si="13"/>
        <v>100</v>
      </c>
      <c r="V36" s="1506" t="s">
        <v>8</v>
      </c>
      <c r="W36" s="1507">
        <f t="shared" si="14"/>
        <v>100</v>
      </c>
      <c r="X36" s="1500"/>
      <c r="Y36" s="361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94</v>
      </c>
      <c r="G37" s="870">
        <v>0.85</v>
      </c>
      <c r="H37" s="567">
        <f>LOOKUP(G37,111:111,112:112)-LOOKUP(C37,111:111,112:112)+100</f>
        <v>94</v>
      </c>
      <c r="I37" s="870">
        <v>0.85</v>
      </c>
      <c r="J37" s="532">
        <f>LOOKUP(I37,111:111,112:112)-LOOKUP(C37,111:111,112:112)+100</f>
        <v>94</v>
      </c>
      <c r="K37" s="576">
        <v>6</v>
      </c>
      <c r="L37" s="2022"/>
      <c r="M37" s="2014"/>
      <c r="N37" s="2014"/>
      <c r="O37" s="2014"/>
      <c r="P37" s="3618"/>
      <c r="Q37" s="1505" t="str">
        <f t="shared" si="11"/>
        <v>成新度</v>
      </c>
      <c r="R37" s="1506" t="s">
        <v>8</v>
      </c>
      <c r="S37" s="1507">
        <f t="shared" si="12"/>
        <v>94</v>
      </c>
      <c r="T37" s="1506" t="s">
        <v>8</v>
      </c>
      <c r="U37" s="1507">
        <f t="shared" si="13"/>
        <v>94</v>
      </c>
      <c r="V37" s="1506" t="s">
        <v>8</v>
      </c>
      <c r="W37" s="1507">
        <f t="shared" si="14"/>
        <v>94</v>
      </c>
      <c r="X37" s="1500"/>
      <c r="Y37" s="3618"/>
      <c r="Z37" s="1508" t="str">
        <f t="shared" si="15"/>
        <v>成新度</v>
      </c>
      <c r="AA37" s="1509">
        <f t="shared" si="3"/>
        <v>1.0638297872340425</v>
      </c>
      <c r="AB37" s="1509">
        <f t="shared" si="4"/>
        <v>1.0638297872340425</v>
      </c>
      <c r="AC37" s="1509">
        <f t="shared" si="5"/>
        <v>1.0638297872340425</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618"/>
      <c r="Q38" s="1132" t="str">
        <f t="shared" si="11"/>
        <v>写字楼等级</v>
      </c>
      <c r="R38" s="1501" t="s">
        <v>8</v>
      </c>
      <c r="S38" s="1502">
        <f t="shared" si="12"/>
        <v>100</v>
      </c>
      <c r="T38" s="1501" t="s">
        <v>8</v>
      </c>
      <c r="U38" s="1502">
        <f t="shared" si="13"/>
        <v>100</v>
      </c>
      <c r="V38" s="1501" t="s">
        <v>8</v>
      </c>
      <c r="W38" s="1502">
        <f t="shared" si="14"/>
        <v>100</v>
      </c>
      <c r="X38" s="1503"/>
      <c r="Y38" s="3618"/>
      <c r="Z38" s="1131" t="str">
        <f t="shared" si="15"/>
        <v>写字楼等级</v>
      </c>
      <c r="AA38" s="1504">
        <f t="shared" si="3"/>
        <v>1</v>
      </c>
      <c r="AB38" s="1504">
        <f t="shared" si="4"/>
        <v>1</v>
      </c>
      <c r="AC38" s="1504">
        <f t="shared" si="5"/>
        <v>1</v>
      </c>
    </row>
    <row r="39" spans="1:29" ht="28.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618" t="s">
        <v>542</v>
      </c>
      <c r="Q39" s="1505" t="str">
        <f t="shared" si="11"/>
        <v>物业管理</v>
      </c>
      <c r="R39" s="1506" t="s">
        <v>8</v>
      </c>
      <c r="S39" s="1507">
        <f t="shared" si="12"/>
        <v>100</v>
      </c>
      <c r="T39" s="1506" t="s">
        <v>8</v>
      </c>
      <c r="U39" s="1507">
        <f t="shared" si="13"/>
        <v>100</v>
      </c>
      <c r="V39" s="1506" t="s">
        <v>8</v>
      </c>
      <c r="W39" s="1507">
        <f t="shared" si="14"/>
        <v>100</v>
      </c>
      <c r="X39" s="1500"/>
      <c r="Y39" s="361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618"/>
      <c r="Q40" s="1505" t="str">
        <f t="shared" si="11"/>
        <v>市政基础设施</v>
      </c>
      <c r="R40" s="1506" t="s">
        <v>8</v>
      </c>
      <c r="S40" s="1507">
        <f t="shared" si="12"/>
        <v>100</v>
      </c>
      <c r="T40" s="1506" t="s">
        <v>8</v>
      </c>
      <c r="U40" s="1507">
        <f t="shared" si="13"/>
        <v>100</v>
      </c>
      <c r="V40" s="1506" t="s">
        <v>8</v>
      </c>
      <c r="W40" s="1507">
        <f t="shared" si="14"/>
        <v>100</v>
      </c>
      <c r="X40" s="1500"/>
      <c r="Y40" s="361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618"/>
      <c r="Q41" s="1505" t="str">
        <f t="shared" si="11"/>
        <v>层高</v>
      </c>
      <c r="R41" s="1506" t="s">
        <v>8</v>
      </c>
      <c r="S41" s="1507">
        <f t="shared" si="12"/>
        <v>100</v>
      </c>
      <c r="T41" s="1506" t="s">
        <v>8</v>
      </c>
      <c r="U41" s="1507">
        <f t="shared" si="13"/>
        <v>100</v>
      </c>
      <c r="V41" s="1506" t="s">
        <v>8</v>
      </c>
      <c r="W41" s="1507">
        <f t="shared" si="14"/>
        <v>100</v>
      </c>
      <c r="X41" s="1500"/>
      <c r="Y41" s="361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618"/>
      <c r="Q42" s="1534" t="str">
        <f t="shared" si="11"/>
        <v>单套建筑面积</v>
      </c>
      <c r="R42" s="1510" t="s">
        <v>8</v>
      </c>
      <c r="S42" s="1511">
        <f t="shared" si="12"/>
        <v>100</v>
      </c>
      <c r="T42" s="1510" t="s">
        <v>8</v>
      </c>
      <c r="U42" s="1511">
        <f t="shared" si="13"/>
        <v>100</v>
      </c>
      <c r="V42" s="1510" t="s">
        <v>8</v>
      </c>
      <c r="W42" s="1511">
        <f t="shared" si="14"/>
        <v>100</v>
      </c>
      <c r="X42" s="1512"/>
      <c r="Y42" s="3618"/>
      <c r="Z42" s="1513" t="str">
        <f t="shared" si="15"/>
        <v>单套建筑面积</v>
      </c>
      <c r="AA42" s="1509">
        <f t="shared" si="3"/>
        <v>1</v>
      </c>
      <c r="AB42" s="1509">
        <f t="shared" si="4"/>
        <v>1</v>
      </c>
      <c r="AC42" s="1509">
        <f t="shared" si="5"/>
        <v>1</v>
      </c>
    </row>
    <row r="43" spans="1:29" ht="29.2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618"/>
      <c r="Q43" s="1505" t="str">
        <f t="shared" si="11"/>
        <v>内部装修</v>
      </c>
      <c r="R43" s="1506" t="s">
        <v>8</v>
      </c>
      <c r="S43" s="1507">
        <f t="shared" si="12"/>
        <v>102</v>
      </c>
      <c r="T43" s="1506" t="s">
        <v>8</v>
      </c>
      <c r="U43" s="1507">
        <f t="shared" si="13"/>
        <v>102</v>
      </c>
      <c r="V43" s="1506" t="s">
        <v>8</v>
      </c>
      <c r="W43" s="1507">
        <f t="shared" si="14"/>
        <v>100</v>
      </c>
      <c r="X43" s="1500"/>
      <c r="Y43" s="3618"/>
      <c r="Z43" s="1508" t="str">
        <f t="shared" si="15"/>
        <v>内部装修</v>
      </c>
      <c r="AA43" s="1509">
        <f t="shared" si="3"/>
        <v>0.98039215686274506</v>
      </c>
      <c r="AB43" s="1509">
        <f t="shared" si="4"/>
        <v>0.98039215686274506</v>
      </c>
      <c r="AC43" s="1509">
        <f t="shared" si="5"/>
        <v>1</v>
      </c>
    </row>
    <row r="44" spans="1:29" ht="15"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618"/>
      <c r="Q44" s="1505" t="str">
        <f t="shared" si="11"/>
        <v>内部装修维护情况</v>
      </c>
      <c r="R44" s="1506" t="s">
        <v>8</v>
      </c>
      <c r="S44" s="1507">
        <f t="shared" si="12"/>
        <v>100</v>
      </c>
      <c r="T44" s="1506" t="s">
        <v>8</v>
      </c>
      <c r="U44" s="1507">
        <f t="shared" si="13"/>
        <v>100</v>
      </c>
      <c r="V44" s="1506" t="s">
        <v>8</v>
      </c>
      <c r="W44" s="1507">
        <f t="shared" si="14"/>
        <v>100</v>
      </c>
      <c r="X44" s="1500"/>
      <c r="Y44" s="361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618"/>
      <c r="Q45" s="1132">
        <f t="shared" si="11"/>
        <v>111</v>
      </c>
      <c r="R45" s="1501" t="s">
        <v>8</v>
      </c>
      <c r="S45" s="1502">
        <f t="shared" si="12"/>
        <v>100</v>
      </c>
      <c r="T45" s="1501" t="s">
        <v>8</v>
      </c>
      <c r="U45" s="1502">
        <f t="shared" si="13"/>
        <v>100</v>
      </c>
      <c r="V45" s="1501" t="s">
        <v>8</v>
      </c>
      <c r="W45" s="1502">
        <f t="shared" si="14"/>
        <v>100</v>
      </c>
      <c r="X45" s="1503"/>
      <c r="Y45" s="361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618"/>
      <c r="Q46" s="1505">
        <f t="shared" si="11"/>
        <v>111</v>
      </c>
      <c r="R46" s="1506" t="s">
        <v>8</v>
      </c>
      <c r="S46" s="1507">
        <f t="shared" si="12"/>
        <v>100</v>
      </c>
      <c r="T46" s="1506" t="s">
        <v>8</v>
      </c>
      <c r="U46" s="1507">
        <f t="shared" si="13"/>
        <v>100</v>
      </c>
      <c r="V46" s="1506" t="s">
        <v>8</v>
      </c>
      <c r="W46" s="1507">
        <f t="shared" si="14"/>
        <v>100</v>
      </c>
      <c r="X46" s="1500"/>
      <c r="Y46" s="361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8"/>
      <c r="Q47" s="1505">
        <f t="shared" si="11"/>
        <v>111</v>
      </c>
      <c r="R47" s="1506" t="s">
        <v>8</v>
      </c>
      <c r="S47" s="1507">
        <f t="shared" si="12"/>
        <v>100</v>
      </c>
      <c r="T47" s="1506" t="s">
        <v>8</v>
      </c>
      <c r="U47" s="1507">
        <f t="shared" si="13"/>
        <v>100</v>
      </c>
      <c r="V47" s="1506" t="s">
        <v>8</v>
      </c>
      <c r="W47" s="1507">
        <f t="shared" si="14"/>
        <v>100</v>
      </c>
      <c r="X47" s="1500"/>
      <c r="Y47" s="3698"/>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579" t="str">
        <f>A48</f>
        <v>成交单价（元/平方米）</v>
      </c>
      <c r="Q48" s="3581"/>
      <c r="R48" s="3697">
        <f>E48</f>
        <v>3.3</v>
      </c>
      <c r="S48" s="3697"/>
      <c r="T48" s="3697">
        <f>G48</f>
        <v>3.5</v>
      </c>
      <c r="U48" s="3697"/>
      <c r="V48" s="3697">
        <f>I48</f>
        <v>3.8</v>
      </c>
      <c r="W48" s="3697"/>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579" t="str">
        <f>A49</f>
        <v>比较价格（元/平方米）</v>
      </c>
      <c r="Q49" s="3581"/>
      <c r="R49" s="3697">
        <f>IF(F1="售价",ROUND(PRODUCT(R48,AA7:AA47),0),ROUND(PRODUCT(R48,AA7:AA47),1))</f>
        <v>3.4</v>
      </c>
      <c r="S49" s="3697"/>
      <c r="T49" s="3697">
        <f>IF(F1="售价",ROUND(PRODUCT(T48,AB7:AB47),0),ROUND(PRODUCT(T48,AB7:AB47),1))</f>
        <v>3.6</v>
      </c>
      <c r="U49" s="3697"/>
      <c r="V49" s="3697">
        <f>IF(F1="售价",ROUND(PRODUCT(V48,AC7:AC47),0),ROUND(PRODUCT(V48,AC7:AC47),1))</f>
        <v>4</v>
      </c>
      <c r="W49" s="3697"/>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702" t="str">
        <f>A50</f>
        <v>估价对象XX用房的比较价格（楼面单价，元/平方米）</v>
      </c>
      <c r="Q50" s="3579"/>
      <c r="R50" s="3696">
        <f>IF(F1="售价",ROUND(IF(D49="简单平均",AVERAGE(R49:V49),R49*F49+T49*H49+V49*J49),0),ROUND(IF(D49="简单平均",AVERAGE(R49:V49),R49*F49+T49*H49+V49*J49),1))</f>
        <v>3.7</v>
      </c>
      <c r="S50" s="3696"/>
      <c r="T50" s="3696"/>
      <c r="U50" s="3696"/>
      <c r="V50" s="3696"/>
      <c r="W50" s="3696"/>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8.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29.2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99</v>
      </c>
      <c r="E82" s="669">
        <f>D82-$K19</f>
        <v>98</v>
      </c>
      <c r="F82" s="669">
        <f>E82-$K19</f>
        <v>97</v>
      </c>
      <c r="G82" s="669">
        <f>F82-$K19</f>
        <v>96</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97.5</v>
      </c>
      <c r="E88" s="669">
        <f t="shared" si="19"/>
        <v>95</v>
      </c>
      <c r="F88" s="669">
        <f t="shared" si="19"/>
        <v>92.5</v>
      </c>
      <c r="G88" s="669">
        <f t="shared" si="19"/>
        <v>90</v>
      </c>
      <c r="H88" s="669">
        <f t="shared" si="19"/>
        <v>87.5</v>
      </c>
      <c r="I88" s="669">
        <f t="shared" si="19"/>
        <v>85</v>
      </c>
      <c r="J88" s="669">
        <f t="shared" si="19"/>
        <v>82.5</v>
      </c>
      <c r="K88" s="669">
        <f t="shared" si="19"/>
        <v>80</v>
      </c>
      <c r="L88" s="669">
        <f t="shared" si="19"/>
        <v>77.5</v>
      </c>
      <c r="M88" s="669">
        <f t="shared" si="19"/>
        <v>75</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ht="27">
      <c r="A101" s="654" t="s">
        <v>543</v>
      </c>
      <c r="B101" s="655" t="s">
        <v>739</v>
      </c>
      <c r="C101" s="3349" t="s">
        <v>3148</v>
      </c>
      <c r="D101" s="3349" t="s">
        <v>3175</v>
      </c>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0(含)-1000</v>
      </c>
      <c r="D103" s="698" t="str">
        <f t="shared" ref="D103:L103" si="23">D104&amp;"(含)"&amp;"-"&amp;E104</f>
        <v>1000(含)-2000</v>
      </c>
      <c r="E103" s="698" t="str">
        <f t="shared" si="23"/>
        <v>2000(含)-5000</v>
      </c>
      <c r="F103" s="698" t="str">
        <f t="shared" si="23"/>
        <v>5000(含)-10000</v>
      </c>
      <c r="G103" s="698" t="str">
        <f t="shared" si="23"/>
        <v>10000(含)-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1000</v>
      </c>
      <c r="E104" s="720">
        <v>2000</v>
      </c>
      <c r="F104" s="720">
        <v>5000</v>
      </c>
      <c r="G104" s="720">
        <v>10000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v>95</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27.7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29.2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106</v>
      </c>
      <c r="E112" s="669">
        <f t="shared" ref="E112:M112" si="26">D112+$K37</f>
        <v>112</v>
      </c>
      <c r="F112" s="669">
        <f t="shared" si="26"/>
        <v>118</v>
      </c>
      <c r="G112" s="669">
        <f t="shared" si="26"/>
        <v>124</v>
      </c>
      <c r="H112" s="669">
        <f t="shared" si="26"/>
        <v>130</v>
      </c>
      <c r="I112" s="669">
        <f t="shared" si="26"/>
        <v>136</v>
      </c>
      <c r="J112" s="669">
        <f t="shared" si="26"/>
        <v>142</v>
      </c>
      <c r="K112" s="669">
        <f t="shared" si="26"/>
        <v>148</v>
      </c>
      <c r="L112" s="669">
        <f t="shared" si="26"/>
        <v>154</v>
      </c>
      <c r="M112" s="669">
        <f t="shared" si="26"/>
        <v>160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27.7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1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6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45083</v>
      </c>
      <c r="C2" s="3260"/>
      <c r="D2" s="3261"/>
      <c r="E2" s="3262"/>
      <c r="F2" s="3262"/>
      <c r="G2" s="3256"/>
      <c r="H2" s="1938"/>
      <c r="I2" s="1938"/>
      <c r="J2" s="1938"/>
      <c r="K2" s="1939"/>
      <c r="L2" s="1938"/>
      <c r="M2" s="1938"/>
    </row>
    <row r="3" spans="1:33" ht="18" customHeight="1" thickBot="1">
      <c r="A3" s="820" t="s">
        <v>1715</v>
      </c>
      <c r="B3" s="821">
        <f ca="1">IF(ISERROR(B2*10000/F43),0,ROUND(B2*10000/F43,0))</f>
        <v>29271</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2888</v>
      </c>
      <c r="D5" s="2347" t="s">
        <v>2440</v>
      </c>
      <c r="E5" s="2341"/>
      <c r="F5" s="2342"/>
      <c r="G5" s="1943"/>
      <c r="H5" s="769">
        <v>1</v>
      </c>
      <c r="I5" s="770" t="s">
        <v>2437</v>
      </c>
      <c r="J5" s="54">
        <f ca="1">J6+J10+J12</f>
        <v>0</v>
      </c>
      <c r="K5" s="2347" t="s">
        <v>2440</v>
      </c>
      <c r="L5" s="2341"/>
      <c r="M5" s="2342"/>
    </row>
    <row r="6" spans="1:33" ht="18" customHeight="1">
      <c r="A6" s="1743" t="s">
        <v>1812</v>
      </c>
      <c r="B6" s="3669" t="s">
        <v>2442</v>
      </c>
      <c r="C6" s="771">
        <f ca="1">ROUND(F6*F8*F7*(1-F9)/10000,0)</f>
        <v>2884</v>
      </c>
      <c r="D6" s="2348" t="s">
        <v>2441</v>
      </c>
      <c r="E6" s="772" t="s">
        <v>1726</v>
      </c>
      <c r="F6" s="773">
        <f ca="1">INDIRECT("'数据-取费表'!u"&amp;$G$1)</f>
        <v>5.4</v>
      </c>
      <c r="G6" s="1943"/>
      <c r="H6" s="2355" t="s">
        <v>2447</v>
      </c>
      <c r="I6" s="3669" t="s">
        <v>2442</v>
      </c>
      <c r="J6" s="771">
        <f ca="1">ROUND(M6*M8*M7*(1-M9)/10000,0)</f>
        <v>0</v>
      </c>
      <c r="K6" s="337" t="s">
        <v>1725</v>
      </c>
      <c r="L6" s="772" t="s">
        <v>1726</v>
      </c>
      <c r="M6" s="773">
        <f ca="1">INDIRECT("'数据-取费表'!z"&amp;$G$1)</f>
        <v>0</v>
      </c>
    </row>
    <row r="7" spans="1:33" ht="18" customHeight="1">
      <c r="A7" s="2351"/>
      <c r="B7" s="3670"/>
      <c r="C7" s="776"/>
      <c r="D7" s="777"/>
      <c r="E7" s="772" t="s">
        <v>1727</v>
      </c>
      <c r="F7" s="3369">
        <f ca="1">IF(INDIRECT("'数据-取费表'!ah"&amp;$G$1)="",INDIRECT("'数据-取费表'!k"&amp;$G$1),INDIRECT("'数据-取费表'!ah"&amp;$G$1))</f>
        <v>15401.814</v>
      </c>
      <c r="G7" s="1943"/>
      <c r="H7" s="2340"/>
      <c r="I7" s="3670"/>
      <c r="J7" s="776"/>
      <c r="K7" s="777"/>
      <c r="L7" s="772" t="s">
        <v>1727</v>
      </c>
      <c r="M7" s="773">
        <f ca="1">F7</f>
        <v>15401.814</v>
      </c>
    </row>
    <row r="8" spans="1:33" ht="18" customHeight="1">
      <c r="A8" s="2344"/>
      <c r="B8" s="3671"/>
      <c r="C8" s="776"/>
      <c r="D8" s="777"/>
      <c r="E8" s="772" t="s">
        <v>1728</v>
      </c>
      <c r="F8" s="773">
        <f ca="1">INDIRECT("'数据-取费表'!ai"&amp;$G$1)</f>
        <v>365</v>
      </c>
      <c r="G8" s="1943"/>
      <c r="H8" s="2340"/>
      <c r="I8" s="3671"/>
      <c r="J8" s="776"/>
      <c r="K8" s="777"/>
      <c r="L8" s="772" t="s">
        <v>1728</v>
      </c>
      <c r="M8" s="773">
        <f ca="1">INDIRECT("'数据-取费表'!ai"&amp;$G$1)</f>
        <v>365</v>
      </c>
    </row>
    <row r="9" spans="1:33" ht="18" customHeight="1">
      <c r="A9" s="774"/>
      <c r="B9" s="3672"/>
      <c r="C9" s="776"/>
      <c r="D9" s="777"/>
      <c r="E9" s="772" t="s">
        <v>1729</v>
      </c>
      <c r="F9" s="782">
        <f ca="1">INDIRECT("'数据-取费表'!w"&amp;$G$1)</f>
        <v>0.05</v>
      </c>
      <c r="G9" s="1943"/>
      <c r="H9" s="2356"/>
      <c r="I9" s="3671"/>
      <c r="J9" s="776"/>
      <c r="K9" s="777"/>
      <c r="L9" s="783" t="s">
        <v>1729</v>
      </c>
      <c r="M9" s="784">
        <f ca="1">INDIRECT("'数据-取费表'!ab"&amp;$G$1)</f>
        <v>0</v>
      </c>
    </row>
    <row r="10" spans="1:33" ht="18" customHeight="1">
      <c r="A10" s="1743" t="s">
        <v>2445</v>
      </c>
      <c r="B10" s="2345" t="s">
        <v>2438</v>
      </c>
      <c r="C10" s="787">
        <f ca="1">ROUND(IF(F10="押一",C6/12*F11,IF(F10="押二",C6/12*2*F11,IF(F10="押三",C6/12*3*F11,C11*F11))),0)</f>
        <v>4</v>
      </c>
      <c r="D10" s="2352" t="s">
        <v>2933</v>
      </c>
      <c r="E10" s="2349" t="s">
        <v>2443</v>
      </c>
      <c r="F10" s="2463" t="s">
        <v>3168</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310</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3395">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3395">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218</v>
      </c>
      <c r="K22" s="2335" t="s">
        <v>1757</v>
      </c>
      <c r="L22" s="772" t="s">
        <v>1735</v>
      </c>
      <c r="M22" s="804">
        <f ca="1">INDIRECT("'数据-取费表'!Ak"&amp;$G$1)</f>
        <v>0.02</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2E-3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-310</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542</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244</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151.1</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218</v>
      </c>
      <c r="D36" s="1889" t="s">
        <v>1791</v>
      </c>
      <c r="E36" s="772" t="s">
        <v>1784</v>
      </c>
      <c r="F36" s="804">
        <f ca="1">INDIRECT("'数据-取费表'!Ak"&amp;$G$1)</f>
        <v>0.02</v>
      </c>
      <c r="G36" s="1943"/>
      <c r="H36" s="1958"/>
      <c r="I36" s="826" t="s">
        <v>1803</v>
      </c>
      <c r="J36" s="827">
        <f ca="1">INDIRECT("'数据-取费表'!j"&amp;$G$1)</f>
        <v>0</v>
      </c>
      <c r="K36" s="1962"/>
      <c r="L36" s="1958"/>
      <c r="M36" s="1958"/>
    </row>
    <row r="37" spans="1:18" ht="18" customHeight="1">
      <c r="A37" s="1576" t="s">
        <v>1878</v>
      </c>
      <c r="B37" s="772" t="s">
        <v>671</v>
      </c>
      <c r="C37" s="52">
        <f ca="1">ROUND(C13*F37,1)</f>
        <v>21.8</v>
      </c>
      <c r="D37" s="1889" t="s">
        <v>1792</v>
      </c>
      <c r="E37" s="772" t="s">
        <v>1784</v>
      </c>
      <c r="F37" s="805">
        <f ca="1">INDIRECT("'数据-取费表'!Al"&amp;$G$1)</f>
        <v>2E-3</v>
      </c>
      <c r="G37" s="1943"/>
      <c r="H37" s="1958"/>
      <c r="I37" s="828" t="s">
        <v>1804</v>
      </c>
      <c r="J37" s="829"/>
      <c r="K37" s="1962"/>
      <c r="L37" s="1958"/>
      <c r="M37" s="1958"/>
    </row>
    <row r="38" spans="1:18" ht="18" customHeight="1" thickBot="1">
      <c r="A38" s="2402" t="s">
        <v>1879</v>
      </c>
      <c r="B38" s="2397" t="s">
        <v>658</v>
      </c>
      <c r="C38" s="2395">
        <f ca="1">ROUND(C5*F38,1)</f>
        <v>57.8</v>
      </c>
      <c r="D38" s="2396" t="s">
        <v>1793</v>
      </c>
      <c r="E38" s="2397" t="s">
        <v>1784</v>
      </c>
      <c r="F38" s="2393">
        <f ca="1">INDIRECT("'数据-取费表'!Am"&amp;$G$1)</f>
        <v>0.02</v>
      </c>
      <c r="G38" s="1943"/>
      <c r="H38" s="1958"/>
      <c r="I38" s="830" t="s">
        <v>1805</v>
      </c>
      <c r="J38" s="831"/>
      <c r="K38" s="1963"/>
      <c r="L38" s="1958"/>
      <c r="M38" s="1958"/>
    </row>
    <row r="39" spans="1:18" ht="24.6" customHeight="1" thickTop="1">
      <c r="A39" s="1742" t="s">
        <v>1882</v>
      </c>
      <c r="B39" s="2721" t="s">
        <v>2799</v>
      </c>
      <c r="C39" s="780">
        <f ca="1">C5-C30</f>
        <v>2346</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45083</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0.24199999999999999</v>
      </c>
      <c r="K42" s="1962"/>
      <c r="L42" s="1898"/>
      <c r="M42" s="1898"/>
    </row>
    <row r="43" spans="1:18" ht="18" customHeight="1" thickBot="1">
      <c r="A43" s="810" t="s">
        <v>1775</v>
      </c>
      <c r="B43" s="811" t="s">
        <v>1798</v>
      </c>
      <c r="C43" s="812">
        <f ca="1">ROUND(C40*10000/F43,0)</f>
        <v>29271</v>
      </c>
      <c r="D43" s="813" t="s">
        <v>1799</v>
      </c>
      <c r="E43" s="814" t="s">
        <v>1800</v>
      </c>
      <c r="F43" s="815">
        <f ca="1">INDIRECT("'数据-取费表'!k"&amp;$G$1)</f>
        <v>15401.814</v>
      </c>
      <c r="G43" s="1943"/>
      <c r="H43" s="1898"/>
      <c r="I43" s="834" t="s">
        <v>1810</v>
      </c>
      <c r="J43" s="835">
        <f ca="1">1-J42</f>
        <v>0.75800000000000001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-51463</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45083</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140760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6" t="s">
        <v>2926</v>
      </c>
      <c r="L53" s="3707"/>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45083</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332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45083</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218</v>
      </c>
      <c r="D63" s="2479" t="s">
        <v>1791</v>
      </c>
      <c r="E63" s="772" t="s">
        <v>1735</v>
      </c>
      <c r="F63" s="804">
        <f t="shared" ca="1" si="0"/>
        <v>0.02</v>
      </c>
      <c r="I63" s="2822" t="s">
        <v>2352</v>
      </c>
      <c r="J63" s="2823">
        <v>70</v>
      </c>
      <c r="K63" s="2823">
        <v>50</v>
      </c>
      <c r="L63" s="2823">
        <v>80</v>
      </c>
      <c r="M63" s="2825">
        <v>0.02</v>
      </c>
      <c r="O63" s="2251" t="s">
        <v>2373</v>
      </c>
      <c r="P63" s="2252" t="s">
        <v>2390</v>
      </c>
      <c r="Q63" s="2253">
        <f ca="1">Q57+Q58</f>
        <v>45083</v>
      </c>
      <c r="R63" s="2256" t="s">
        <v>2374</v>
      </c>
    </row>
    <row r="64" spans="1:18" s="1940" customFormat="1" ht="16.5" thickBot="1">
      <c r="A64" s="1576" t="s">
        <v>1878</v>
      </c>
      <c r="B64" s="772" t="s">
        <v>671</v>
      </c>
      <c r="C64" s="52">
        <f ca="1">ROUND(C55*F64,1)</f>
        <v>21.8</v>
      </c>
      <c r="D64" s="2479" t="s">
        <v>672</v>
      </c>
      <c r="E64" s="772" t="s">
        <v>1735</v>
      </c>
      <c r="F64" s="805">
        <f t="shared" ca="1" si="0"/>
        <v>2E-3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0.02</v>
      </c>
      <c r="I65" s="2822" t="s">
        <v>2354</v>
      </c>
      <c r="J65" s="2823">
        <v>40</v>
      </c>
      <c r="K65" s="2823">
        <v>30</v>
      </c>
      <c r="L65" s="2823">
        <v>50</v>
      </c>
      <c r="M65" s="2825">
        <v>0.02</v>
      </c>
      <c r="O65" s="2248" t="s">
        <v>2357</v>
      </c>
      <c r="P65" s="2249" t="s">
        <v>2358</v>
      </c>
      <c r="Q65" s="2250" t="s">
        <v>2359</v>
      </c>
      <c r="R65" s="2249" t="s">
        <v>2360</v>
      </c>
    </row>
    <row r="66" spans="1:18" s="1940" customFormat="1" ht="15.75" thickBot="1">
      <c r="A66" s="785" t="s">
        <v>1764</v>
      </c>
      <c r="B66" s="2722" t="s">
        <v>2799</v>
      </c>
      <c r="C66" s="787">
        <f ca="1">C47-C57</f>
        <v>-332</v>
      </c>
      <c r="D66" s="2478" t="s">
        <v>692</v>
      </c>
      <c r="E66" s="2477"/>
      <c r="F66" s="807"/>
      <c r="K66" s="1966"/>
      <c r="O66" s="2251" t="s">
        <v>2361</v>
      </c>
      <c r="P66" s="2252" t="s">
        <v>2391</v>
      </c>
      <c r="Q66" s="2253">
        <f ca="1">C40+J29</f>
        <v>45083</v>
      </c>
      <c r="R66" s="2252" t="s">
        <v>2362</v>
      </c>
    </row>
    <row r="67" spans="1:18" s="1940" customFormat="1" ht="20.25" thickBot="1">
      <c r="A67" s="769" t="s">
        <v>1768</v>
      </c>
      <c r="B67" s="2110" t="s">
        <v>2286</v>
      </c>
      <c r="C67" s="771">
        <f ca="1">ROUND(C66*(1-((1+F69)/(1+F67))^F68)/(F67-F69),0)</f>
        <v>-6380</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140760</v>
      </c>
      <c r="R68" s="2259" t="s">
        <v>2398</v>
      </c>
    </row>
    <row r="69" spans="1:18" ht="20.25" thickBot="1">
      <c r="A69" s="778"/>
      <c r="B69" s="779"/>
      <c r="C69" s="780"/>
      <c r="D69" s="803"/>
      <c r="E69" s="772" t="s">
        <v>702</v>
      </c>
      <c r="F69" s="2224"/>
      <c r="O69" s="2254" t="s">
        <v>2366</v>
      </c>
      <c r="P69" s="2260" t="s">
        <v>2380</v>
      </c>
      <c r="Q69" s="2253">
        <f ca="1">ROUND(Q70-Q71*Q72,0)</f>
        <v>2346</v>
      </c>
      <c r="R69" s="2256"/>
    </row>
    <row r="70" spans="1:18" ht="15.75" thickBot="1">
      <c r="A70" s="810" t="s">
        <v>1775</v>
      </c>
      <c r="B70" s="811" t="s">
        <v>1798</v>
      </c>
      <c r="C70" s="812">
        <f ca="1">ROUND(C67*10000/F70,0)</f>
        <v>-4142</v>
      </c>
      <c r="D70" s="813" t="s">
        <v>1799</v>
      </c>
      <c r="E70" s="814" t="s">
        <v>1800</v>
      </c>
      <c r="F70" s="815">
        <f ca="1">F43</f>
        <v>15401.814</v>
      </c>
      <c r="O70" s="2254" t="s">
        <v>2381</v>
      </c>
      <c r="P70" s="2260" t="s">
        <v>2382</v>
      </c>
      <c r="Q70" s="2253">
        <f ca="1">C39</f>
        <v>2346</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45083</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40555</v>
      </c>
      <c r="C2" s="3260"/>
      <c r="D2" s="3261"/>
      <c r="E2" s="3262"/>
      <c r="F2" s="3262"/>
      <c r="G2" s="3256"/>
      <c r="H2" s="1938"/>
      <c r="I2" s="1938"/>
      <c r="J2" s="1938"/>
      <c r="K2" s="1939"/>
      <c r="L2" s="1938"/>
      <c r="M2" s="1938"/>
    </row>
    <row r="3" spans="1:33" ht="18" customHeight="1" thickBot="1">
      <c r="A3" s="820" t="s">
        <v>1715</v>
      </c>
      <c r="B3" s="821">
        <f ca="1">IF(ISERROR(B2*10000/F43),0,ROUND(B2*10000/F43,0))</f>
        <v>26331</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1978</v>
      </c>
      <c r="D5" s="2347" t="s">
        <v>2440</v>
      </c>
      <c r="E5" s="2341"/>
      <c r="F5" s="2342"/>
      <c r="G5" s="1943"/>
      <c r="H5" s="769">
        <v>1</v>
      </c>
      <c r="I5" s="770" t="s">
        <v>2437</v>
      </c>
      <c r="J5" s="54">
        <f ca="1">J6+J10+J12</f>
        <v>0</v>
      </c>
      <c r="K5" s="2347" t="s">
        <v>2440</v>
      </c>
      <c r="L5" s="2341"/>
      <c r="M5" s="2342"/>
    </row>
    <row r="6" spans="1:33" ht="18" customHeight="1">
      <c r="A6" s="1743" t="s">
        <v>1812</v>
      </c>
      <c r="B6" s="3669" t="s">
        <v>2442</v>
      </c>
      <c r="C6" s="771">
        <f ca="1">ROUND(F6*F8*F7*(1-F9)/10000,0)</f>
        <v>1976</v>
      </c>
      <c r="D6" s="2348" t="s">
        <v>2441</v>
      </c>
      <c r="E6" s="772" t="s">
        <v>629</v>
      </c>
      <c r="F6" s="773">
        <f ca="1">INDIRECT("'数据-取费表'!u"&amp;$G$1)</f>
        <v>3.7</v>
      </c>
      <c r="G6" s="1943"/>
      <c r="H6" s="2355" t="s">
        <v>1812</v>
      </c>
      <c r="I6" s="3669" t="s">
        <v>2442</v>
      </c>
      <c r="J6" s="771">
        <f ca="1">ROUND(M6*M8*M7*(1-M9)/10000,0)</f>
        <v>0</v>
      </c>
      <c r="K6" s="337" t="s">
        <v>1725</v>
      </c>
      <c r="L6" s="772" t="s">
        <v>629</v>
      </c>
      <c r="M6" s="773">
        <f ca="1">INDIRECT("'数据-取费表'!z"&amp;$G$1)</f>
        <v>0</v>
      </c>
    </row>
    <row r="7" spans="1:33" ht="18" customHeight="1">
      <c r="A7" s="2351"/>
      <c r="B7" s="3670"/>
      <c r="C7" s="776"/>
      <c r="D7" s="777"/>
      <c r="E7" s="772" t="s">
        <v>630</v>
      </c>
      <c r="F7" s="3369">
        <f ca="1">IF(INDIRECT("'数据-取费表'!ah"&amp;$G$1)="",INDIRECT("'数据-取费表'!k"&amp;$G$1),INDIRECT("'数据-取费表'!ah"&amp;$G$1))</f>
        <v>15401.814</v>
      </c>
      <c r="G7" s="1943"/>
      <c r="H7" s="2340"/>
      <c r="I7" s="3670"/>
      <c r="J7" s="776"/>
      <c r="K7" s="777"/>
      <c r="L7" s="772" t="s">
        <v>630</v>
      </c>
      <c r="M7" s="773">
        <f ca="1">F7</f>
        <v>15401.814</v>
      </c>
    </row>
    <row r="8" spans="1:33" ht="18" customHeight="1">
      <c r="A8" s="2344"/>
      <c r="B8" s="3671"/>
      <c r="C8" s="776"/>
      <c r="D8" s="777"/>
      <c r="E8" s="772" t="s">
        <v>1728</v>
      </c>
      <c r="F8" s="773">
        <f ca="1">INDIRECT("'数据-取费表'!ai"&amp;$G$1)</f>
        <v>365</v>
      </c>
      <c r="G8" s="1943"/>
      <c r="H8" s="2340"/>
      <c r="I8" s="3671"/>
      <c r="J8" s="776"/>
      <c r="K8" s="777"/>
      <c r="L8" s="772" t="s">
        <v>1728</v>
      </c>
      <c r="M8" s="773">
        <f ca="1">INDIRECT("'数据-取费表'!ai"&amp;$G$1)</f>
        <v>365</v>
      </c>
    </row>
    <row r="9" spans="1:33" ht="18" customHeight="1">
      <c r="A9" s="774"/>
      <c r="B9" s="3672"/>
      <c r="C9" s="776"/>
      <c r="D9" s="777"/>
      <c r="E9" s="772" t="s">
        <v>632</v>
      </c>
      <c r="F9" s="782">
        <f ca="1">INDIRECT("'数据-取费表'!w"&amp;$G$1)</f>
        <v>0.05</v>
      </c>
      <c r="G9" s="1943"/>
      <c r="H9" s="2356"/>
      <c r="I9" s="3671"/>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3168</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10438</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10438</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130</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87.7</v>
      </c>
      <c r="K19" s="798" t="s">
        <v>657</v>
      </c>
      <c r="L19" s="772" t="s">
        <v>641</v>
      </c>
      <c r="M19" s="797">
        <f>IF(K19="按租金收入计税",'数据-取费表'!B51,'数据-取费表'!B50)</f>
        <v>1.2E-2</v>
      </c>
    </row>
    <row r="20" spans="1:33" s="1945" customFormat="1" ht="18" customHeight="1">
      <c r="A20" s="1576" t="s">
        <v>1877</v>
      </c>
      <c r="B20" s="772" t="s">
        <v>658</v>
      </c>
      <c r="C20" s="52">
        <f ca="1">ROUND(C19*F20,0)</f>
        <v>60</v>
      </c>
      <c r="D20" s="799" t="s">
        <v>659</v>
      </c>
      <c r="E20" s="772" t="s">
        <v>641</v>
      </c>
      <c r="F20" s="3395">
        <f>剩余法办公!F23</f>
        <v>8.0000000000000002E-3</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8.0000000000000002E-3</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42</v>
      </c>
      <c r="K22" s="3335" t="s">
        <v>1757</v>
      </c>
      <c r="L22" s="772" t="s">
        <v>641</v>
      </c>
      <c r="M22" s="804">
        <f ca="1">INDIRECT("'数据-取费表'!Ak"&amp;$G$1)</f>
        <v>4.0000000000000001E-3</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5.0000000000000001E-4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2.9999999999999997E-4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5.0000000000000001E-3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-130</v>
      </c>
      <c r="K25" s="2399" t="s">
        <v>1765</v>
      </c>
      <c r="L25" s="2400"/>
      <c r="M25" s="2401"/>
    </row>
    <row r="26" spans="1:33" ht="18" customHeight="1">
      <c r="A26" s="1575" t="s">
        <v>1819</v>
      </c>
      <c r="B26" s="772" t="s">
        <v>2419</v>
      </c>
      <c r="C26" s="52">
        <f ca="1">ROUND((C19+C20)*F26,0)</f>
        <v>1903</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10438</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249</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192</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103.5</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87.7</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41.8</v>
      </c>
      <c r="D36" s="3335" t="s">
        <v>1791</v>
      </c>
      <c r="E36" s="772" t="s">
        <v>641</v>
      </c>
      <c r="F36" s="804">
        <f ca="1">INDIRECT("'数据-取费表'!Ak"&amp;$G$1)</f>
        <v>4.0000000000000001E-3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5.2</v>
      </c>
      <c r="D37" s="3335" t="s">
        <v>1759</v>
      </c>
      <c r="E37" s="772" t="s">
        <v>641</v>
      </c>
      <c r="F37" s="805">
        <f ca="1">INDIRECT("'数据-取费表'!Al"&amp;$G$1)</f>
        <v>5.0000000000000001E-4</v>
      </c>
      <c r="G37" s="1943"/>
      <c r="H37" s="1958"/>
      <c r="I37" s="828" t="s">
        <v>1804</v>
      </c>
      <c r="J37" s="829"/>
      <c r="K37" s="1962"/>
      <c r="L37" s="1958"/>
      <c r="M37" s="1958"/>
    </row>
    <row r="38" spans="1:18" ht="18" customHeight="1" thickBot="1">
      <c r="A38" s="2402" t="s">
        <v>1879</v>
      </c>
      <c r="B38" s="2397" t="s">
        <v>658</v>
      </c>
      <c r="C38" s="2395">
        <f ca="1">ROUND(C5*F38,1)</f>
        <v>9.9</v>
      </c>
      <c r="D38" s="2396" t="s">
        <v>1762</v>
      </c>
      <c r="E38" s="2397" t="s">
        <v>641</v>
      </c>
      <c r="F38" s="2393">
        <f ca="1">INDIRECT("'数据-取费表'!Am"&amp;$G$1)</f>
        <v>5.0000000000000001E-3</v>
      </c>
      <c r="G38" s="1943"/>
      <c r="H38" s="1958"/>
      <c r="I38" s="830" t="s">
        <v>1805</v>
      </c>
      <c r="J38" s="831"/>
      <c r="K38" s="1963"/>
      <c r="L38" s="1958"/>
      <c r="M38" s="1958"/>
    </row>
    <row r="39" spans="1:18" ht="24.6" customHeight="1" thickTop="1">
      <c r="A39" s="1742" t="s">
        <v>1764</v>
      </c>
      <c r="B39" s="2721" t="s">
        <v>2799</v>
      </c>
      <c r="C39" s="780">
        <f ca="1">C5-C30</f>
        <v>1729</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40555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0.25700000000000001</v>
      </c>
      <c r="K42" s="1962"/>
      <c r="L42" s="1898"/>
      <c r="M42" s="1898"/>
    </row>
    <row r="43" spans="1:18" ht="18" customHeight="1" thickBot="1">
      <c r="A43" s="810" t="s">
        <v>1775</v>
      </c>
      <c r="B43" s="811" t="s">
        <v>1798</v>
      </c>
      <c r="C43" s="812">
        <f ca="1">ROUND(C40*10000/F43,0)</f>
        <v>26331</v>
      </c>
      <c r="D43" s="813" t="s">
        <v>1799</v>
      </c>
      <c r="E43" s="814" t="s">
        <v>1800</v>
      </c>
      <c r="F43" s="815">
        <f ca="1">INDIRECT("'数据-取费表'!k"&amp;$G$1)</f>
        <v>15401.814</v>
      </c>
      <c r="G43" s="1943"/>
      <c r="H43" s="1898"/>
      <c r="I43" s="834" t="s">
        <v>1810</v>
      </c>
      <c r="J43" s="835">
        <f ca="1">1-J42</f>
        <v>0.74299999999999999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-43745</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40555</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10438</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103740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6" t="s">
        <v>2926</v>
      </c>
      <c r="L53" s="3707"/>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40555</v>
      </c>
      <c r="R54" s="2256" t="s">
        <v>2374</v>
      </c>
    </row>
    <row r="55" spans="1:18" s="1940" customFormat="1" ht="18" customHeight="1" thickTop="1" thickBot="1">
      <c r="A55" s="785">
        <v>2</v>
      </c>
      <c r="B55" s="786" t="s">
        <v>636</v>
      </c>
      <c r="C55" s="787">
        <f ca="1">C13</f>
        <v>10438</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10438</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136</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40555</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87.7</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41.8</v>
      </c>
      <c r="D63" s="3335" t="s">
        <v>1791</v>
      </c>
      <c r="E63" s="772" t="s">
        <v>641</v>
      </c>
      <c r="F63" s="804">
        <f t="shared" ca="1" si="0"/>
        <v>4.0000000000000001E-3</v>
      </c>
      <c r="I63" s="2822" t="s">
        <v>2352</v>
      </c>
      <c r="J63" s="2823">
        <v>70</v>
      </c>
      <c r="K63" s="2823">
        <v>50</v>
      </c>
      <c r="L63" s="2823">
        <v>80</v>
      </c>
      <c r="M63" s="2825">
        <v>0.02</v>
      </c>
      <c r="O63" s="2251" t="s">
        <v>2373</v>
      </c>
      <c r="P63" s="2252" t="s">
        <v>2390</v>
      </c>
      <c r="Q63" s="2253">
        <f ca="1">Q57+Q58</f>
        <v>40555</v>
      </c>
      <c r="R63" s="2256" t="s">
        <v>2374</v>
      </c>
    </row>
    <row r="64" spans="1:18" s="1940" customFormat="1" ht="16.5" thickBot="1">
      <c r="A64" s="1576" t="s">
        <v>1878</v>
      </c>
      <c r="B64" s="772" t="s">
        <v>671</v>
      </c>
      <c r="C64" s="52">
        <f ca="1">ROUND(C55*F64,1)</f>
        <v>5.2</v>
      </c>
      <c r="D64" s="3335" t="s">
        <v>672</v>
      </c>
      <c r="E64" s="772" t="s">
        <v>641</v>
      </c>
      <c r="F64" s="805">
        <f t="shared" ca="1" si="0"/>
        <v>5.0000000000000001E-4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5.0000000000000001E-3</v>
      </c>
      <c r="I65" s="2822" t="s">
        <v>2354</v>
      </c>
      <c r="J65" s="2823">
        <v>40</v>
      </c>
      <c r="K65" s="2823">
        <v>30</v>
      </c>
      <c r="L65" s="2823">
        <v>50</v>
      </c>
      <c r="M65" s="2825">
        <v>0.02</v>
      </c>
      <c r="O65" s="2248" t="s">
        <v>2357</v>
      </c>
      <c r="P65" s="2249" t="s">
        <v>2358</v>
      </c>
      <c r="Q65" s="2250" t="s">
        <v>2359</v>
      </c>
      <c r="R65" s="2249" t="s">
        <v>2360</v>
      </c>
    </row>
    <row r="66" spans="1:18" s="1940" customFormat="1" ht="15.75" thickBot="1">
      <c r="A66" s="785" t="s">
        <v>1764</v>
      </c>
      <c r="B66" s="2722" t="s">
        <v>2799</v>
      </c>
      <c r="C66" s="787">
        <f ca="1">C47-C57</f>
        <v>-136</v>
      </c>
      <c r="D66" s="3336" t="s">
        <v>692</v>
      </c>
      <c r="E66" s="3339"/>
      <c r="F66" s="807"/>
      <c r="K66" s="1966"/>
      <c r="O66" s="2251" t="s">
        <v>2361</v>
      </c>
      <c r="P66" s="2252" t="s">
        <v>2387</v>
      </c>
      <c r="Q66" s="2253">
        <f ca="1">C40+J29</f>
        <v>40555</v>
      </c>
      <c r="R66" s="2252" t="s">
        <v>2362</v>
      </c>
    </row>
    <row r="67" spans="1:18" s="1940" customFormat="1" ht="20.25" thickBot="1">
      <c r="A67" s="769" t="s">
        <v>1768</v>
      </c>
      <c r="B67" s="2110" t="s">
        <v>2286</v>
      </c>
      <c r="C67" s="771">
        <f ca="1">ROUND(C66*(1-((1+F69)/(1+F67))^F68)/(F67-F69),0)</f>
        <v>-3190</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103740</v>
      </c>
      <c r="R68" s="2259" t="s">
        <v>2398</v>
      </c>
    </row>
    <row r="69" spans="1:18" ht="20.25" thickBot="1">
      <c r="A69" s="778"/>
      <c r="B69" s="779"/>
      <c r="C69" s="780"/>
      <c r="D69" s="803"/>
      <c r="E69" s="772" t="s">
        <v>702</v>
      </c>
      <c r="F69" s="2224"/>
      <c r="O69" s="2254" t="s">
        <v>2366</v>
      </c>
      <c r="P69" s="2260" t="s">
        <v>2380</v>
      </c>
      <c r="Q69" s="2253">
        <f ca="1">ROUND(Q70-Q71*Q72,0)</f>
        <v>1729</v>
      </c>
      <c r="R69" s="2256"/>
    </row>
    <row r="70" spans="1:18" ht="15.75" thickBot="1">
      <c r="A70" s="810" t="s">
        <v>1775</v>
      </c>
      <c r="B70" s="811" t="s">
        <v>1798</v>
      </c>
      <c r="C70" s="812">
        <f ca="1">ROUND(C67*10000/F70,0)</f>
        <v>-2071</v>
      </c>
      <c r="D70" s="813" t="s">
        <v>1799</v>
      </c>
      <c r="E70" s="814" t="s">
        <v>1800</v>
      </c>
      <c r="F70" s="815">
        <f ca="1">F43</f>
        <v>15401.814</v>
      </c>
      <c r="O70" s="2254" t="s">
        <v>2381</v>
      </c>
      <c r="P70" s="2260" t="s">
        <v>2382</v>
      </c>
      <c r="Q70" s="2253">
        <f ca="1">C39</f>
        <v>1729</v>
      </c>
      <c r="R70" s="2252" t="s">
        <v>2362</v>
      </c>
    </row>
    <row r="71" spans="1:18" ht="15.75" thickBot="1">
      <c r="O71" s="2254" t="s">
        <v>2383</v>
      </c>
      <c r="P71" s="2260" t="s">
        <v>2384</v>
      </c>
      <c r="Q71" s="2253">
        <f ca="1">C13</f>
        <v>10438</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40555</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87" t="s">
        <v>514</v>
      </c>
      <c r="D4" s="3588"/>
      <c r="E4" s="3621" t="s">
        <v>515</v>
      </c>
      <c r="F4" s="3622"/>
      <c r="G4" s="3587" t="s">
        <v>516</v>
      </c>
      <c r="H4" s="3588"/>
      <c r="I4" s="3587" t="s">
        <v>517</v>
      </c>
      <c r="J4" s="3588"/>
      <c r="K4" s="506" t="s">
        <v>518</v>
      </c>
      <c r="L4" s="2013"/>
      <c r="M4" s="2014"/>
      <c r="N4" s="2014"/>
      <c r="O4" s="2014"/>
      <c r="P4" s="3589" t="s">
        <v>519</v>
      </c>
      <c r="Q4" s="3590"/>
      <c r="R4" s="3595" t="s">
        <v>515</v>
      </c>
      <c r="S4" s="3596"/>
      <c r="T4" s="3595" t="s">
        <v>516</v>
      </c>
      <c r="U4" s="3596"/>
      <c r="V4" s="3582" t="s">
        <v>517</v>
      </c>
      <c r="W4" s="3582"/>
      <c r="X4" s="1500"/>
      <c r="Y4" s="3595" t="s">
        <v>519</v>
      </c>
      <c r="Z4" s="3596"/>
      <c r="AA4" s="3584" t="s">
        <v>515</v>
      </c>
      <c r="AB4" s="3585" t="s">
        <v>516</v>
      </c>
      <c r="AC4" s="3584" t="s">
        <v>517</v>
      </c>
    </row>
    <row r="5" spans="1:29" ht="15">
      <c r="A5" s="507"/>
      <c r="B5" s="508"/>
      <c r="C5" s="3603" t="s">
        <v>2892</v>
      </c>
      <c r="D5" s="3604"/>
      <c r="E5" s="3623" t="s">
        <v>2893</v>
      </c>
      <c r="F5" s="362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612" t="s">
        <v>522</v>
      </c>
      <c r="Q7" s="3614"/>
      <c r="R7" s="1501" t="s">
        <v>8</v>
      </c>
      <c r="S7" s="1502">
        <f t="shared" ref="S7:S15" si="0">F7</f>
        <v>0</v>
      </c>
      <c r="T7" s="1501" t="s">
        <v>8</v>
      </c>
      <c r="U7" s="1502">
        <f t="shared" ref="U7:U15" si="1">H7</f>
        <v>0</v>
      </c>
      <c r="V7" s="1501" t="s">
        <v>8</v>
      </c>
      <c r="W7" s="1502">
        <f t="shared" ref="W7:W15"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81" t="s">
        <v>527</v>
      </c>
      <c r="Q9" s="1132" t="str">
        <f t="shared" ref="Q9:Q15" si="6">B9</f>
        <v>用途</v>
      </c>
      <c r="R9" s="1501" t="s">
        <v>8</v>
      </c>
      <c r="S9" s="1502">
        <f t="shared" si="0"/>
        <v>100</v>
      </c>
      <c r="T9" s="1501" t="s">
        <v>8</v>
      </c>
      <c r="U9" s="1502">
        <f t="shared" si="1"/>
        <v>100</v>
      </c>
      <c r="V9" s="1501" t="s">
        <v>8</v>
      </c>
      <c r="W9" s="1502">
        <f t="shared" si="2"/>
        <v>100</v>
      </c>
      <c r="X9" s="1503"/>
      <c r="Y9" s="3527"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81"/>
      <c r="Q11" s="1132" t="str">
        <f t="shared" si="6"/>
        <v>容积率</v>
      </c>
      <c r="R11" s="1501" t="s">
        <v>8</v>
      </c>
      <c r="S11" s="1502" t="e">
        <f t="shared" si="0"/>
        <v>#N/A</v>
      </c>
      <c r="T11" s="1501" t="s">
        <v>8</v>
      </c>
      <c r="U11" s="1502" t="e">
        <f t="shared" si="1"/>
        <v>#N/A</v>
      </c>
      <c r="V11" s="1501" t="s">
        <v>8</v>
      </c>
      <c r="W11" s="1502" t="e">
        <f t="shared" si="2"/>
        <v>#N/A</v>
      </c>
      <c r="X11" s="1503"/>
      <c r="Y11" s="3527"/>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81"/>
      <c r="Q14" s="1132">
        <f t="shared" si="6"/>
        <v>111</v>
      </c>
      <c r="R14" s="1501" t="s">
        <v>8</v>
      </c>
      <c r="S14" s="1502">
        <f t="shared" si="0"/>
        <v>100</v>
      </c>
      <c r="T14" s="1501" t="s">
        <v>8</v>
      </c>
      <c r="U14" s="1502">
        <f t="shared" si="1"/>
        <v>100</v>
      </c>
      <c r="V14" s="1501" t="s">
        <v>8</v>
      </c>
      <c r="W14" s="1502">
        <f t="shared" si="2"/>
        <v>100</v>
      </c>
      <c r="X14" s="1503"/>
      <c r="Y14" s="3527"/>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615" t="s">
        <v>532</v>
      </c>
      <c r="Q15" s="1505" t="str">
        <f t="shared" si="6"/>
        <v>产业集聚程度</v>
      </c>
      <c r="R15" s="1506" t="s">
        <v>8</v>
      </c>
      <c r="S15" s="1507">
        <f t="shared" si="0"/>
        <v>100</v>
      </c>
      <c r="T15" s="1506" t="s">
        <v>8</v>
      </c>
      <c r="U15" s="1507">
        <f t="shared" si="1"/>
        <v>100</v>
      </c>
      <c r="V15" s="1506" t="s">
        <v>8</v>
      </c>
      <c r="W15" s="1507">
        <f t="shared" si="2"/>
        <v>100</v>
      </c>
      <c r="X15" s="1500"/>
      <c r="Y15" s="361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616"/>
      <c r="Q16" s="1505"/>
      <c r="R16" s="1506"/>
      <c r="S16" s="1507"/>
      <c r="T16" s="1506"/>
      <c r="U16" s="1507"/>
      <c r="V16" s="1506"/>
      <c r="W16" s="1507"/>
      <c r="X16" s="1500"/>
      <c r="Y16" s="361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616"/>
      <c r="Q17" s="1505" t="str">
        <f>B17</f>
        <v>交通便捷度</v>
      </c>
      <c r="R17" s="1506" t="s">
        <v>8</v>
      </c>
      <c r="S17" s="1507">
        <f>F17</f>
        <v>100</v>
      </c>
      <c r="T17" s="1506" t="s">
        <v>8</v>
      </c>
      <c r="U17" s="1507">
        <f>H17</f>
        <v>100</v>
      </c>
      <c r="V17" s="1506" t="s">
        <v>8</v>
      </c>
      <c r="W17" s="1507">
        <f>J17</f>
        <v>100</v>
      </c>
      <c r="X17" s="1500"/>
      <c r="Y17" s="361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616"/>
      <c r="Q18" s="1505"/>
      <c r="R18" s="1506"/>
      <c r="S18" s="1507"/>
      <c r="T18" s="1506"/>
      <c r="U18" s="1507"/>
      <c r="V18" s="1506"/>
      <c r="W18" s="1507"/>
      <c r="X18" s="1500"/>
      <c r="Y18" s="361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616"/>
      <c r="Q19" s="1505" t="str">
        <f>B19</f>
        <v>公共配套设施</v>
      </c>
      <c r="R19" s="1506" t="s">
        <v>8</v>
      </c>
      <c r="S19" s="1507">
        <f>F19</f>
        <v>100</v>
      </c>
      <c r="T19" s="1506" t="s">
        <v>8</v>
      </c>
      <c r="U19" s="1507">
        <f>H19</f>
        <v>100</v>
      </c>
      <c r="V19" s="1506" t="s">
        <v>8</v>
      </c>
      <c r="W19" s="1507">
        <f>J19</f>
        <v>100</v>
      </c>
      <c r="X19" s="1500"/>
      <c r="Y19" s="361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616"/>
      <c r="Q20" s="1505"/>
      <c r="R20" s="1506"/>
      <c r="S20" s="1507"/>
      <c r="T20" s="1506"/>
      <c r="U20" s="1507"/>
      <c r="V20" s="1506"/>
      <c r="W20" s="1507"/>
      <c r="X20" s="1500"/>
      <c r="Y20" s="361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616"/>
      <c r="Q21" s="2427" t="str">
        <f>B21</f>
        <v>基础设施水平</v>
      </c>
      <c r="R21" s="1506" t="s">
        <v>8</v>
      </c>
      <c r="S21" s="1507">
        <f>F21</f>
        <v>100</v>
      </c>
      <c r="T21" s="1506" t="s">
        <v>8</v>
      </c>
      <c r="U21" s="1507">
        <f>H21</f>
        <v>100</v>
      </c>
      <c r="V21" s="1506" t="s">
        <v>8</v>
      </c>
      <c r="W21" s="1507">
        <f>J21</f>
        <v>100</v>
      </c>
      <c r="X21" s="2429"/>
      <c r="Y21" s="361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616"/>
      <c r="Q22" s="2427"/>
      <c r="R22" s="1506"/>
      <c r="S22" s="1507"/>
      <c r="T22" s="1506"/>
      <c r="U22" s="1507"/>
      <c r="V22" s="1506"/>
      <c r="W22" s="1507"/>
      <c r="X22" s="2429"/>
      <c r="Y22" s="361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616"/>
      <c r="Q23" s="1505" t="str">
        <f>B23</f>
        <v>环境质量</v>
      </c>
      <c r="R23" s="1506" t="s">
        <v>8</v>
      </c>
      <c r="S23" s="1507">
        <f>F23</f>
        <v>100</v>
      </c>
      <c r="T23" s="1506" t="s">
        <v>8</v>
      </c>
      <c r="U23" s="1507">
        <f>H23</f>
        <v>100</v>
      </c>
      <c r="V23" s="1506" t="s">
        <v>8</v>
      </c>
      <c r="W23" s="1507">
        <f>J23</f>
        <v>100</v>
      </c>
      <c r="X23" s="1500"/>
      <c r="Y23" s="361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616"/>
      <c r="Q24" s="1505"/>
      <c r="R24" s="1506"/>
      <c r="S24" s="1507"/>
      <c r="T24" s="1506"/>
      <c r="U24" s="1507"/>
      <c r="V24" s="1506"/>
      <c r="W24" s="1507"/>
      <c r="X24" s="1500"/>
      <c r="Y24" s="361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616"/>
      <c r="Q25" s="1505">
        <f>B25</f>
        <v>111</v>
      </c>
      <c r="R25" s="1506" t="s">
        <v>8</v>
      </c>
      <c r="S25" s="1507">
        <f>F25</f>
        <v>100</v>
      </c>
      <c r="T25" s="1506" t="s">
        <v>8</v>
      </c>
      <c r="U25" s="1507">
        <f>H25</f>
        <v>100</v>
      </c>
      <c r="V25" s="1506" t="s">
        <v>8</v>
      </c>
      <c r="W25" s="1507">
        <f>J25</f>
        <v>100</v>
      </c>
      <c r="X25" s="1500"/>
      <c r="Y25" s="361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616"/>
      <c r="Q26" s="1505">
        <f t="shared" ref="Q26:Q40" si="11">B26</f>
        <v>111</v>
      </c>
      <c r="R26" s="1506" t="s">
        <v>8</v>
      </c>
      <c r="S26" s="1507">
        <f>F26</f>
        <v>100</v>
      </c>
      <c r="T26" s="1506" t="s">
        <v>8</v>
      </c>
      <c r="U26" s="1507">
        <f>H26</f>
        <v>100</v>
      </c>
      <c r="V26" s="1506" t="s">
        <v>8</v>
      </c>
      <c r="W26" s="1507">
        <f>J26</f>
        <v>100</v>
      </c>
      <c r="X26" s="1500"/>
      <c r="Y26" s="361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616"/>
      <c r="Q27" s="1132">
        <f t="shared" si="11"/>
        <v>111</v>
      </c>
      <c r="R27" s="1501" t="s">
        <v>8</v>
      </c>
      <c r="S27" s="1502">
        <f>F27</f>
        <v>100</v>
      </c>
      <c r="T27" s="1501" t="s">
        <v>8</v>
      </c>
      <c r="U27" s="1502">
        <f>H27</f>
        <v>100</v>
      </c>
      <c r="V27" s="1501" t="s">
        <v>8</v>
      </c>
      <c r="W27" s="1502">
        <f>J27</f>
        <v>100</v>
      </c>
      <c r="X27" s="1503"/>
      <c r="Y27" s="361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616"/>
      <c r="Q28" s="1505">
        <f t="shared" si="11"/>
        <v>111</v>
      </c>
      <c r="R28" s="1506" t="s">
        <v>8</v>
      </c>
      <c r="S28" s="1507">
        <f t="shared" ref="S28:S40" si="12">F28</f>
        <v>100</v>
      </c>
      <c r="T28" s="1506" t="s">
        <v>8</v>
      </c>
      <c r="U28" s="1507">
        <f t="shared" ref="U28:U40" si="13">H28</f>
        <v>100</v>
      </c>
      <c r="V28" s="1506" t="s">
        <v>8</v>
      </c>
      <c r="W28" s="1507">
        <f t="shared" ref="W28:W40" si="14">J28</f>
        <v>100</v>
      </c>
      <c r="X28" s="1500"/>
      <c r="Y28" s="361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617" t="s">
        <v>542</v>
      </c>
      <c r="Q29" s="1505" t="str">
        <f t="shared" si="11"/>
        <v>建筑类型</v>
      </c>
      <c r="R29" s="1506" t="s">
        <v>8</v>
      </c>
      <c r="S29" s="1507">
        <f t="shared" si="12"/>
        <v>100</v>
      </c>
      <c r="T29" s="1506" t="s">
        <v>8</v>
      </c>
      <c r="U29" s="1507">
        <f t="shared" si="13"/>
        <v>100</v>
      </c>
      <c r="V29" s="1506" t="s">
        <v>8</v>
      </c>
      <c r="W29" s="1507">
        <f t="shared" si="14"/>
        <v>100</v>
      </c>
      <c r="X29" s="1500"/>
      <c r="Y29" s="361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618"/>
      <c r="Q30" s="1534" t="str">
        <f t="shared" si="11"/>
        <v>项目建筑规模</v>
      </c>
      <c r="R30" s="1510" t="s">
        <v>8</v>
      </c>
      <c r="S30" s="1511" t="e">
        <f t="shared" si="12"/>
        <v>#N/A</v>
      </c>
      <c r="T30" s="1510" t="s">
        <v>8</v>
      </c>
      <c r="U30" s="1511" t="e">
        <f t="shared" si="13"/>
        <v>#N/A</v>
      </c>
      <c r="V30" s="1510" t="s">
        <v>8</v>
      </c>
      <c r="W30" s="1511" t="e">
        <f t="shared" si="14"/>
        <v>#N/A</v>
      </c>
      <c r="X30" s="1512"/>
      <c r="Y30" s="361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618"/>
      <c r="Q31" s="1505" t="str">
        <f t="shared" si="11"/>
        <v>建筑结构</v>
      </c>
      <c r="R31" s="1506" t="s">
        <v>8</v>
      </c>
      <c r="S31" s="1507">
        <f t="shared" si="12"/>
        <v>100</v>
      </c>
      <c r="T31" s="1506" t="s">
        <v>8</v>
      </c>
      <c r="U31" s="1507">
        <f t="shared" si="13"/>
        <v>100</v>
      </c>
      <c r="V31" s="1506" t="s">
        <v>8</v>
      </c>
      <c r="W31" s="1507">
        <f t="shared" si="14"/>
        <v>100</v>
      </c>
      <c r="X31" s="1500"/>
      <c r="Y31" s="361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618"/>
      <c r="Q32" s="1505" t="str">
        <f t="shared" si="11"/>
        <v>公共部分装修</v>
      </c>
      <c r="R32" s="1506" t="s">
        <v>8</v>
      </c>
      <c r="S32" s="1507">
        <f t="shared" si="12"/>
        <v>100</v>
      </c>
      <c r="T32" s="1506" t="s">
        <v>8</v>
      </c>
      <c r="U32" s="1507">
        <f t="shared" si="13"/>
        <v>100</v>
      </c>
      <c r="V32" s="1506" t="s">
        <v>8</v>
      </c>
      <c r="W32" s="1507">
        <f t="shared" si="14"/>
        <v>100</v>
      </c>
      <c r="X32" s="1500"/>
      <c r="Y32" s="361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618"/>
      <c r="Q33" s="1505" t="str">
        <f t="shared" si="11"/>
        <v>成新度</v>
      </c>
      <c r="R33" s="1506" t="s">
        <v>8</v>
      </c>
      <c r="S33" s="1507" t="e">
        <f t="shared" si="12"/>
        <v>#N/A</v>
      </c>
      <c r="T33" s="1506" t="s">
        <v>8</v>
      </c>
      <c r="U33" s="1507" t="e">
        <f t="shared" si="13"/>
        <v>#N/A</v>
      </c>
      <c r="V33" s="1506" t="s">
        <v>8</v>
      </c>
      <c r="W33" s="1507" t="e">
        <f t="shared" si="14"/>
        <v>#N/A</v>
      </c>
      <c r="X33" s="1500"/>
      <c r="Y33" s="361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618"/>
      <c r="Q34" s="1132" t="str">
        <f t="shared" si="11"/>
        <v>物业管理</v>
      </c>
      <c r="R34" s="1501" t="s">
        <v>8</v>
      </c>
      <c r="S34" s="1502">
        <f t="shared" si="12"/>
        <v>100</v>
      </c>
      <c r="T34" s="1501" t="s">
        <v>8</v>
      </c>
      <c r="U34" s="1502">
        <f t="shared" si="13"/>
        <v>100</v>
      </c>
      <c r="V34" s="1501" t="s">
        <v>8</v>
      </c>
      <c r="W34" s="1502">
        <f t="shared" si="14"/>
        <v>100</v>
      </c>
      <c r="X34" s="1503"/>
      <c r="Y34" s="361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618" t="s">
        <v>542</v>
      </c>
      <c r="Q35" s="1505" t="str">
        <f t="shared" si="11"/>
        <v>市政基础设施</v>
      </c>
      <c r="R35" s="1506" t="s">
        <v>8</v>
      </c>
      <c r="S35" s="1507">
        <f t="shared" si="12"/>
        <v>100</v>
      </c>
      <c r="T35" s="1506" t="s">
        <v>8</v>
      </c>
      <c r="U35" s="1507">
        <f t="shared" si="13"/>
        <v>100</v>
      </c>
      <c r="V35" s="1506" t="s">
        <v>8</v>
      </c>
      <c r="W35" s="1507">
        <f t="shared" si="14"/>
        <v>100</v>
      </c>
      <c r="X35" s="1500"/>
      <c r="Y35" s="361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618"/>
      <c r="Q36" s="1505" t="str">
        <f t="shared" si="11"/>
        <v>内部装修</v>
      </c>
      <c r="R36" s="1506" t="s">
        <v>8</v>
      </c>
      <c r="S36" s="1507">
        <f t="shared" si="12"/>
        <v>100</v>
      </c>
      <c r="T36" s="1506" t="s">
        <v>8</v>
      </c>
      <c r="U36" s="1507">
        <f t="shared" si="13"/>
        <v>100</v>
      </c>
      <c r="V36" s="1506" t="s">
        <v>8</v>
      </c>
      <c r="W36" s="1507">
        <f t="shared" si="14"/>
        <v>100</v>
      </c>
      <c r="X36" s="1500"/>
      <c r="Y36" s="361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618"/>
      <c r="Q37" s="1505" t="str">
        <f t="shared" si="11"/>
        <v>内部装修状况</v>
      </c>
      <c r="R37" s="1506" t="s">
        <v>8</v>
      </c>
      <c r="S37" s="1507">
        <f t="shared" si="12"/>
        <v>100</v>
      </c>
      <c r="T37" s="1506" t="s">
        <v>8</v>
      </c>
      <c r="U37" s="1507">
        <f t="shared" si="13"/>
        <v>100</v>
      </c>
      <c r="V37" s="1506" t="s">
        <v>8</v>
      </c>
      <c r="W37" s="1507">
        <f t="shared" si="14"/>
        <v>100</v>
      </c>
      <c r="X37" s="1500"/>
      <c r="Y37" s="361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618"/>
      <c r="Q38" s="1534">
        <f t="shared" si="11"/>
        <v>111</v>
      </c>
      <c r="R38" s="1510" t="s">
        <v>8</v>
      </c>
      <c r="S38" s="1511">
        <f t="shared" si="12"/>
        <v>100</v>
      </c>
      <c r="T38" s="1510" t="s">
        <v>8</v>
      </c>
      <c r="U38" s="1511">
        <f t="shared" si="13"/>
        <v>100</v>
      </c>
      <c r="V38" s="1510" t="s">
        <v>8</v>
      </c>
      <c r="W38" s="1511">
        <f t="shared" si="14"/>
        <v>100</v>
      </c>
      <c r="X38" s="1512"/>
      <c r="Y38" s="361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618"/>
      <c r="Q39" s="1505">
        <f t="shared" si="11"/>
        <v>111</v>
      </c>
      <c r="R39" s="1506" t="s">
        <v>8</v>
      </c>
      <c r="S39" s="1507">
        <f t="shared" si="12"/>
        <v>100</v>
      </c>
      <c r="T39" s="1506" t="s">
        <v>8</v>
      </c>
      <c r="U39" s="1507">
        <f t="shared" si="13"/>
        <v>100</v>
      </c>
      <c r="V39" s="1506" t="s">
        <v>8</v>
      </c>
      <c r="W39" s="1507">
        <f t="shared" si="14"/>
        <v>100</v>
      </c>
      <c r="X39" s="1500"/>
      <c r="Y39" s="361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8"/>
      <c r="Q40" s="1505">
        <f t="shared" si="11"/>
        <v>111</v>
      </c>
      <c r="R40" s="1506" t="s">
        <v>8</v>
      </c>
      <c r="S40" s="1507">
        <f t="shared" si="12"/>
        <v>100</v>
      </c>
      <c r="T40" s="1506" t="s">
        <v>8</v>
      </c>
      <c r="U40" s="1507">
        <f t="shared" si="13"/>
        <v>100</v>
      </c>
      <c r="V40" s="1506" t="s">
        <v>8</v>
      </c>
      <c r="W40" s="1507">
        <f t="shared" si="14"/>
        <v>100</v>
      </c>
      <c r="X40" s="1500"/>
      <c r="Y40" s="3698"/>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81" t="str">
        <f>A41</f>
        <v>成交单价（元/平方米）</v>
      </c>
      <c r="Q41" s="3581"/>
      <c r="R41" s="3697">
        <f>E41</f>
        <v>0</v>
      </c>
      <c r="S41" s="3697"/>
      <c r="T41" s="3697">
        <f>G41</f>
        <v>0</v>
      </c>
      <c r="U41" s="3697"/>
      <c r="V41" s="3697">
        <f>I41</f>
        <v>0</v>
      </c>
      <c r="W41" s="3697"/>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81" t="str">
        <f>A42</f>
        <v>比较价格（元/平方米）</v>
      </c>
      <c r="Q42" s="3581"/>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578" t="str">
        <f>A43</f>
        <v>估价对象XX用房的比较价格（楼面单价，元/平方米）</v>
      </c>
      <c r="Q43" s="3579"/>
      <c r="R43" s="3696" t="e">
        <f>IF(F1="售价",ROUND(IF(D42="简单平均",AVERAGE(R42:V42),R42*F42+T42*H42+V42*J42),0),ROUND(IF(D42="简单平均",AVERAGE(R42:V42),R42*F42+T42*H42+V42*J42),1))</f>
        <v>#DIV/0!</v>
      </c>
      <c r="S43" s="3696"/>
      <c r="T43" s="3696"/>
      <c r="U43" s="3696"/>
      <c r="V43" s="3696"/>
      <c r="W43" s="3696"/>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1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7" t="s">
        <v>790</v>
      </c>
      <c r="D4" s="3588"/>
      <c r="E4" s="3587" t="s">
        <v>791</v>
      </c>
      <c r="F4" s="3588"/>
      <c r="G4" s="3587" t="s">
        <v>792</v>
      </c>
      <c r="H4" s="3588"/>
      <c r="I4" s="3587" t="s">
        <v>793</v>
      </c>
      <c r="J4" s="3588"/>
      <c r="K4" s="506" t="s">
        <v>794</v>
      </c>
      <c r="L4" s="2013"/>
      <c r="M4" s="2014"/>
      <c r="N4" s="2014"/>
      <c r="O4" s="2014"/>
      <c r="P4" s="3589" t="s">
        <v>795</v>
      </c>
      <c r="Q4" s="3590"/>
      <c r="R4" s="3595" t="s">
        <v>791</v>
      </c>
      <c r="S4" s="3596"/>
      <c r="T4" s="3595" t="s">
        <v>792</v>
      </c>
      <c r="U4" s="3596"/>
      <c r="V4" s="3582" t="s">
        <v>793</v>
      </c>
      <c r="W4" s="3582"/>
      <c r="X4" s="1500"/>
      <c r="Y4" s="3595" t="s">
        <v>795</v>
      </c>
      <c r="Z4" s="3596"/>
      <c r="AA4" s="3584" t="s">
        <v>791</v>
      </c>
      <c r="AB4" s="3585" t="s">
        <v>792</v>
      </c>
      <c r="AC4" s="3584" t="s">
        <v>793</v>
      </c>
    </row>
    <row r="5" spans="1:29" ht="15">
      <c r="A5" s="507"/>
      <c r="B5" s="508"/>
      <c r="C5" s="3603" t="s">
        <v>2892</v>
      </c>
      <c r="D5" s="3604"/>
      <c r="E5" s="3603" t="s">
        <v>2893</v>
      </c>
      <c r="F5" s="360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05" t="s">
        <v>2896</v>
      </c>
      <c r="F6" s="3606"/>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612" t="s">
        <v>522</v>
      </c>
      <c r="Q7" s="3614"/>
      <c r="R7" s="1501" t="s">
        <v>8</v>
      </c>
      <c r="S7" s="1502">
        <f t="shared" ref="S7:S14" si="0">F7</f>
        <v>0</v>
      </c>
      <c r="T7" s="1501" t="s">
        <v>8</v>
      </c>
      <c r="U7" s="1502">
        <f t="shared" ref="U7:U14" si="1">H7</f>
        <v>0</v>
      </c>
      <c r="V7" s="1501" t="s">
        <v>8</v>
      </c>
      <c r="W7" s="1502">
        <f t="shared" ref="W7:W14"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81" t="s">
        <v>527</v>
      </c>
      <c r="Q9" s="1132" t="str">
        <f t="shared" ref="Q9:Q14" si="6">B9</f>
        <v>用途</v>
      </c>
      <c r="R9" s="1501" t="s">
        <v>8</v>
      </c>
      <c r="S9" s="1502">
        <f t="shared" si="0"/>
        <v>100</v>
      </c>
      <c r="T9" s="1501" t="s">
        <v>8</v>
      </c>
      <c r="U9" s="1502">
        <f t="shared" si="1"/>
        <v>100</v>
      </c>
      <c r="V9" s="1501" t="s">
        <v>8</v>
      </c>
      <c r="W9" s="1502">
        <f t="shared" si="2"/>
        <v>100</v>
      </c>
      <c r="X9" s="1503"/>
      <c r="Y9" s="352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81"/>
      <c r="Q11" s="1132">
        <f t="shared" si="6"/>
        <v>111</v>
      </c>
      <c r="R11" s="1501" t="s">
        <v>8</v>
      </c>
      <c r="S11" s="1502">
        <f t="shared" si="0"/>
        <v>100</v>
      </c>
      <c r="T11" s="1501" t="s">
        <v>8</v>
      </c>
      <c r="U11" s="1502">
        <f t="shared" si="1"/>
        <v>100</v>
      </c>
      <c r="V11" s="1501" t="s">
        <v>8</v>
      </c>
      <c r="W11" s="1502">
        <f t="shared" si="2"/>
        <v>100</v>
      </c>
      <c r="X11" s="1503"/>
      <c r="Y11" s="3527"/>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615" t="s">
        <v>532</v>
      </c>
      <c r="Q14" s="1505" t="str">
        <f t="shared" si="6"/>
        <v>交通便捷度</v>
      </c>
      <c r="R14" s="1506" t="s">
        <v>8</v>
      </c>
      <c r="S14" s="1507">
        <f t="shared" si="0"/>
        <v>100</v>
      </c>
      <c r="T14" s="1506" t="s">
        <v>8</v>
      </c>
      <c r="U14" s="1507">
        <f t="shared" si="1"/>
        <v>100</v>
      </c>
      <c r="V14" s="1506" t="s">
        <v>8</v>
      </c>
      <c r="W14" s="1507">
        <f t="shared" si="2"/>
        <v>100</v>
      </c>
      <c r="X14" s="1500"/>
      <c r="Y14" s="361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616"/>
      <c r="Q15" s="1505"/>
      <c r="R15" s="1506"/>
      <c r="S15" s="1507"/>
      <c r="T15" s="1506"/>
      <c r="U15" s="1507"/>
      <c r="V15" s="1506"/>
      <c r="W15" s="1507"/>
      <c r="X15" s="1500"/>
      <c r="Y15" s="361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616"/>
      <c r="Q16" s="1505" t="str">
        <f>B16</f>
        <v>公共配套设施</v>
      </c>
      <c r="R16" s="1506" t="s">
        <v>8</v>
      </c>
      <c r="S16" s="1507">
        <f>F16</f>
        <v>100</v>
      </c>
      <c r="T16" s="1506" t="s">
        <v>8</v>
      </c>
      <c r="U16" s="1507">
        <f>H16</f>
        <v>100</v>
      </c>
      <c r="V16" s="1506" t="s">
        <v>8</v>
      </c>
      <c r="W16" s="1507">
        <f>J16</f>
        <v>100</v>
      </c>
      <c r="X16" s="1500"/>
      <c r="Y16" s="361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616"/>
      <c r="Q17" s="1505"/>
      <c r="R17" s="1506"/>
      <c r="S17" s="1507"/>
      <c r="T17" s="1506"/>
      <c r="U17" s="1507"/>
      <c r="V17" s="1506"/>
      <c r="W17" s="1507"/>
      <c r="X17" s="1500"/>
      <c r="Y17" s="361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616"/>
      <c r="Q18" s="2427" t="str">
        <f>B18</f>
        <v>基础设施水平</v>
      </c>
      <c r="R18" s="1506" t="s">
        <v>8</v>
      </c>
      <c r="S18" s="1507">
        <f>F18</f>
        <v>100</v>
      </c>
      <c r="T18" s="1506" t="s">
        <v>8</v>
      </c>
      <c r="U18" s="1507">
        <f>H18</f>
        <v>100</v>
      </c>
      <c r="V18" s="1506" t="s">
        <v>8</v>
      </c>
      <c r="W18" s="1507">
        <f>J18</f>
        <v>100</v>
      </c>
      <c r="X18" s="2429"/>
      <c r="Y18" s="361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616"/>
      <c r="Q19" s="2427"/>
      <c r="R19" s="1506"/>
      <c r="S19" s="1507"/>
      <c r="T19" s="1506"/>
      <c r="U19" s="1507"/>
      <c r="V19" s="1506"/>
      <c r="W19" s="1507"/>
      <c r="X19" s="2429"/>
      <c r="Y19" s="361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616"/>
      <c r="Q20" s="1505" t="str">
        <f>B20</f>
        <v>自然及人文环境</v>
      </c>
      <c r="R20" s="1506" t="s">
        <v>8</v>
      </c>
      <c r="S20" s="1507">
        <f>F20</f>
        <v>100</v>
      </c>
      <c r="T20" s="1506" t="s">
        <v>8</v>
      </c>
      <c r="U20" s="1507">
        <f>H20</f>
        <v>100</v>
      </c>
      <c r="V20" s="1506" t="s">
        <v>8</v>
      </c>
      <c r="W20" s="1507">
        <f>J20</f>
        <v>100</v>
      </c>
      <c r="X20" s="1500"/>
      <c r="Y20" s="361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616"/>
      <c r="Q21" s="1505"/>
      <c r="R21" s="1506"/>
      <c r="S21" s="1507"/>
      <c r="T21" s="1506"/>
      <c r="U21" s="1507"/>
      <c r="V21" s="1506"/>
      <c r="W21" s="1507"/>
      <c r="X21" s="1500"/>
      <c r="Y21" s="361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616"/>
      <c r="Q22" s="1505" t="str">
        <f>B22</f>
        <v>楼层</v>
      </c>
      <c r="R22" s="1506" t="s">
        <v>8</v>
      </c>
      <c r="S22" s="1507">
        <f>F22</f>
        <v>100</v>
      </c>
      <c r="T22" s="1506" t="s">
        <v>8</v>
      </c>
      <c r="U22" s="1507">
        <f>H22</f>
        <v>100</v>
      </c>
      <c r="V22" s="1506" t="s">
        <v>8</v>
      </c>
      <c r="W22" s="1507">
        <f>J22</f>
        <v>100</v>
      </c>
      <c r="X22" s="1500"/>
      <c r="Y22" s="361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616"/>
      <c r="Q23" s="1505">
        <f>B23</f>
        <v>111</v>
      </c>
      <c r="R23" s="1506" t="s">
        <v>8</v>
      </c>
      <c r="S23" s="1507">
        <f>F23</f>
        <v>100</v>
      </c>
      <c r="T23" s="1506" t="s">
        <v>8</v>
      </c>
      <c r="U23" s="1507">
        <f>H23</f>
        <v>100</v>
      </c>
      <c r="V23" s="1506" t="s">
        <v>8</v>
      </c>
      <c r="W23" s="1507">
        <f>J23</f>
        <v>100</v>
      </c>
      <c r="X23" s="1500"/>
      <c r="Y23" s="361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616"/>
      <c r="Q24" s="1505">
        <f t="shared" ref="Q24:Q36" si="11">B24</f>
        <v>111</v>
      </c>
      <c r="R24" s="1506" t="s">
        <v>8</v>
      </c>
      <c r="S24" s="1507">
        <f>F24</f>
        <v>100</v>
      </c>
      <c r="T24" s="1506" t="s">
        <v>8</v>
      </c>
      <c r="U24" s="1507">
        <f>H24</f>
        <v>100</v>
      </c>
      <c r="V24" s="1506" t="s">
        <v>8</v>
      </c>
      <c r="W24" s="1507">
        <f>J24</f>
        <v>100</v>
      </c>
      <c r="X24" s="1500"/>
      <c r="Y24" s="361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616"/>
      <c r="Q25" s="1132">
        <f t="shared" si="11"/>
        <v>111</v>
      </c>
      <c r="R25" s="1501" t="s">
        <v>8</v>
      </c>
      <c r="S25" s="1502">
        <f>F25</f>
        <v>100</v>
      </c>
      <c r="T25" s="1501" t="s">
        <v>8</v>
      </c>
      <c r="U25" s="1502">
        <f>H25</f>
        <v>100</v>
      </c>
      <c r="V25" s="1501" t="s">
        <v>8</v>
      </c>
      <c r="W25" s="1502">
        <f>J25</f>
        <v>100</v>
      </c>
      <c r="X25" s="1503"/>
      <c r="Y25" s="361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61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1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618"/>
      <c r="Q27" s="1534" t="str">
        <f t="shared" si="11"/>
        <v>项目停车位配比</v>
      </c>
      <c r="R27" s="1510" t="s">
        <v>8</v>
      </c>
      <c r="S27" s="1511">
        <f t="shared" si="12"/>
        <v>100</v>
      </c>
      <c r="T27" s="1510" t="s">
        <v>8</v>
      </c>
      <c r="U27" s="1511">
        <f t="shared" si="13"/>
        <v>100</v>
      </c>
      <c r="V27" s="1510" t="s">
        <v>8</v>
      </c>
      <c r="W27" s="1511">
        <f t="shared" si="14"/>
        <v>100</v>
      </c>
      <c r="X27" s="1512"/>
      <c r="Y27" s="361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618"/>
      <c r="Q28" s="1505" t="str">
        <f t="shared" si="11"/>
        <v>公共部分装修</v>
      </c>
      <c r="R28" s="1506" t="s">
        <v>8</v>
      </c>
      <c r="S28" s="1507">
        <f t="shared" si="12"/>
        <v>100</v>
      </c>
      <c r="T28" s="1506" t="s">
        <v>8</v>
      </c>
      <c r="U28" s="1507">
        <f t="shared" si="13"/>
        <v>100</v>
      </c>
      <c r="V28" s="1506" t="s">
        <v>8</v>
      </c>
      <c r="W28" s="1507">
        <f t="shared" si="14"/>
        <v>100</v>
      </c>
      <c r="X28" s="1500"/>
      <c r="Y28" s="361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618"/>
      <c r="Q29" s="1505" t="str">
        <f t="shared" si="11"/>
        <v>成新率</v>
      </c>
      <c r="R29" s="1506" t="s">
        <v>8</v>
      </c>
      <c r="S29" s="1507" t="e">
        <f t="shared" si="12"/>
        <v>#N/A</v>
      </c>
      <c r="T29" s="1506" t="s">
        <v>8</v>
      </c>
      <c r="U29" s="1507" t="e">
        <f t="shared" si="13"/>
        <v>#N/A</v>
      </c>
      <c r="V29" s="1506" t="s">
        <v>8</v>
      </c>
      <c r="W29" s="1507" t="e">
        <f t="shared" si="14"/>
        <v>#N/A</v>
      </c>
      <c r="X29" s="1500"/>
      <c r="Y29" s="361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618"/>
      <c r="Q30" s="1505" t="str">
        <f t="shared" si="11"/>
        <v>物业等级</v>
      </c>
      <c r="R30" s="1506" t="s">
        <v>8</v>
      </c>
      <c r="S30" s="1507">
        <f t="shared" si="12"/>
        <v>100</v>
      </c>
      <c r="T30" s="1506" t="s">
        <v>8</v>
      </c>
      <c r="U30" s="1507">
        <f t="shared" si="13"/>
        <v>100</v>
      </c>
      <c r="V30" s="1506" t="s">
        <v>8</v>
      </c>
      <c r="W30" s="1507">
        <f t="shared" si="14"/>
        <v>100</v>
      </c>
      <c r="X30" s="1500"/>
      <c r="Y30" s="361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618"/>
      <c r="Q31" s="1132" t="str">
        <f t="shared" si="11"/>
        <v>停车位面积</v>
      </c>
      <c r="R31" s="1501" t="s">
        <v>8</v>
      </c>
      <c r="S31" s="1502" t="e">
        <f t="shared" si="12"/>
        <v>#N/A</v>
      </c>
      <c r="T31" s="1501" t="s">
        <v>8</v>
      </c>
      <c r="U31" s="1502" t="e">
        <f t="shared" si="13"/>
        <v>#N/A</v>
      </c>
      <c r="V31" s="1501" t="s">
        <v>8</v>
      </c>
      <c r="W31" s="1502" t="e">
        <f t="shared" si="14"/>
        <v>#N/A</v>
      </c>
      <c r="X31" s="1503"/>
      <c r="Y31" s="361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618" t="s">
        <v>542</v>
      </c>
      <c r="Q32" s="1505" t="str">
        <f t="shared" si="11"/>
        <v>车位类型</v>
      </c>
      <c r="R32" s="1506" t="s">
        <v>8</v>
      </c>
      <c r="S32" s="1507">
        <f t="shared" si="12"/>
        <v>100</v>
      </c>
      <c r="T32" s="1506" t="s">
        <v>8</v>
      </c>
      <c r="U32" s="1507">
        <f t="shared" si="13"/>
        <v>100</v>
      </c>
      <c r="V32" s="1506" t="s">
        <v>8</v>
      </c>
      <c r="W32" s="1507">
        <f t="shared" si="14"/>
        <v>100</v>
      </c>
      <c r="X32" s="1500"/>
      <c r="Y32" s="361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618"/>
      <c r="Q33" s="1505" t="str">
        <f t="shared" si="11"/>
        <v>是否直接入户</v>
      </c>
      <c r="R33" s="1506" t="s">
        <v>8</v>
      </c>
      <c r="S33" s="1507">
        <f t="shared" si="12"/>
        <v>100</v>
      </c>
      <c r="T33" s="1506" t="s">
        <v>8</v>
      </c>
      <c r="U33" s="1507">
        <f t="shared" si="13"/>
        <v>100</v>
      </c>
      <c r="V33" s="1506" t="s">
        <v>8</v>
      </c>
      <c r="W33" s="1507">
        <f t="shared" si="14"/>
        <v>100</v>
      </c>
      <c r="X33" s="1500"/>
      <c r="Y33" s="361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618"/>
      <c r="Q34" s="1505">
        <f t="shared" si="11"/>
        <v>111</v>
      </c>
      <c r="R34" s="1506" t="s">
        <v>8</v>
      </c>
      <c r="S34" s="1507">
        <f t="shared" si="12"/>
        <v>100</v>
      </c>
      <c r="T34" s="1506" t="s">
        <v>8</v>
      </c>
      <c r="U34" s="1507">
        <f t="shared" si="13"/>
        <v>100</v>
      </c>
      <c r="V34" s="1506" t="s">
        <v>8</v>
      </c>
      <c r="W34" s="1507">
        <f t="shared" si="14"/>
        <v>100</v>
      </c>
      <c r="X34" s="1500"/>
      <c r="Y34" s="361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618"/>
      <c r="Q35" s="1534">
        <f t="shared" si="11"/>
        <v>111</v>
      </c>
      <c r="R35" s="1510" t="s">
        <v>8</v>
      </c>
      <c r="S35" s="1511">
        <f t="shared" si="12"/>
        <v>100</v>
      </c>
      <c r="T35" s="1510" t="s">
        <v>8</v>
      </c>
      <c r="U35" s="1511">
        <f t="shared" si="13"/>
        <v>100</v>
      </c>
      <c r="V35" s="1510" t="s">
        <v>8</v>
      </c>
      <c r="W35" s="1511">
        <f t="shared" si="14"/>
        <v>100</v>
      </c>
      <c r="X35" s="1512"/>
      <c r="Y35" s="361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618"/>
      <c r="Q36" s="1505">
        <f t="shared" si="11"/>
        <v>111</v>
      </c>
      <c r="R36" s="1506" t="s">
        <v>8</v>
      </c>
      <c r="S36" s="1507">
        <f t="shared" si="12"/>
        <v>100</v>
      </c>
      <c r="T36" s="1506" t="s">
        <v>8</v>
      </c>
      <c r="U36" s="1507">
        <f t="shared" si="13"/>
        <v>100</v>
      </c>
      <c r="V36" s="1506" t="s">
        <v>8</v>
      </c>
      <c r="W36" s="1507">
        <f t="shared" si="14"/>
        <v>100</v>
      </c>
      <c r="X36" s="1500"/>
      <c r="Y36" s="361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81" t="str">
        <f>A37</f>
        <v>成交单价</v>
      </c>
      <c r="Q37" s="3581"/>
      <c r="R37" s="3697">
        <f>E37</f>
        <v>0</v>
      </c>
      <c r="S37" s="3697"/>
      <c r="T37" s="3697">
        <f>G37</f>
        <v>0</v>
      </c>
      <c r="U37" s="3697"/>
      <c r="V37" s="3697">
        <f>I37</f>
        <v>0</v>
      </c>
      <c r="W37" s="3697"/>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81" t="str">
        <f>A38</f>
        <v>比较价格（元/平方米）</v>
      </c>
      <c r="Q38" s="3581"/>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578" t="str">
        <f>A39</f>
        <v>估价对象XX用房的比较价格（楼面单价，元/平方米）</v>
      </c>
      <c r="Q39" s="3579"/>
      <c r="R39" s="3696" t="e">
        <f>IF(F1="售价",ROUND(IF(D38="简单平均",AVERAGE(R38:W38),R38*F38+T38*H38+V38*J38),0),ROUND(IF(D38="简单平均",AVERAGE(R38:V38),R38*F38+T38*H38+V38*J38),1))</f>
        <v>#DIV/0!</v>
      </c>
      <c r="S39" s="3696"/>
      <c r="T39" s="3696"/>
      <c r="U39" s="3696"/>
      <c r="V39" s="3696"/>
      <c r="W39" s="3696"/>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87" t="s">
        <v>790</v>
      </c>
      <c r="D4" s="3588"/>
      <c r="E4" s="3621" t="s">
        <v>791</v>
      </c>
      <c r="F4" s="3622"/>
      <c r="G4" s="3587" t="s">
        <v>792</v>
      </c>
      <c r="H4" s="3588"/>
      <c r="I4" s="3587" t="s">
        <v>793</v>
      </c>
      <c r="J4" s="3588"/>
      <c r="K4" s="506" t="s">
        <v>794</v>
      </c>
      <c r="L4" s="2013"/>
      <c r="M4" s="2014"/>
      <c r="N4" s="2014"/>
      <c r="O4" s="2014"/>
      <c r="P4" s="3589" t="s">
        <v>795</v>
      </c>
      <c r="Q4" s="3590"/>
      <c r="R4" s="3595" t="s">
        <v>791</v>
      </c>
      <c r="S4" s="3596"/>
      <c r="T4" s="3595" t="s">
        <v>792</v>
      </c>
      <c r="U4" s="3596"/>
      <c r="V4" s="3582" t="s">
        <v>793</v>
      </c>
      <c r="W4" s="3582"/>
      <c r="X4" s="1500"/>
      <c r="Y4" s="3595" t="s">
        <v>795</v>
      </c>
      <c r="Z4" s="3596"/>
      <c r="AA4" s="3584" t="s">
        <v>791</v>
      </c>
      <c r="AB4" s="3585" t="s">
        <v>792</v>
      </c>
      <c r="AC4" s="3584" t="s">
        <v>793</v>
      </c>
    </row>
    <row r="5" spans="1:29" ht="15">
      <c r="A5" s="507"/>
      <c r="B5" s="508"/>
      <c r="C5" s="3603" t="s">
        <v>2892</v>
      </c>
      <c r="D5" s="3604"/>
      <c r="E5" s="3623" t="s">
        <v>2893</v>
      </c>
      <c r="F5" s="3624"/>
      <c r="G5" s="3603" t="s">
        <v>2894</v>
      </c>
      <c r="H5" s="3604"/>
      <c r="I5" s="3603" t="s">
        <v>2895</v>
      </c>
      <c r="J5" s="3604"/>
      <c r="K5" s="506"/>
      <c r="L5" s="2013"/>
      <c r="M5" s="2014"/>
      <c r="N5" s="2014"/>
      <c r="O5" s="2014"/>
      <c r="P5" s="3591"/>
      <c r="Q5" s="3592"/>
      <c r="R5" s="3597"/>
      <c r="S5" s="3598"/>
      <c r="T5" s="3597"/>
      <c r="U5" s="3598"/>
      <c r="V5" s="3582"/>
      <c r="W5" s="3582"/>
      <c r="X5" s="1500"/>
      <c r="Y5" s="3597"/>
      <c r="Z5" s="3598"/>
      <c r="AA5" s="3585"/>
      <c r="AB5" s="3585"/>
      <c r="AC5" s="3585"/>
    </row>
    <row r="6" spans="1:29" ht="15.75" thickBot="1">
      <c r="A6" s="509"/>
      <c r="B6" s="510"/>
      <c r="C6" s="3601" t="s">
        <v>2896</v>
      </c>
      <c r="D6" s="3602"/>
      <c r="E6" s="3619" t="s">
        <v>2896</v>
      </c>
      <c r="F6" s="3620"/>
      <c r="G6" s="3601" t="s">
        <v>2896</v>
      </c>
      <c r="H6" s="3602"/>
      <c r="I6" s="3601" t="s">
        <v>2896</v>
      </c>
      <c r="J6" s="3602"/>
      <c r="K6" s="506" t="s">
        <v>520</v>
      </c>
      <c r="L6" s="2013"/>
      <c r="M6" s="2014"/>
      <c r="N6" s="2014"/>
      <c r="O6" s="2014"/>
      <c r="P6" s="3593"/>
      <c r="Q6" s="3594"/>
      <c r="R6" s="3597"/>
      <c r="S6" s="3598"/>
      <c r="T6" s="3599"/>
      <c r="U6" s="3600"/>
      <c r="V6" s="3582"/>
      <c r="W6" s="3582"/>
      <c r="X6" s="1500"/>
      <c r="Y6" s="3599"/>
      <c r="Z6" s="3600"/>
      <c r="AA6" s="3586"/>
      <c r="AB6" s="3586"/>
      <c r="AC6" s="3586"/>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612" t="s">
        <v>522</v>
      </c>
      <c r="Q7" s="3614"/>
      <c r="R7" s="1501" t="s">
        <v>8</v>
      </c>
      <c r="S7" s="1502">
        <f t="shared" ref="S7:S14" si="0">F7</f>
        <v>0</v>
      </c>
      <c r="T7" s="1501" t="s">
        <v>8</v>
      </c>
      <c r="U7" s="1502">
        <f t="shared" ref="U7:U14" si="1">H7</f>
        <v>0</v>
      </c>
      <c r="V7" s="1501" t="s">
        <v>8</v>
      </c>
      <c r="W7" s="1502">
        <f t="shared" ref="W7:W14" si="2">J7</f>
        <v>0</v>
      </c>
      <c r="X7" s="1503"/>
      <c r="Y7" s="3612" t="s">
        <v>522</v>
      </c>
      <c r="Z7" s="3613"/>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612" t="s">
        <v>525</v>
      </c>
      <c r="Q8" s="3613"/>
      <c r="R8" s="1501" t="s">
        <v>8</v>
      </c>
      <c r="S8" s="1502">
        <f t="shared" si="0"/>
        <v>0</v>
      </c>
      <c r="T8" s="1501" t="s">
        <v>8</v>
      </c>
      <c r="U8" s="1502">
        <f t="shared" si="1"/>
        <v>0</v>
      </c>
      <c r="V8" s="1501" t="s">
        <v>8</v>
      </c>
      <c r="W8" s="1502">
        <f t="shared" si="2"/>
        <v>0</v>
      </c>
      <c r="X8" s="1503"/>
      <c r="Y8" s="3612" t="s">
        <v>525</v>
      </c>
      <c r="Z8" s="3613"/>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81" t="s">
        <v>527</v>
      </c>
      <c r="Q9" s="1132" t="str">
        <f t="shared" ref="Q9:Q14" si="6">B9</f>
        <v>用途</v>
      </c>
      <c r="R9" s="1501" t="s">
        <v>8</v>
      </c>
      <c r="S9" s="1502">
        <f t="shared" si="0"/>
        <v>100</v>
      </c>
      <c r="T9" s="1501" t="s">
        <v>8</v>
      </c>
      <c r="U9" s="1502">
        <f t="shared" si="1"/>
        <v>100</v>
      </c>
      <c r="V9" s="1501" t="s">
        <v>8</v>
      </c>
      <c r="W9" s="1502">
        <f t="shared" si="2"/>
        <v>100</v>
      </c>
      <c r="X9" s="1503"/>
      <c r="Y9" s="3527"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81"/>
      <c r="Q10" s="1132" t="str">
        <f t="shared" si="6"/>
        <v>土地使用年限（年）</v>
      </c>
      <c r="R10" s="1501" t="s">
        <v>8</v>
      </c>
      <c r="S10" s="1502">
        <f t="shared" si="0"/>
        <v>100</v>
      </c>
      <c r="T10" s="1501" t="s">
        <v>8</v>
      </c>
      <c r="U10" s="1502">
        <f t="shared" si="1"/>
        <v>100</v>
      </c>
      <c r="V10" s="1501" t="s">
        <v>8</v>
      </c>
      <c r="W10" s="1502">
        <f t="shared" si="2"/>
        <v>100</v>
      </c>
      <c r="X10" s="1503"/>
      <c r="Y10" s="3527"/>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81"/>
      <c r="Q11" s="1132">
        <f t="shared" si="6"/>
        <v>111</v>
      </c>
      <c r="R11" s="1501" t="s">
        <v>8</v>
      </c>
      <c r="S11" s="1502">
        <f t="shared" si="0"/>
        <v>100</v>
      </c>
      <c r="T11" s="1501" t="s">
        <v>8</v>
      </c>
      <c r="U11" s="1502">
        <f t="shared" si="1"/>
        <v>100</v>
      </c>
      <c r="V11" s="1501" t="s">
        <v>8</v>
      </c>
      <c r="W11" s="1502">
        <f t="shared" si="2"/>
        <v>100</v>
      </c>
      <c r="X11" s="1503"/>
      <c r="Y11" s="3527"/>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81"/>
      <c r="Q12" s="1132">
        <f t="shared" si="6"/>
        <v>111</v>
      </c>
      <c r="R12" s="1501" t="s">
        <v>8</v>
      </c>
      <c r="S12" s="1502">
        <f t="shared" si="0"/>
        <v>100</v>
      </c>
      <c r="T12" s="1501" t="s">
        <v>8</v>
      </c>
      <c r="U12" s="1502">
        <f t="shared" si="1"/>
        <v>100</v>
      </c>
      <c r="V12" s="1501" t="s">
        <v>8</v>
      </c>
      <c r="W12" s="1502">
        <f t="shared" si="2"/>
        <v>100</v>
      </c>
      <c r="X12" s="1503"/>
      <c r="Y12" s="3527"/>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81"/>
      <c r="Q13" s="1132">
        <f t="shared" si="6"/>
        <v>111</v>
      </c>
      <c r="R13" s="1501" t="s">
        <v>8</v>
      </c>
      <c r="S13" s="1502">
        <f t="shared" si="0"/>
        <v>100</v>
      </c>
      <c r="T13" s="1501" t="s">
        <v>8</v>
      </c>
      <c r="U13" s="1502">
        <f t="shared" si="1"/>
        <v>100</v>
      </c>
      <c r="V13" s="1501" t="s">
        <v>8</v>
      </c>
      <c r="W13" s="1502">
        <f t="shared" si="2"/>
        <v>100</v>
      </c>
      <c r="X13" s="1503"/>
      <c r="Y13" s="3527"/>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615" t="s">
        <v>532</v>
      </c>
      <c r="Q14" s="1505" t="str">
        <f t="shared" si="6"/>
        <v>交通便捷度</v>
      </c>
      <c r="R14" s="1506" t="s">
        <v>8</v>
      </c>
      <c r="S14" s="1507">
        <f t="shared" si="0"/>
        <v>100</v>
      </c>
      <c r="T14" s="1506" t="s">
        <v>8</v>
      </c>
      <c r="U14" s="1507">
        <f t="shared" si="1"/>
        <v>100</v>
      </c>
      <c r="V14" s="1506" t="s">
        <v>8</v>
      </c>
      <c r="W14" s="1507">
        <f t="shared" si="2"/>
        <v>100</v>
      </c>
      <c r="X14" s="1500"/>
      <c r="Y14" s="361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616"/>
      <c r="Q15" s="1505"/>
      <c r="R15" s="1506"/>
      <c r="S15" s="1507"/>
      <c r="T15" s="1506"/>
      <c r="U15" s="1507"/>
      <c r="V15" s="1506"/>
      <c r="W15" s="1507"/>
      <c r="X15" s="1500"/>
      <c r="Y15" s="361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616"/>
      <c r="Q16" s="1505" t="str">
        <f>B16</f>
        <v>公共配套设施</v>
      </c>
      <c r="R16" s="1506" t="s">
        <v>8</v>
      </c>
      <c r="S16" s="1507">
        <f>F16</f>
        <v>100</v>
      </c>
      <c r="T16" s="1506" t="s">
        <v>8</v>
      </c>
      <c r="U16" s="1507">
        <f>H16</f>
        <v>100</v>
      </c>
      <c r="V16" s="1506" t="s">
        <v>8</v>
      </c>
      <c r="W16" s="1507">
        <f>J16</f>
        <v>100</v>
      </c>
      <c r="X16" s="1500"/>
      <c r="Y16" s="361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616"/>
      <c r="Q17" s="1505"/>
      <c r="R17" s="1506"/>
      <c r="S17" s="1507"/>
      <c r="T17" s="1506"/>
      <c r="U17" s="1507"/>
      <c r="V17" s="1506"/>
      <c r="W17" s="1507"/>
      <c r="X17" s="1500"/>
      <c r="Y17" s="361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616"/>
      <c r="Q18" s="2427" t="str">
        <f>B18</f>
        <v>基础设施水平</v>
      </c>
      <c r="R18" s="1506" t="s">
        <v>8</v>
      </c>
      <c r="S18" s="1507">
        <f>F18</f>
        <v>100</v>
      </c>
      <c r="T18" s="1506" t="s">
        <v>8</v>
      </c>
      <c r="U18" s="1507">
        <f>H18</f>
        <v>100</v>
      </c>
      <c r="V18" s="1506" t="s">
        <v>8</v>
      </c>
      <c r="W18" s="1507">
        <f>J18</f>
        <v>100</v>
      </c>
      <c r="X18" s="2429"/>
      <c r="Y18" s="361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616"/>
      <c r="Q19" s="2427"/>
      <c r="R19" s="1506"/>
      <c r="S19" s="1507"/>
      <c r="T19" s="1506"/>
      <c r="U19" s="1507"/>
      <c r="V19" s="1506"/>
      <c r="W19" s="1507"/>
      <c r="X19" s="2429"/>
      <c r="Y19" s="361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616"/>
      <c r="Q20" s="1505" t="str">
        <f>B20</f>
        <v>自然及人文环境</v>
      </c>
      <c r="R20" s="1506" t="s">
        <v>8</v>
      </c>
      <c r="S20" s="1507">
        <f>F20</f>
        <v>100</v>
      </c>
      <c r="T20" s="1506" t="s">
        <v>8</v>
      </c>
      <c r="U20" s="1507">
        <f>H20</f>
        <v>100</v>
      </c>
      <c r="V20" s="1506" t="s">
        <v>8</v>
      </c>
      <c r="W20" s="1507">
        <f>J20</f>
        <v>100</v>
      </c>
      <c r="X20" s="1500"/>
      <c r="Y20" s="361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616"/>
      <c r="Q21" s="1505"/>
      <c r="R21" s="1506"/>
      <c r="S21" s="1507"/>
      <c r="T21" s="1506"/>
      <c r="U21" s="1507"/>
      <c r="V21" s="1506"/>
      <c r="W21" s="1507"/>
      <c r="X21" s="1500"/>
      <c r="Y21" s="361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616"/>
      <c r="Q22" s="1505" t="str">
        <f>B22</f>
        <v>楼层</v>
      </c>
      <c r="R22" s="1506" t="s">
        <v>8</v>
      </c>
      <c r="S22" s="1507">
        <f>F22</f>
        <v>100</v>
      </c>
      <c r="T22" s="1506" t="s">
        <v>8</v>
      </c>
      <c r="U22" s="1507">
        <f>H22</f>
        <v>100</v>
      </c>
      <c r="V22" s="1506" t="s">
        <v>8</v>
      </c>
      <c r="W22" s="1507">
        <f>J22</f>
        <v>100</v>
      </c>
      <c r="X22" s="1500"/>
      <c r="Y22" s="361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616"/>
      <c r="Q23" s="1505">
        <f>B23</f>
        <v>111</v>
      </c>
      <c r="R23" s="1506" t="s">
        <v>8</v>
      </c>
      <c r="S23" s="1507">
        <f>F23</f>
        <v>100</v>
      </c>
      <c r="T23" s="1506" t="s">
        <v>8</v>
      </c>
      <c r="U23" s="1507">
        <f>H23</f>
        <v>100</v>
      </c>
      <c r="V23" s="1506" t="s">
        <v>8</v>
      </c>
      <c r="W23" s="1507">
        <f>J23</f>
        <v>100</v>
      </c>
      <c r="X23" s="1500"/>
      <c r="Y23" s="361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616"/>
      <c r="Q24" s="1505">
        <f t="shared" ref="Q24:Q34" si="11">B24</f>
        <v>111</v>
      </c>
      <c r="R24" s="1506" t="s">
        <v>8</v>
      </c>
      <c r="S24" s="1507">
        <f>F24</f>
        <v>100</v>
      </c>
      <c r="T24" s="1506" t="s">
        <v>8</v>
      </c>
      <c r="U24" s="1507">
        <f>H24</f>
        <v>100</v>
      </c>
      <c r="V24" s="1506" t="s">
        <v>8</v>
      </c>
      <c r="W24" s="1507">
        <f>J24</f>
        <v>100</v>
      </c>
      <c r="X24" s="1500"/>
      <c r="Y24" s="361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616"/>
      <c r="Q25" s="1132">
        <f t="shared" si="11"/>
        <v>111</v>
      </c>
      <c r="R25" s="1501" t="s">
        <v>8</v>
      </c>
      <c r="S25" s="1502">
        <f>F25</f>
        <v>100</v>
      </c>
      <c r="T25" s="1501" t="s">
        <v>8</v>
      </c>
      <c r="U25" s="1502">
        <f>H25</f>
        <v>100</v>
      </c>
      <c r="V25" s="1501" t="s">
        <v>8</v>
      </c>
      <c r="W25" s="1502">
        <f>J25</f>
        <v>100</v>
      </c>
      <c r="X25" s="1503"/>
      <c r="Y25" s="361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61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1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618"/>
      <c r="Q27" s="1534" t="str">
        <f t="shared" si="11"/>
        <v>成新率</v>
      </c>
      <c r="R27" s="1510" t="s">
        <v>8</v>
      </c>
      <c r="S27" s="1511" t="e">
        <f t="shared" si="12"/>
        <v>#N/A</v>
      </c>
      <c r="T27" s="1510" t="s">
        <v>8</v>
      </c>
      <c r="U27" s="1511" t="e">
        <f t="shared" si="13"/>
        <v>#N/A</v>
      </c>
      <c r="V27" s="1510" t="s">
        <v>8</v>
      </c>
      <c r="W27" s="1511" t="e">
        <f t="shared" si="14"/>
        <v>#N/A</v>
      </c>
      <c r="X27" s="1512"/>
      <c r="Y27" s="361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618"/>
      <c r="Q28" s="1505" t="str">
        <f t="shared" si="11"/>
        <v>物业等级</v>
      </c>
      <c r="R28" s="1506" t="s">
        <v>8</v>
      </c>
      <c r="S28" s="1507">
        <f t="shared" si="12"/>
        <v>100</v>
      </c>
      <c r="T28" s="1506" t="s">
        <v>8</v>
      </c>
      <c r="U28" s="1507">
        <f t="shared" si="13"/>
        <v>100</v>
      </c>
      <c r="V28" s="1506" t="s">
        <v>8</v>
      </c>
      <c r="W28" s="1507">
        <f t="shared" si="14"/>
        <v>100</v>
      </c>
      <c r="X28" s="1500"/>
      <c r="Y28" s="361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618"/>
      <c r="Q29" s="1505" t="str">
        <f t="shared" si="11"/>
        <v>有无电梯</v>
      </c>
      <c r="R29" s="1506" t="s">
        <v>8</v>
      </c>
      <c r="S29" s="1507">
        <f t="shared" si="12"/>
        <v>100</v>
      </c>
      <c r="T29" s="1506" t="s">
        <v>8</v>
      </c>
      <c r="U29" s="1507">
        <f t="shared" si="13"/>
        <v>100</v>
      </c>
      <c r="V29" s="1506" t="s">
        <v>8</v>
      </c>
      <c r="W29" s="1507">
        <f t="shared" si="14"/>
        <v>100</v>
      </c>
      <c r="X29" s="1500"/>
      <c r="Y29" s="361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618"/>
      <c r="Q30" s="1505" t="str">
        <f t="shared" si="11"/>
        <v>建筑面积</v>
      </c>
      <c r="R30" s="1506" t="s">
        <v>8</v>
      </c>
      <c r="S30" s="1507" t="e">
        <f t="shared" si="12"/>
        <v>#N/A</v>
      </c>
      <c r="T30" s="1506" t="s">
        <v>8</v>
      </c>
      <c r="U30" s="1507" t="e">
        <f t="shared" si="13"/>
        <v>#N/A</v>
      </c>
      <c r="V30" s="1506" t="s">
        <v>8</v>
      </c>
      <c r="W30" s="1507" t="e">
        <f t="shared" si="14"/>
        <v>#N/A</v>
      </c>
      <c r="X30" s="1500"/>
      <c r="Y30" s="361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618"/>
      <c r="Q31" s="1132" t="str">
        <f t="shared" si="11"/>
        <v>是否封闭</v>
      </c>
      <c r="R31" s="1501" t="s">
        <v>8</v>
      </c>
      <c r="S31" s="1502">
        <f t="shared" si="12"/>
        <v>100</v>
      </c>
      <c r="T31" s="1501" t="s">
        <v>8</v>
      </c>
      <c r="U31" s="1502">
        <f t="shared" si="13"/>
        <v>100</v>
      </c>
      <c r="V31" s="1501" t="s">
        <v>8</v>
      </c>
      <c r="W31" s="1502">
        <f t="shared" si="14"/>
        <v>100</v>
      </c>
      <c r="X31" s="1503"/>
      <c r="Y31" s="361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618" t="s">
        <v>542</v>
      </c>
      <c r="Q32" s="1505">
        <f t="shared" si="11"/>
        <v>111</v>
      </c>
      <c r="R32" s="1506" t="s">
        <v>8</v>
      </c>
      <c r="S32" s="1507">
        <f t="shared" si="12"/>
        <v>100</v>
      </c>
      <c r="T32" s="1506" t="s">
        <v>8</v>
      </c>
      <c r="U32" s="1507">
        <f t="shared" si="13"/>
        <v>100</v>
      </c>
      <c r="V32" s="1506" t="s">
        <v>8</v>
      </c>
      <c r="W32" s="1507">
        <f t="shared" si="14"/>
        <v>100</v>
      </c>
      <c r="X32" s="1500"/>
      <c r="Y32" s="361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618"/>
      <c r="Q33" s="1505">
        <f t="shared" si="11"/>
        <v>111</v>
      </c>
      <c r="R33" s="1506" t="s">
        <v>8</v>
      </c>
      <c r="S33" s="1507">
        <f t="shared" si="12"/>
        <v>100</v>
      </c>
      <c r="T33" s="1506" t="s">
        <v>8</v>
      </c>
      <c r="U33" s="1507">
        <f t="shared" si="13"/>
        <v>100</v>
      </c>
      <c r="V33" s="1506" t="s">
        <v>8</v>
      </c>
      <c r="W33" s="1507">
        <f t="shared" si="14"/>
        <v>100</v>
      </c>
      <c r="X33" s="1500"/>
      <c r="Y33" s="361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618"/>
      <c r="Q34" s="1505">
        <f t="shared" si="11"/>
        <v>111</v>
      </c>
      <c r="R34" s="1506" t="s">
        <v>8</v>
      </c>
      <c r="S34" s="1507">
        <f t="shared" si="12"/>
        <v>100</v>
      </c>
      <c r="T34" s="1506" t="s">
        <v>8</v>
      </c>
      <c r="U34" s="1507">
        <f t="shared" si="13"/>
        <v>100</v>
      </c>
      <c r="V34" s="1506" t="s">
        <v>8</v>
      </c>
      <c r="W34" s="1507">
        <f t="shared" si="14"/>
        <v>100</v>
      </c>
      <c r="X34" s="1500"/>
      <c r="Y34" s="361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81" t="str">
        <f>A35</f>
        <v>成交单价（元/平方米）</v>
      </c>
      <c r="Q35" s="3581"/>
      <c r="R35" s="3697">
        <f>E35</f>
        <v>0</v>
      </c>
      <c r="S35" s="3697"/>
      <c r="T35" s="3697">
        <f>G35</f>
        <v>0</v>
      </c>
      <c r="U35" s="3697"/>
      <c r="V35" s="3697">
        <f>I35</f>
        <v>0</v>
      </c>
      <c r="W35" s="3697"/>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81" t="str">
        <f>A36</f>
        <v>比较价格（元/平方米）</v>
      </c>
      <c r="Q36" s="3581"/>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578" t="str">
        <f>A37</f>
        <v>估价对象XX用房的比较价格（楼面单价，元/平方米）</v>
      </c>
      <c r="Q37" s="3579"/>
      <c r="R37" s="3696" t="e">
        <f>IF(F1="售价",ROUND(IF(D36="简单平均",AVERAGE(R36:W36),R36*F36+T36*H36+V36*J36),0),ROUND(IF(D36="简单平均",AVERAGE(R36:V36),R36*F36+T36*H36+V36*J36),1))</f>
        <v>#DIV/0!</v>
      </c>
      <c r="S37" s="3696"/>
      <c r="T37" s="3696"/>
      <c r="U37" s="3696"/>
      <c r="V37" s="3696"/>
      <c r="W37" s="3696"/>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6" t="s">
        <v>2024</v>
      </c>
      <c r="B1" s="3406"/>
      <c r="C1" s="3406"/>
      <c r="D1" s="3406"/>
      <c r="E1" s="3406"/>
      <c r="F1" s="3406"/>
      <c r="G1" s="3406"/>
      <c r="H1" s="3406"/>
      <c r="I1" s="3406"/>
      <c r="J1" s="3406"/>
      <c r="K1" s="3406"/>
      <c r="L1" s="3406"/>
      <c r="M1" s="3406"/>
      <c r="N1" s="3406"/>
      <c r="O1" s="3406"/>
      <c r="P1" s="3406"/>
      <c r="Q1" s="3406"/>
      <c r="R1" s="3406"/>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7" t="s">
        <v>2015</v>
      </c>
      <c r="B3" s="3407" t="s">
        <v>2709</v>
      </c>
      <c r="C3" s="3408" t="s">
        <v>2016</v>
      </c>
      <c r="D3" s="3407" t="s">
        <v>2713</v>
      </c>
      <c r="E3" s="3402" t="s">
        <v>2017</v>
      </c>
      <c r="F3" s="3402"/>
      <c r="G3" s="3402"/>
      <c r="H3" s="3402" t="s">
        <v>2018</v>
      </c>
      <c r="I3" s="3402"/>
      <c r="J3" s="3402"/>
      <c r="K3" s="3408" t="s">
        <v>2019</v>
      </c>
      <c r="L3" s="3408" t="s">
        <v>2020</v>
      </c>
      <c r="M3" s="3407" t="s">
        <v>2710</v>
      </c>
      <c r="N3" s="3409" t="str">
        <f>"（分摊）"&amp;项目基本情况!B16&amp;"国有建设用地使用权面积/㎡"</f>
        <v>（分摊）国有建设用地使用权面积/㎡</v>
      </c>
      <c r="O3" s="3407" t="s">
        <v>2049</v>
      </c>
      <c r="P3" s="3408" t="s">
        <v>2029</v>
      </c>
      <c r="Q3" s="3408" t="s">
        <v>2050</v>
      </c>
      <c r="R3" s="3408" t="s">
        <v>2021</v>
      </c>
    </row>
    <row r="4" spans="1:18" ht="36.75" customHeight="1">
      <c r="A4" s="3407"/>
      <c r="B4" s="3407"/>
      <c r="C4" s="3408"/>
      <c r="D4" s="3407"/>
      <c r="E4" s="2489" t="s">
        <v>2028</v>
      </c>
      <c r="F4" s="2489" t="s">
        <v>2722</v>
      </c>
      <c r="G4" s="2489" t="s">
        <v>2022</v>
      </c>
      <c r="H4" s="2489" t="s">
        <v>2023</v>
      </c>
      <c r="I4" s="2489" t="s">
        <v>2723</v>
      </c>
      <c r="J4" s="2489" t="s">
        <v>2022</v>
      </c>
      <c r="K4" s="3408"/>
      <c r="L4" s="3408"/>
      <c r="M4" s="3407"/>
      <c r="N4" s="3409"/>
      <c r="O4" s="3407"/>
      <c r="P4" s="3408"/>
      <c r="Q4" s="3408"/>
      <c r="R4" s="3408"/>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36576</v>
      </c>
      <c r="Q5" s="1723">
        <f ca="1">结果表!D42</f>
        <v>6531</v>
      </c>
      <c r="R5" s="1724">
        <f ca="1">结果表!C42</f>
        <v>20119</v>
      </c>
    </row>
    <row r="6" spans="1:18">
      <c r="A6" s="3403" t="str">
        <f>IF(项目基本情况!B9="市场价格","——","抵押价格")</f>
        <v>抵押价格</v>
      </c>
      <c r="B6" s="3404"/>
      <c r="C6" s="3404"/>
      <c r="D6" s="3404"/>
      <c r="E6" s="3404"/>
      <c r="F6" s="3404"/>
      <c r="G6" s="3404"/>
      <c r="H6" s="3404"/>
      <c r="I6" s="3404"/>
      <c r="J6" s="3404"/>
      <c r="K6" s="3404"/>
      <c r="L6" s="3404"/>
      <c r="M6" s="3404"/>
      <c r="N6" s="3404"/>
      <c r="O6" s="3404"/>
      <c r="P6" s="3404"/>
      <c r="Q6" s="3405"/>
      <c r="R6" s="1725" t="str">
        <f>结果表!O39</f>
        <v>——</v>
      </c>
    </row>
    <row r="7" spans="1:18">
      <c r="A7" s="3403" t="str">
        <f>IF(项目基本情况!B9="市场价格","——",IF(项目基本情况!E8="已注销及未注销","抵押担保权已注销时的抵押价格","——"))</f>
        <v>——</v>
      </c>
      <c r="B7" s="3404"/>
      <c r="C7" s="3404"/>
      <c r="D7" s="3404"/>
      <c r="E7" s="3404"/>
      <c r="F7" s="3404"/>
      <c r="G7" s="3404"/>
      <c r="H7" s="3404"/>
      <c r="I7" s="3404"/>
      <c r="J7" s="3404"/>
      <c r="K7" s="3404"/>
      <c r="L7" s="3404"/>
      <c r="M7" s="3404"/>
      <c r="N7" s="3404"/>
      <c r="O7" s="3404"/>
      <c r="P7" s="3404"/>
      <c r="Q7" s="3405"/>
      <c r="R7" s="1725" t="str">
        <f>结果表!O40</f>
        <v>——</v>
      </c>
    </row>
    <row r="8" spans="1:18">
      <c r="A8" s="3403">
        <f>IF(项目基本情况!B9="市场价格","——",项目基本情况!E9)</f>
        <v>0</v>
      </c>
      <c r="B8" s="3404"/>
      <c r="C8" s="3404"/>
      <c r="D8" s="3404"/>
      <c r="E8" s="3404"/>
      <c r="F8" s="3404"/>
      <c r="G8" s="3404"/>
      <c r="H8" s="3404"/>
      <c r="I8" s="3404"/>
      <c r="J8" s="3404"/>
      <c r="K8" s="3404"/>
      <c r="L8" s="3404"/>
      <c r="M8" s="3404"/>
      <c r="N8" s="3404"/>
      <c r="O8" s="3404"/>
      <c r="P8" s="3404"/>
      <c r="Q8" s="3405"/>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11" t="s">
        <v>2289</v>
      </c>
      <c r="D1" s="3712"/>
      <c r="E1" s="3712"/>
      <c r="F1" s="3712"/>
      <c r="G1" s="3712"/>
      <c r="H1" s="3712"/>
      <c r="I1" s="3712"/>
      <c r="J1" s="3712"/>
      <c r="K1" s="3712"/>
      <c r="L1" s="3712"/>
      <c r="M1" s="3712"/>
      <c r="N1" s="3712"/>
      <c r="O1" s="3712"/>
      <c r="P1" s="3712"/>
      <c r="Q1" s="3712"/>
      <c r="R1" s="3712"/>
      <c r="S1" s="3713"/>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8" t="s">
        <v>20</v>
      </c>
      <c r="D22" s="3709"/>
      <c r="E22" s="3709"/>
      <c r="F22" s="3709"/>
      <c r="G22" s="3709"/>
      <c r="H22" s="3709"/>
      <c r="I22" s="3709"/>
      <c r="J22" s="3709"/>
      <c r="K22" s="3709"/>
      <c r="L22" s="3709"/>
      <c r="M22" s="3709"/>
      <c r="N22" s="3709"/>
      <c r="O22" s="3709"/>
      <c r="P22" s="3709"/>
      <c r="Q22" s="3710"/>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11" t="s">
        <v>2051</v>
      </c>
      <c r="B1" s="3411"/>
      <c r="C1" s="3411"/>
      <c r="D1" s="3411"/>
    </row>
    <row r="2" spans="1:4" ht="47.25" customHeight="1">
      <c r="A2" s="3412" t="str">
        <f>"1.权利限制："&amp;项目基本情况!L24&amp;"未设定租赁等其他他项权利。"</f>
        <v>1.权利限制：根据估价对象《不动产权证书》原件、《国有土地使用权》复印件，截至估价期日，估价对象抵押权未见登记。未设定租赁等其他他项权利。</v>
      </c>
      <c r="B2" s="3412"/>
      <c r="C2" s="3412"/>
      <c r="D2" s="3412"/>
    </row>
    <row r="3" spans="1:4" ht="48" customHeight="1">
      <c r="A3" s="34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1"/>
      <c r="C3" s="3411"/>
      <c r="D3" s="3411"/>
    </row>
    <row r="4" spans="1:4" ht="36.75" customHeight="1">
      <c r="A4" s="3411" t="str">
        <f>"3.估价规划限制条件：详见"&amp;项目基本情况!E21&amp;"。"</f>
        <v>3.估价规划限制条件：详见《建设工程规划许可证》[]、《出让合同》[]。</v>
      </c>
      <c r="B4" s="3411"/>
      <c r="C4" s="3411"/>
      <c r="D4" s="3411"/>
    </row>
    <row r="5" spans="1:4">
      <c r="A5" s="3410" t="s">
        <v>2052</v>
      </c>
      <c r="B5" s="3410"/>
      <c r="C5" s="3410"/>
      <c r="D5" s="3410"/>
    </row>
    <row r="6" spans="1:4">
      <c r="A6" s="3411" t="s">
        <v>2030</v>
      </c>
      <c r="B6" s="3411"/>
      <c r="C6" s="3411"/>
      <c r="D6" s="3411"/>
    </row>
    <row r="7" spans="1:4" ht="33" customHeight="1">
      <c r="A7" s="3411" t="s">
        <v>2553</v>
      </c>
      <c r="B7" s="3411"/>
      <c r="C7" s="3411"/>
      <c r="D7" s="3411"/>
    </row>
    <row r="8" spans="1:4" ht="32.25" customHeight="1">
      <c r="A8" s="34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1"/>
      <c r="C8" s="3411"/>
      <c r="D8" s="3411"/>
    </row>
    <row r="9" spans="1:4" ht="33.75" customHeight="1">
      <c r="A9" s="3411" t="str">
        <f>IF(项目基本情况!B8="抵押","3.抵押双方在办理抵押登记手续时，应使用本公司出具的正式《土地估价报告》，特提请报告使用者注意。","——")</f>
        <v>——</v>
      </c>
      <c r="B9" s="3411"/>
      <c r="C9" s="3411"/>
      <c r="D9" s="3411"/>
    </row>
    <row r="10" spans="1:4">
      <c r="A10" s="3411" t="str">
        <f>IF(项目基本情况!B8="抵押","4.估价师所知悉的法定优先受偿款情况为：","——")</f>
        <v>——</v>
      </c>
      <c r="B10" s="3411"/>
      <c r="C10" s="3411"/>
      <c r="D10" s="3411"/>
    </row>
    <row r="11" spans="1:4" ht="37.5" customHeight="1">
      <c r="A11" s="3413" t="str">
        <f>IF(项目基本情况!B8="抵押","（1）"&amp;CONCATENATE(项目基本情况!L24,项目基本情况!L25,项目基本情况!L26),"——")</f>
        <v>——</v>
      </c>
      <c r="B11" s="3413"/>
      <c r="C11" s="3413"/>
      <c r="D11" s="3413"/>
    </row>
    <row r="12" spans="1:4" ht="168" customHeight="1">
      <c r="A12" s="3410" t="s">
        <v>2054</v>
      </c>
      <c r="B12" s="3410"/>
      <c r="C12" s="3410"/>
      <c r="D12" s="3410"/>
    </row>
    <row r="13" spans="1:4">
      <c r="A13" s="3414" t="s">
        <v>2724</v>
      </c>
      <c r="B13" s="3414"/>
      <c r="C13" s="3414"/>
      <c r="D13" s="3414"/>
    </row>
    <row r="14" spans="1:4">
      <c r="A14" s="3413" t="str">
        <f>IF(项目基本情况!B8="抵押","综上，"&amp;结果表!K47,"——")</f>
        <v>——</v>
      </c>
      <c r="B14" s="3413"/>
      <c r="C14" s="3413"/>
      <c r="D14" s="3413"/>
    </row>
    <row r="15" spans="1:4" ht="58.5" customHeight="1">
      <c r="A15" s="34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1"/>
      <c r="C15" s="3411"/>
      <c r="D15" s="3411"/>
    </row>
    <row r="16" spans="1:4" ht="70.5" customHeight="1">
      <c r="A16" s="34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1"/>
      <c r="C16" s="3411"/>
      <c r="D16" s="3411"/>
    </row>
    <row r="17" spans="1:4">
      <c r="A17" s="3411" t="s">
        <v>2680</v>
      </c>
      <c r="B17" s="3411"/>
      <c r="C17" s="3411"/>
      <c r="D17" s="3411"/>
    </row>
    <row r="18" spans="1:4">
      <c r="A18" s="3411" t="s">
        <v>2672</v>
      </c>
      <c r="B18" s="3411"/>
      <c r="C18" s="3411"/>
      <c r="D18" s="3411"/>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11" t="s">
        <v>2677</v>
      </c>
      <c r="B23" s="3411"/>
      <c r="C23" s="3411"/>
      <c r="D23" s="3411"/>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22" t="s">
        <v>53</v>
      </c>
      <c r="B15" s="3423" t="s">
        <v>836</v>
      </c>
      <c r="C15" s="3419"/>
    </row>
    <row r="16" spans="1:7" ht="14.25">
      <c r="A16" s="3422"/>
      <c r="B16" s="3420" t="s">
        <v>54</v>
      </c>
      <c r="C16" s="1153" t="s">
        <v>53</v>
      </c>
    </row>
    <row r="17" spans="1:3" ht="14.25">
      <c r="A17" s="3422"/>
      <c r="B17" s="3420"/>
      <c r="C17" s="1153" t="s">
        <v>55</v>
      </c>
    </row>
    <row r="18" spans="1:3" ht="14.25">
      <c r="A18" s="3422"/>
      <c r="B18" s="3420"/>
      <c r="C18" s="1153" t="s">
        <v>56</v>
      </c>
    </row>
    <row r="19" spans="1:3" ht="14.25">
      <c r="A19" s="3422"/>
      <c r="B19" s="3418" t="s">
        <v>57</v>
      </c>
      <c r="C19" s="3419"/>
    </row>
    <row r="20" spans="1:3" ht="14.25">
      <c r="A20" s="1154" t="s">
        <v>58</v>
      </c>
      <c r="B20" s="1155"/>
      <c r="C20" s="1156"/>
    </row>
    <row r="21" spans="1:3" ht="14.25">
      <c r="A21" s="3421" t="s">
        <v>59</v>
      </c>
      <c r="B21" s="3418" t="s">
        <v>60</v>
      </c>
      <c r="C21" s="3419"/>
    </row>
    <row r="22" spans="1:3" ht="14.25">
      <c r="A22" s="3421"/>
      <c r="B22" s="3418" t="s">
        <v>61</v>
      </c>
      <c r="C22" s="3419"/>
    </row>
    <row r="23" spans="1:3" ht="14.25">
      <c r="A23" s="3421"/>
      <c r="B23" s="3418" t="s">
        <v>62</v>
      </c>
      <c r="C23" s="3419"/>
    </row>
    <row r="24" spans="1:3" ht="14.25">
      <c r="A24" s="3421"/>
      <c r="B24" s="3424" t="s">
        <v>63</v>
      </c>
      <c r="C24" s="1157" t="s">
        <v>827</v>
      </c>
    </row>
    <row r="25" spans="1:3" ht="14.25">
      <c r="A25" s="3421"/>
      <c r="B25" s="3425"/>
      <c r="C25" s="1157" t="s">
        <v>828</v>
      </c>
    </row>
    <row r="26" spans="1:3" ht="14.25">
      <c r="A26" s="3421"/>
      <c r="B26" s="3425"/>
      <c r="C26" s="1157" t="s">
        <v>829</v>
      </c>
    </row>
    <row r="27" spans="1:3" ht="14.25">
      <c r="A27" s="3421"/>
      <c r="B27" s="3425"/>
      <c r="C27" s="1157" t="s">
        <v>830</v>
      </c>
    </row>
    <row r="28" spans="1:3" ht="14.25">
      <c r="A28" s="3421"/>
      <c r="B28" s="3425"/>
      <c r="C28" s="1157" t="s">
        <v>831</v>
      </c>
    </row>
    <row r="29" spans="1:3" ht="14.25">
      <c r="A29" s="3421"/>
      <c r="B29" s="3425"/>
      <c r="C29" s="1157" t="s">
        <v>832</v>
      </c>
    </row>
    <row r="30" spans="1:3" ht="14.25">
      <c r="A30" s="3421"/>
      <c r="B30" s="3425"/>
      <c r="C30" s="1157" t="s">
        <v>833</v>
      </c>
    </row>
    <row r="31" spans="1:3" ht="14.25">
      <c r="A31" s="3421"/>
      <c r="B31" s="3425"/>
      <c r="C31" s="1157" t="s">
        <v>834</v>
      </c>
    </row>
    <row r="32" spans="1:3" ht="14.25">
      <c r="A32" s="3421"/>
      <c r="B32" s="3425"/>
      <c r="C32" s="1157" t="s">
        <v>1634</v>
      </c>
    </row>
    <row r="33" spans="1:3" ht="14.25">
      <c r="A33" s="3421"/>
      <c r="B33" s="3415" t="s">
        <v>1640</v>
      </c>
      <c r="C33" s="1157" t="s">
        <v>1635</v>
      </c>
    </row>
    <row r="34" spans="1:3" ht="14.25">
      <c r="A34" s="3421"/>
      <c r="B34" s="3416"/>
      <c r="C34" s="1162" t="s">
        <v>1636</v>
      </c>
    </row>
    <row r="35" spans="1:3" ht="14.25">
      <c r="A35" s="3421"/>
      <c r="B35" s="3416"/>
      <c r="C35" s="1163" t="s">
        <v>1637</v>
      </c>
    </row>
    <row r="36" spans="1:3" ht="14.25">
      <c r="A36" s="3421"/>
      <c r="B36" s="3416"/>
      <c r="C36" s="1163" t="s">
        <v>1638</v>
      </c>
    </row>
    <row r="37" spans="1:3" ht="14.25">
      <c r="A37" s="3421"/>
      <c r="B37" s="341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44428</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9" t="s">
        <v>1912</v>
      </c>
      <c r="B17" s="3430"/>
      <c r="C17" s="3430"/>
      <c r="D17" s="3430"/>
      <c r="E17" s="3430"/>
      <c r="F17" s="3430"/>
      <c r="G17" s="3032"/>
    </row>
    <row r="18" spans="1:7" ht="20.25" customHeight="1">
      <c r="A18" s="3426" t="s">
        <v>1913</v>
      </c>
      <c r="B18" s="3426"/>
      <c r="C18" s="3427"/>
      <c r="D18" s="3428" t="s">
        <v>1914</v>
      </c>
      <c r="E18" s="3426"/>
      <c r="F18" s="3426"/>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31"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31"/>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31"/>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31"/>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31"/>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2021-08-20T02:49:05Z</dcterms:modified>
</cp:coreProperties>
</file>